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externalLinks/externalLink8.xml" ContentType="application/vnd.openxmlformats-officedocument.spreadsheetml.externalLink+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0" yWindow="-60" windowWidth="19320" windowHeight="12120" tabRatio="856" activeTab="12"/>
  </bookViews>
  <sheets>
    <sheet name="Travel - Year 1" sheetId="59" r:id="rId1"/>
    <sheet name="Travel - Year 2" sheetId="73" r:id="rId2"/>
    <sheet name="Travel - Year 3" sheetId="74" r:id="rId3"/>
    <sheet name="InputSheet" sheetId="49" r:id="rId4"/>
    <sheet name="Esc Code" sheetId="47" state="hidden" r:id="rId5"/>
    <sheet name="Indirect Lookup" sheetId="51" state="hidden" r:id="rId6"/>
    <sheet name="Year 1" sheetId="3" r:id="rId7"/>
    <sheet name="Year 2" sheetId="61" r:id="rId8"/>
    <sheet name="Year 3" sheetId="62" r:id="rId9"/>
    <sheet name="Training" sheetId="78" r:id="rId10"/>
    <sheet name="Processing" sheetId="75" r:id="rId11"/>
    <sheet name="JCCC Questions" sheetId="70" state="hidden" r:id="rId12"/>
    <sheet name="Pricing Summary" sheetId="63" r:id="rId13"/>
    <sheet name="Payment Schedule" sheetId="81" r:id="rId14"/>
    <sheet name="Payment Schedule Feeder" sheetId="82" r:id="rId15"/>
    <sheet name="Sheet1" sheetId="79" r:id="rId16"/>
    <sheet name="Compensation Summary" sheetId="69" r:id="rId17"/>
    <sheet name="CPFF" sheetId="26" r:id="rId18"/>
    <sheet name="WBS1" sheetId="52" r:id="rId19"/>
    <sheet name="WBS Staffing1" sheetId="53" r:id="rId20"/>
    <sheet name="WBS Task Descriptions" sheetId="54" r:id="rId21"/>
    <sheet name="GSA - Price Analysis" sheetId="55" r:id="rId22"/>
    <sheet name="GSA - Submittal" sheetId="57" r:id="rId23"/>
    <sheet name="Sub Rates" sheetId="46" r:id="rId24"/>
    <sheet name="Price Analysis &quot;Sub-1&quot;" sheetId="58" r:id="rId25"/>
    <sheet name="Indirects" sheetId="50" r:id="rId26"/>
    <sheet name="Hourly Rate Calc" sheetId="60" r:id="rId27"/>
    <sheet name="Year 1 (2)" sheetId="65" r:id="rId28"/>
    <sheet name="Year 2 (2)" sheetId="66" r:id="rId29"/>
    <sheet name="Year 3 (2)" sheetId="67" r:id="rId30"/>
    <sheet name="Pricing Summary (2)" sheetId="80"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17" hidden="1">CPFF!$AN$8:$AN$85</definedName>
    <definedName name="_xlnm._FilterDatabase" localSheetId="25" hidden="1">Indirects!$AP$11:$AP$552</definedName>
    <definedName name="_xlnm._FilterDatabase" localSheetId="10" hidden="1">Processing!$AZ$29:$BA$29</definedName>
    <definedName name="_xlnm._FilterDatabase" localSheetId="9" hidden="1">Training!$AZ$29:$BA$29</definedName>
    <definedName name="_xlnm._FilterDatabase" localSheetId="19" hidden="1">'WBS Staffing1'!$R$7:$R$56</definedName>
    <definedName name="_xlnm._FilterDatabase" localSheetId="18" hidden="1">'WBS1'!$AJ$12:$AJ$95</definedName>
    <definedName name="_xlnm._FilterDatabase" localSheetId="6" hidden="1">'Year 1'!$AZ$29:$BA$29</definedName>
    <definedName name="_xlnm._FilterDatabase" localSheetId="27" hidden="1">'Year 1 (2)'!$AV$29:$AW$29</definedName>
    <definedName name="_xlnm._FilterDatabase" localSheetId="7" hidden="1">'Year 2'!$AZ$29:$BA$29</definedName>
    <definedName name="_xlnm._FilterDatabase" localSheetId="28" hidden="1">'Year 2 (2)'!$AV$29:$AW$29</definedName>
    <definedName name="_xlnm._FilterDatabase" localSheetId="8" hidden="1">'Year 3'!$AZ$29:$BA$29</definedName>
    <definedName name="_xlnm._FilterDatabase" localSheetId="29" hidden="1">'Year 3 (2)'!$AV$29:$AW$29</definedName>
    <definedName name="CCRates" localSheetId="16">'[7]Indirect Lookup'!$B$3:$AE$66</definedName>
    <definedName name="CCRates" localSheetId="13">'[9]Indirect Lookup'!$B$3:$AH$66</definedName>
    <definedName name="CCRates" localSheetId="14">'[9]Indirect Lookup'!$B$3:$AH$66</definedName>
    <definedName name="CCRates" localSheetId="12">'[7]Indirect Lookup'!$B$3:$AE$66</definedName>
    <definedName name="CCRates" localSheetId="30">'[7]Indirect Lookup'!$B$3:$AE$66</definedName>
    <definedName name="CCRates">'Indirect Lookup'!$B$3:$AE$66</definedName>
    <definedName name="ContrRates" localSheetId="23">'Sub Rates'!$F$10:$W$48</definedName>
    <definedName name="CostCtr" localSheetId="16">'[7]Indirect Lookup'!$B$2:$AE$2</definedName>
    <definedName name="CostCtr" localSheetId="13">'[9]Indirect Lookup'!$B$2:$AH$2</definedName>
    <definedName name="CostCtr" localSheetId="14">'[9]Indirect Lookup'!$B$2:$AH$2</definedName>
    <definedName name="CostCtr" localSheetId="12">'[7]Indirect Lookup'!$B$2:$AE$2</definedName>
    <definedName name="CostCtr" localSheetId="30">'[7]Indirect Lookup'!$B$2:$AE$2</definedName>
    <definedName name="CostCtr">'Indirect Lookup'!$B$2:$AE$2</definedName>
    <definedName name="DL" localSheetId="16">[7]InputSheet!$B$173:$G$937</definedName>
    <definedName name="DL" localSheetId="13">[9]InputSheet!$B$173:$G$1024</definedName>
    <definedName name="DL" localSheetId="14">[9]InputSheet!$B$173:$G$1024</definedName>
    <definedName name="DL" localSheetId="12">[7]InputSheet!$B$173:$G$937</definedName>
    <definedName name="DL" localSheetId="30">[7]InputSheet!$B$173:$G$937</definedName>
    <definedName name="DL">InputSheet!$B$173:$G$1024</definedName>
    <definedName name="Fee" localSheetId="16">'[3]Phase-In RateBuildUp'!#REF!</definedName>
    <definedName name="Fee" localSheetId="14">'[3]Phase-In RateBuildUp'!#REF!</definedName>
    <definedName name="Fee" localSheetId="30">'[3]Phase-In RateBuildUp'!#REF!</definedName>
    <definedName name="Fee" localSheetId="9">'[3]Phase-In RateBuildUp'!#REF!</definedName>
    <definedName name="Fee" localSheetId="1">'[3]Phase-In RateBuildUp'!#REF!</definedName>
    <definedName name="Fee" localSheetId="2">'[3]Phase-In RateBuildUp'!#REF!</definedName>
    <definedName name="Fee" localSheetId="7">'[3]Phase-In RateBuildUp'!#REF!</definedName>
    <definedName name="Fee" localSheetId="28">'[3]Phase-In RateBuildUp'!#REF!</definedName>
    <definedName name="Fee" localSheetId="8">'[3]Phase-In RateBuildUp'!#REF!</definedName>
    <definedName name="Fee" localSheetId="29">'[3]Phase-In RateBuildUp'!#REF!</definedName>
    <definedName name="Fee">'[3]Phase-In RateBuildUp'!#REF!</definedName>
    <definedName name="_Fee2" localSheetId="16">'[3]Base RateBuildUp'!#REF!</definedName>
    <definedName name="_Fee2" localSheetId="14">'[3]Base RateBuildUp'!#REF!</definedName>
    <definedName name="_Fee2" localSheetId="30">'[3]Base RateBuildUp'!#REF!</definedName>
    <definedName name="_Fee2" localSheetId="9">'[3]Base RateBuildUp'!#REF!</definedName>
    <definedName name="_Fee2" localSheetId="1">'[3]Base RateBuildUp'!#REF!</definedName>
    <definedName name="_Fee2" localSheetId="2">'[3]Base RateBuildUp'!#REF!</definedName>
    <definedName name="_Fee2" localSheetId="7">'[3]Base RateBuildUp'!#REF!</definedName>
    <definedName name="_Fee2" localSheetId="28">'[3]Base RateBuildUp'!#REF!</definedName>
    <definedName name="_Fee2" localSheetId="8">'[3]Base RateBuildUp'!#REF!</definedName>
    <definedName name="_Fee2" localSheetId="29">'[3]Base RateBuildUp'!#REF!</definedName>
    <definedName name="_Fee2">'[3]Base RateBuildUp'!#REF!</definedName>
    <definedName name="_Fee3" localSheetId="16">'[3]Opt 1 RateBuildUp'!#REF!</definedName>
    <definedName name="_Fee3" localSheetId="14">'[3]Opt 1 RateBuildUp'!#REF!</definedName>
    <definedName name="_Fee3" localSheetId="30">'[3]Opt 1 RateBuildUp'!#REF!</definedName>
    <definedName name="_Fee3" localSheetId="9">'[3]Opt 1 RateBuildUp'!#REF!</definedName>
    <definedName name="_Fee3" localSheetId="1">'[3]Opt 1 RateBuildUp'!#REF!</definedName>
    <definedName name="_Fee3" localSheetId="2">'[3]Opt 1 RateBuildUp'!#REF!</definedName>
    <definedName name="_Fee3" localSheetId="7">'[3]Opt 1 RateBuildUp'!#REF!</definedName>
    <definedName name="_Fee3" localSheetId="28">'[3]Opt 1 RateBuildUp'!#REF!</definedName>
    <definedName name="_Fee3" localSheetId="8">'[3]Opt 1 RateBuildUp'!#REF!</definedName>
    <definedName name="_Fee3" localSheetId="29">'[3]Opt 1 RateBuildUp'!#REF!</definedName>
    <definedName name="_Fee3">'[3]Opt 1 RateBuildUp'!#REF!</definedName>
    <definedName name="_Fee4" localSheetId="16">'[3]Opt 2 RateBuildUp'!#REF!</definedName>
    <definedName name="_Fee4" localSheetId="14">'[3]Opt 2 RateBuildUp'!#REF!</definedName>
    <definedName name="_Fee4" localSheetId="30">'[3]Opt 2 RateBuildUp'!#REF!</definedName>
    <definedName name="_Fee4" localSheetId="9">'[3]Opt 2 RateBuildUp'!#REF!</definedName>
    <definedName name="_Fee4" localSheetId="1">'[3]Opt 2 RateBuildUp'!#REF!</definedName>
    <definedName name="_Fee4" localSheetId="2">'[3]Opt 2 RateBuildUp'!#REF!</definedName>
    <definedName name="_Fee4" localSheetId="7">'[3]Opt 2 RateBuildUp'!#REF!</definedName>
    <definedName name="_Fee4" localSheetId="28">'[3]Opt 2 RateBuildUp'!#REF!</definedName>
    <definedName name="_Fee4" localSheetId="8">'[3]Opt 2 RateBuildUp'!#REF!</definedName>
    <definedName name="_Fee4" localSheetId="29">'[3]Opt 2 RateBuildUp'!#REF!</definedName>
    <definedName name="_Fee4">'[3]Opt 2 RateBuildUp'!#REF!</definedName>
    <definedName name="GovtRates" localSheetId="23">'Sub Rates'!$F$10:$AB$163</definedName>
    <definedName name="Hour_Code" localSheetId="21">'GSA - Price Analysis'!#REF!</definedName>
    <definedName name="Hour_Code" localSheetId="22">'GSA - Submittal'!#REF!</definedName>
    <definedName name="Hours" localSheetId="21">'GSA - Price Analysis'!$M$10:$Q$2167</definedName>
    <definedName name="Hours" localSheetId="22">'GSA - Submittal'!$J$10:$K$2167</definedName>
    <definedName name="IndDesc">[3]InputSheet!$B$23:$B$30</definedName>
    <definedName name="Indirects" localSheetId="16">[7]Indirects!$AL$7:$AN$1071</definedName>
    <definedName name="Indirects" localSheetId="17">Indirects!$AL$10:$AM$1071</definedName>
    <definedName name="Indirects" localSheetId="25">Indirects!$AL$7:$AN$1071</definedName>
    <definedName name="Indirects" localSheetId="13">[9]Indirects!$AL$7:$AN$1071</definedName>
    <definedName name="Indirects" localSheetId="14">[9]Indirects!$AL$7:$AN$1071</definedName>
    <definedName name="Indirects" localSheetId="12">[7]Indirects!$AL$7:$AN$1071</definedName>
    <definedName name="Indirects" localSheetId="30">[7]Indirects!$AL$7:$AN$1071</definedName>
    <definedName name="Indirects" localSheetId="18">Indirects!$AL$10:$AM$1071</definedName>
    <definedName name="Indirects">Indirects!$AL$7:$AN$1071</definedName>
    <definedName name="IndYrs">[3]InputSheet!$C$21:$K$21</definedName>
    <definedName name="Input_Call" localSheetId="25">InputSheet!$A$13:$A$147</definedName>
    <definedName name="Input_Call" localSheetId="3">InputSheet!$A$13:$A$147</definedName>
    <definedName name="Input_Header" localSheetId="25">InputSheet!$B$12:$Y$12</definedName>
    <definedName name="Input_Header" localSheetId="3">InputSheet!$B$12:$Y$12</definedName>
    <definedName name="Input_Range" localSheetId="25">InputSheet!$B$13:$Y$147</definedName>
    <definedName name="Input_Range" localSheetId="3">InputSheet!$B$13:$Y$147</definedName>
    <definedName name="Input_Sheet">[4]InputSheet!$A$11:$J$170</definedName>
    <definedName name="LabCat" localSheetId="21">[2]InputSheet!$D$112:$I$311</definedName>
    <definedName name="LabCat" localSheetId="22">[2]InputSheet!$D$112:$I$311</definedName>
    <definedName name="LabCat" localSheetId="3">InputSheet!$B$173:$M$1132</definedName>
    <definedName name="LabCatAdds" localSheetId="3">InputSheet!$A$171:$G$173</definedName>
    <definedName name="POP" localSheetId="21">'GSA - Price Analysis'!$M$8:$Q$8</definedName>
    <definedName name="POP" localSheetId="22">'GSA - Submittal'!$J$8:$K$8</definedName>
    <definedName name="POP">[3]InputSheet!$B$11:$D$16</definedName>
    <definedName name="_xlnm.Print_Area" localSheetId="17">CPFF!$E$1:$AI$85</definedName>
    <definedName name="_xlnm.Print_Area" localSheetId="21">'GSA - Price Analysis'!$A$1:$BB$43</definedName>
    <definedName name="_xlnm.Print_Area" localSheetId="22">'GSA - Submittal'!$A$1:$AE$39</definedName>
    <definedName name="_xlnm.Print_Area" localSheetId="25">Indirects!$B$1:$AJ$67</definedName>
    <definedName name="_xlnm.Print_Area" localSheetId="3">InputSheet!$B$1:$N$222</definedName>
    <definedName name="_xlnm.Print_Area" localSheetId="13">'Payment Schedule'!$A$1:$M$43</definedName>
    <definedName name="_xlnm.Print_Area" localSheetId="14">'Payment Schedule Feeder'!$A$1:$T$32</definedName>
    <definedName name="_xlnm.Print_Area" localSheetId="24">'Price Analysis "Sub-1"'!$C$1:$J$60</definedName>
    <definedName name="_xlnm.Print_Area" localSheetId="12">'Pricing Summary'!$A$1:$P$66</definedName>
    <definedName name="_xlnm.Print_Area" localSheetId="10">Processing!$E$1:$AF$65</definedName>
    <definedName name="_xlnm.Print_Area" localSheetId="23">'Sub Rates'!$B$1:$CG$48</definedName>
    <definedName name="_xlnm.Print_Area" localSheetId="9">Training!$E$1:$AF$65</definedName>
    <definedName name="_xlnm.Print_Area" localSheetId="0">'Travel - Year 1'!$A$1:$Q$23</definedName>
    <definedName name="_xlnm.Print_Area" localSheetId="1">'Travel - Year 2'!$A$1:$Q$23</definedName>
    <definedName name="_xlnm.Print_Area" localSheetId="2">'Travel - Year 3'!$A$1:$Q$23</definedName>
    <definedName name="_xlnm.Print_Area" localSheetId="20">'WBS Task Descriptions'!$B$1:$C$249</definedName>
    <definedName name="_xlnm.Print_Area" localSheetId="18">'WBS1'!$E$1:$AH$95</definedName>
    <definedName name="_xlnm.Print_Area" localSheetId="6">'Year 1'!$E$1:$AF$66</definedName>
    <definedName name="_xlnm.Print_Area" localSheetId="27">'Year 1 (2)'!$E$1:$AB$71</definedName>
    <definedName name="_xlnm.Print_Area" localSheetId="7">'Year 2'!$E$1:$AF$66</definedName>
    <definedName name="_xlnm.Print_Area" localSheetId="28">'Year 2 (2)'!$E$1:$AB$71</definedName>
    <definedName name="_xlnm.Print_Area" localSheetId="8">'Year 3'!$E$1:$AF$66</definedName>
    <definedName name="_xlnm.Print_Area" localSheetId="29">'Year 3 (2)'!$E$1:$AB$71</definedName>
    <definedName name="_xlnm.Print_Area">#REF!</definedName>
    <definedName name="_xlnm.Print_Titles" localSheetId="17">CPFF!$E:$H,CPFF!$1:$7</definedName>
    <definedName name="_xlnm.Print_Titles" localSheetId="21">'GSA - Price Analysis'!$A:$D,'GSA - Price Analysis'!$1:$9</definedName>
    <definedName name="_xlnm.Print_Titles" localSheetId="22">'GSA - Submittal'!$A:$D,'GSA - Submittal'!$1:$9</definedName>
    <definedName name="_xlnm.Print_Titles" localSheetId="5">'Indirect Lookup'!$B:$B</definedName>
    <definedName name="_xlnm.Print_Titles" localSheetId="25">Indirects!$1:$6</definedName>
    <definedName name="_xlnm.Print_Titles" localSheetId="3">InputSheet!$1:$6</definedName>
    <definedName name="_xlnm.Print_Titles" localSheetId="24">'Price Analysis "Sub-1"'!$1:$6</definedName>
    <definedName name="_xlnm.Print_Titles" localSheetId="10">Processing!$D:$L,Processing!$1:$30</definedName>
    <definedName name="_xlnm.Print_Titles" localSheetId="23">'Sub Rates'!$B:$C</definedName>
    <definedName name="_xlnm.Print_Titles" localSheetId="9">Training!$D:$L,Training!$1:$30</definedName>
    <definedName name="_xlnm.Print_Titles" localSheetId="0">'Travel - Year 1'!$1:$5</definedName>
    <definedName name="_xlnm.Print_Titles" localSheetId="1">'Travel - Year 2'!$1:$5</definedName>
    <definedName name="_xlnm.Print_Titles" localSheetId="2">'Travel - Year 3'!$1:$5</definedName>
    <definedName name="_xlnm.Print_Titles" localSheetId="18">'WBS1'!$E:$L,'WBS1'!$1:$15</definedName>
    <definedName name="_xlnm.Print_Titles" localSheetId="6">'Year 1'!$D:$L,'Year 1'!$1:$30</definedName>
    <definedName name="_xlnm.Print_Titles" localSheetId="27">'Year 1 (2)'!$D:$L,'Year 1 (2)'!$1:$30</definedName>
    <definedName name="_xlnm.Print_Titles" localSheetId="7">'Year 2'!$D:$L,'Year 2'!$1:$30</definedName>
    <definedName name="_xlnm.Print_Titles" localSheetId="28">'Year 2 (2)'!$D:$L,'Year 2 (2)'!$1:$30</definedName>
    <definedName name="_xlnm.Print_Titles" localSheetId="8">'Year 3'!$D:$L,'Year 3'!$1:$30</definedName>
    <definedName name="_xlnm.Print_Titles" localSheetId="29">'Year 3 (2)'!$D:$L,'Year 3 (2)'!$1:$30</definedName>
    <definedName name="RATEBOOK" localSheetId="17">#REF!</definedName>
    <definedName name="RATEBOOK" localSheetId="3">#REF!</definedName>
    <definedName name="RATEBOOK" localSheetId="24">#REF!</definedName>
    <definedName name="RATEBOOK" localSheetId="18">#REF!</definedName>
    <definedName name="RATEBOOK">#REF!</definedName>
    <definedName name="Sub_Code">'Sub Rates'!$E$9:$E$67</definedName>
    <definedName name="Sub_Period" localSheetId="16">'[7]Sub Rates'!$F$8:$IV$8</definedName>
    <definedName name="Sub_Period" localSheetId="13">'[9]Sub Rates'!$F$8:$IV$8</definedName>
    <definedName name="Sub_Period" localSheetId="14">'[9]Sub Rates'!$F$8:$IV$8</definedName>
    <definedName name="Sub_Period" localSheetId="12">'[7]Sub Rates'!$F$8:$IV$8</definedName>
    <definedName name="Sub_Period" localSheetId="30">'[7]Sub Rates'!$F$8:$IV$8</definedName>
    <definedName name="Sub_Period">'Sub Rates'!$F$8:$IV$8</definedName>
    <definedName name="Sub_Rates">'Sub Rates'!$F$9:$IV$67</definedName>
    <definedName name="YrBurden" localSheetId="16">'[7]Indirect Lookup'!$A$3:$A$66</definedName>
    <definedName name="YrBurden" localSheetId="13">'[9]Indirect Lookup'!$A$3:$A$66</definedName>
    <definedName name="YrBurden" localSheetId="14">'[9]Indirect Lookup'!$A$3:$A$66</definedName>
    <definedName name="YrBurden" localSheetId="12">'[7]Indirect Lookup'!$A$3:$A$66</definedName>
    <definedName name="YrBurden" localSheetId="30">'[7]Indirect Lookup'!$A$3:$A$66</definedName>
    <definedName name="YrBurden">'Indirect Lookup'!$A$3:$A$66</definedName>
    <definedName name="Z_81186096_D7BA_4F5C_9DAA_F5D1FADD2876_.wvu.Cols" localSheetId="3" hidden="1">InputSheet!$Q:$X</definedName>
    <definedName name="Z_81186096_D7BA_4F5C_9DAA_F5D1FADD2876_.wvu.Cols" localSheetId="10" hidden="1">Processing!$J:$K,Processing!#REF!,Processing!#REF!,Processing!#REF!</definedName>
    <definedName name="Z_81186096_D7BA_4F5C_9DAA_F5D1FADD2876_.wvu.Cols" localSheetId="9" hidden="1">Training!$J:$K,Training!#REF!,Training!#REF!,Training!#REF!</definedName>
    <definedName name="Z_81186096_D7BA_4F5C_9DAA_F5D1FADD2876_.wvu.Cols" localSheetId="6" hidden="1">'Year 1'!$J:$K,'Year 1'!#REF!,'Year 1'!#REF!,'Year 1'!#REF!</definedName>
    <definedName name="Z_81186096_D7BA_4F5C_9DAA_F5D1FADD2876_.wvu.Cols" localSheetId="27" hidden="1">'Year 1 (2)'!$J:$K,'Year 1 (2)'!#REF!,'Year 1 (2)'!#REF!,'Year 1 (2)'!#REF!</definedName>
    <definedName name="Z_81186096_D7BA_4F5C_9DAA_F5D1FADD2876_.wvu.Cols" localSheetId="7" hidden="1">'Year 2'!$J:$K,'Year 2'!#REF!,'Year 2'!#REF!,'Year 2'!#REF!</definedName>
    <definedName name="Z_81186096_D7BA_4F5C_9DAA_F5D1FADD2876_.wvu.Cols" localSheetId="28" hidden="1">'Year 2 (2)'!$J:$K,'Year 2 (2)'!#REF!,'Year 2 (2)'!#REF!,'Year 2 (2)'!#REF!</definedName>
    <definedName name="Z_81186096_D7BA_4F5C_9DAA_F5D1FADD2876_.wvu.Cols" localSheetId="8" hidden="1">'Year 3'!$J:$K,'Year 3'!#REF!,'Year 3'!#REF!,'Year 3'!#REF!</definedName>
    <definedName name="Z_81186096_D7BA_4F5C_9DAA_F5D1FADD2876_.wvu.Cols" localSheetId="29" hidden="1">'Year 3 (2)'!$J:$K,'Year 3 (2)'!#REF!,'Year 3 (2)'!#REF!,'Year 3 (2)'!#REF!</definedName>
    <definedName name="Z_81186096_D7BA_4F5C_9DAA_F5D1FADD2876_.wvu.PrintArea" localSheetId="25" hidden="1">Indirects!$B$1:$AJ$188</definedName>
    <definedName name="Z_81186096_D7BA_4F5C_9DAA_F5D1FADD2876_.wvu.PrintArea" localSheetId="3" hidden="1">InputSheet!$B$1:$Y$189</definedName>
    <definedName name="Z_81186096_D7BA_4F5C_9DAA_F5D1FADD2876_.wvu.PrintArea" localSheetId="10" hidden="1">Processing!$D$1:$AE$91</definedName>
    <definedName name="Z_81186096_D7BA_4F5C_9DAA_F5D1FADD2876_.wvu.PrintArea" localSheetId="9" hidden="1">Training!$D$1:$AE$91</definedName>
    <definedName name="Z_81186096_D7BA_4F5C_9DAA_F5D1FADD2876_.wvu.PrintArea" localSheetId="6" hidden="1">'Year 1'!$D$1:$AE$92</definedName>
    <definedName name="Z_81186096_D7BA_4F5C_9DAA_F5D1FADD2876_.wvu.PrintArea" localSheetId="27" hidden="1">'Year 1 (2)'!$D$1:$AA$97</definedName>
    <definedName name="Z_81186096_D7BA_4F5C_9DAA_F5D1FADD2876_.wvu.PrintArea" localSheetId="7" hidden="1">'Year 2'!$D$1:$AE$92</definedName>
    <definedName name="Z_81186096_D7BA_4F5C_9DAA_F5D1FADD2876_.wvu.PrintArea" localSheetId="28" hidden="1">'Year 2 (2)'!$D$1:$AA$97</definedName>
    <definedName name="Z_81186096_D7BA_4F5C_9DAA_F5D1FADD2876_.wvu.PrintArea" localSheetId="8" hidden="1">'Year 3'!$D$1:$AE$92</definedName>
    <definedName name="Z_81186096_D7BA_4F5C_9DAA_F5D1FADD2876_.wvu.PrintArea" localSheetId="29" hidden="1">'Year 3 (2)'!$D$1:$AA$97</definedName>
    <definedName name="Z_81186096_D7BA_4F5C_9DAA_F5D1FADD2876_.wvu.PrintTitles" localSheetId="25" hidden="1">Indirects!$1:$6</definedName>
    <definedName name="Z_81186096_D7BA_4F5C_9DAA_F5D1FADD2876_.wvu.PrintTitles" localSheetId="3" hidden="1">InputSheet!$1:$6</definedName>
    <definedName name="Z_81186096_D7BA_4F5C_9DAA_F5D1FADD2876_.wvu.PrintTitles" localSheetId="10" hidden="1">Processing!$1:$31</definedName>
    <definedName name="Z_81186096_D7BA_4F5C_9DAA_F5D1FADD2876_.wvu.PrintTitles" localSheetId="9" hidden="1">Training!$1:$31</definedName>
    <definedName name="Z_81186096_D7BA_4F5C_9DAA_F5D1FADD2876_.wvu.PrintTitles" localSheetId="6" hidden="1">'Year 1'!$1:$31</definedName>
    <definedName name="Z_81186096_D7BA_4F5C_9DAA_F5D1FADD2876_.wvu.PrintTitles" localSheetId="27" hidden="1">'Year 1 (2)'!$1:$31</definedName>
    <definedName name="Z_81186096_D7BA_4F5C_9DAA_F5D1FADD2876_.wvu.PrintTitles" localSheetId="7" hidden="1">'Year 2'!$1:$31</definedName>
    <definedName name="Z_81186096_D7BA_4F5C_9DAA_F5D1FADD2876_.wvu.PrintTitles" localSheetId="28" hidden="1">'Year 2 (2)'!$1:$31</definedName>
    <definedName name="Z_81186096_D7BA_4F5C_9DAA_F5D1FADD2876_.wvu.PrintTitles" localSheetId="8" hidden="1">'Year 3'!$1:$31</definedName>
    <definedName name="Z_81186096_D7BA_4F5C_9DAA_F5D1FADD2876_.wvu.PrintTitles" localSheetId="29" hidden="1">'Year 3 (2)'!$1:$31</definedName>
    <definedName name="Z_F6729E9E_67FD_40CE_BC0E_50015F0C084B_.wvu.Cols" localSheetId="3" hidden="1">InputSheet!$O:$Y</definedName>
    <definedName name="Z_F6729E9E_67FD_40CE_BC0E_50015F0C084B_.wvu.PrintArea" localSheetId="25" hidden="1">Indirects!$B$1:$AJ$188</definedName>
    <definedName name="Z_F6729E9E_67FD_40CE_BC0E_50015F0C084B_.wvu.PrintArea" localSheetId="3" hidden="1">InputSheet!$C$1:$Y$189</definedName>
    <definedName name="Z_F6729E9E_67FD_40CE_BC0E_50015F0C084B_.wvu.PrintTitles" localSheetId="25" hidden="1">Indirects!$1:$9</definedName>
    <definedName name="Z_F6729E9E_67FD_40CE_BC0E_50015F0C084B_.wvu.PrintTitles" localSheetId="3" hidden="1">InputSheet!$1:$6</definedName>
    <definedName name="Z_F6729E9E_67FD_40CE_BC0E_50015F0C084B_.wvu.Rows" localSheetId="25" hidden="1">Indirects!$1:$1</definedName>
    <definedName name="Z_F6729E9E_67FD_40CE_BC0E_50015F0C084B_.wvu.Rows" localSheetId="3" hidden="1">InputSheet!$189:$189</definedName>
  </definedNames>
  <calcPr calcId="125725" fullCalcOnLoad="1"/>
  <customWorkbookViews>
    <customWorkbookView name="s" guid="{81186096-D7BA-4F5C-9DAA-F5D1FADD2876}" maximized="1" windowWidth="796" windowHeight="384" activeSheetId="3"/>
  </customWorkbookViews>
</workbook>
</file>

<file path=xl/calcChain.xml><?xml version="1.0" encoding="utf-8"?>
<calcChain xmlns="http://schemas.openxmlformats.org/spreadsheetml/2006/main">
  <c r="F31" i="63"/>
  <c r="Y35" i="75"/>
  <c r="W35"/>
  <c r="V35"/>
  <c r="T35"/>
  <c r="S35"/>
  <c r="Y35" i="78"/>
  <c r="W35"/>
  <c r="V35"/>
  <c r="T35"/>
  <c r="S35"/>
  <c r="AD35" i="75"/>
  <c r="AD35" i="78"/>
  <c r="G41" i="81"/>
  <c r="G40"/>
  <c r="G39"/>
  <c r="G38"/>
  <c r="G37"/>
  <c r="G36"/>
  <c r="G35"/>
  <c r="G34"/>
  <c r="G33"/>
  <c r="G32"/>
  <c r="G31"/>
  <c r="G30"/>
  <c r="G29"/>
  <c r="G28"/>
  <c r="G27"/>
  <c r="G26"/>
  <c r="G25"/>
  <c r="G24"/>
  <c r="G23"/>
  <c r="G22"/>
  <c r="G21"/>
  <c r="G20"/>
  <c r="G19"/>
  <c r="G18"/>
  <c r="G17"/>
  <c r="G16"/>
  <c r="G15"/>
  <c r="G14"/>
  <c r="G13"/>
  <c r="G12"/>
  <c r="G11"/>
  <c r="G10"/>
  <c r="G9"/>
  <c r="G8"/>
  <c r="G7"/>
  <c r="G6"/>
  <c r="BT26" i="46"/>
  <c r="BD26"/>
  <c r="AN26"/>
  <c r="X26"/>
  <c r="AY26"/>
  <c r="BO26"/>
  <c r="CE26"/>
  <c r="CU26"/>
  <c r="DK26"/>
  <c r="EA26"/>
  <c r="EQ26"/>
  <c r="FG26"/>
  <c r="FW26"/>
  <c r="GM26"/>
  <c r="HC26"/>
  <c r="HS26"/>
  <c r="II26"/>
  <c r="AW26"/>
  <c r="BM26"/>
  <c r="CC26"/>
  <c r="CS26"/>
  <c r="DI26"/>
  <c r="DY26"/>
  <c r="EO26"/>
  <c r="FE26"/>
  <c r="FU26"/>
  <c r="GK26"/>
  <c r="HA26"/>
  <c r="HQ26"/>
  <c r="IG26"/>
  <c r="AU26"/>
  <c r="BK26"/>
  <c r="CA26"/>
  <c r="CQ26"/>
  <c r="DG26"/>
  <c r="DW26"/>
  <c r="EM26"/>
  <c r="FC26"/>
  <c r="FS26"/>
  <c r="GI26"/>
  <c r="GY26"/>
  <c r="HO26"/>
  <c r="IE26"/>
  <c r="AS26"/>
  <c r="BI26"/>
  <c r="BY26"/>
  <c r="CO26"/>
  <c r="DE26"/>
  <c r="DU26"/>
  <c r="EK26"/>
  <c r="FA26"/>
  <c r="FQ26"/>
  <c r="GG26"/>
  <c r="GW26"/>
  <c r="HM26"/>
  <c r="IC26"/>
  <c r="AQ26"/>
  <c r="BG26"/>
  <c r="BW26"/>
  <c r="CM26"/>
  <c r="DC26"/>
  <c r="DS26"/>
  <c r="EI26"/>
  <c r="EY26"/>
  <c r="FO26"/>
  <c r="GE26"/>
  <c r="GU26"/>
  <c r="HK26"/>
  <c r="IA26"/>
  <c r="AO26"/>
  <c r="BE26"/>
  <c r="BU26"/>
  <c r="CK26"/>
  <c r="DA26"/>
  <c r="DQ26"/>
  <c r="EG26"/>
  <c r="EW26"/>
  <c r="FM26"/>
  <c r="GC26"/>
  <c r="GS26"/>
  <c r="HI26"/>
  <c r="HY26"/>
  <c r="AM26"/>
  <c r="BC26"/>
  <c r="BS26"/>
  <c r="CI26"/>
  <c r="CY26"/>
  <c r="DO26"/>
  <c r="EE26"/>
  <c r="EU26"/>
  <c r="FK26"/>
  <c r="GA26"/>
  <c r="GQ26"/>
  <c r="HG26"/>
  <c r="HW26"/>
  <c r="AJ26"/>
  <c r="AZ26"/>
  <c r="BP26"/>
  <c r="CF26"/>
  <c r="CV26"/>
  <c r="DL26"/>
  <c r="EB26"/>
  <c r="ER26"/>
  <c r="FH26"/>
  <c r="FX26"/>
  <c r="GN26"/>
  <c r="HD26"/>
  <c r="HT26"/>
  <c r="IJ26"/>
  <c r="AI26"/>
  <c r="AH26"/>
  <c r="AX26"/>
  <c r="BN26"/>
  <c r="CD26"/>
  <c r="CT26"/>
  <c r="DJ26"/>
  <c r="DZ26"/>
  <c r="EP26"/>
  <c r="FF26"/>
  <c r="FV26"/>
  <c r="GL26"/>
  <c r="HB26"/>
  <c r="HR26"/>
  <c r="IH26"/>
  <c r="AG26"/>
  <c r="AF26"/>
  <c r="AV26"/>
  <c r="BL26"/>
  <c r="CB26"/>
  <c r="CR26"/>
  <c r="DH26"/>
  <c r="DX26"/>
  <c r="EN26"/>
  <c r="FD26"/>
  <c r="FT26"/>
  <c r="GJ26"/>
  <c r="GZ26"/>
  <c r="HP26"/>
  <c r="IF26"/>
  <c r="AE26"/>
  <c r="AD26"/>
  <c r="AT26"/>
  <c r="BJ26"/>
  <c r="BZ26"/>
  <c r="CP26"/>
  <c r="DF26"/>
  <c r="DV26"/>
  <c r="EL26"/>
  <c r="FB26"/>
  <c r="FR26"/>
  <c r="GH26"/>
  <c r="GX26"/>
  <c r="HN26"/>
  <c r="ID26"/>
  <c r="AC26"/>
  <c r="AB26"/>
  <c r="AR26"/>
  <c r="BH26"/>
  <c r="BX26"/>
  <c r="CN26"/>
  <c r="DD26"/>
  <c r="DT26"/>
  <c r="EJ26"/>
  <c r="EZ26"/>
  <c r="FP26"/>
  <c r="GF26"/>
  <c r="GV26"/>
  <c r="HL26"/>
  <c r="IB26"/>
  <c r="AA26"/>
  <c r="Z26"/>
  <c r="AP26"/>
  <c r="BF26"/>
  <c r="BV26"/>
  <c r="CL26"/>
  <c r="DB26"/>
  <c r="DR26"/>
  <c r="EH26"/>
  <c r="EX26"/>
  <c r="FN26"/>
  <c r="GD26"/>
  <c r="GT26"/>
  <c r="HJ26"/>
  <c r="HZ26"/>
  <c r="Y26"/>
  <c r="CJ26"/>
  <c r="CZ26"/>
  <c r="DP26"/>
  <c r="EF26"/>
  <c r="EV26"/>
  <c r="FL26"/>
  <c r="GB26"/>
  <c r="GR26"/>
  <c r="HH26"/>
  <c r="HX26"/>
  <c r="W26"/>
  <c r="V26"/>
  <c r="AL26"/>
  <c r="BB26"/>
  <c r="BR26"/>
  <c r="CH26"/>
  <c r="CX26"/>
  <c r="DN26"/>
  <c r="ED26"/>
  <c r="ET26"/>
  <c r="FJ26"/>
  <c r="FZ26"/>
  <c r="GP26"/>
  <c r="HF26"/>
  <c r="HV26"/>
  <c r="AZ25"/>
  <c r="BP25"/>
  <c r="CF25"/>
  <c r="CV25"/>
  <c r="DL25"/>
  <c r="EB25"/>
  <c r="ER25"/>
  <c r="FH25"/>
  <c r="FX25"/>
  <c r="GN25"/>
  <c r="HD25"/>
  <c r="HT25"/>
  <c r="IJ25"/>
  <c r="AX25"/>
  <c r="BN25"/>
  <c r="CD25"/>
  <c r="CT25"/>
  <c r="DJ25"/>
  <c r="DZ25"/>
  <c r="EP25"/>
  <c r="FF25"/>
  <c r="FV25"/>
  <c r="GL25"/>
  <c r="HB25"/>
  <c r="HR25"/>
  <c r="IH25"/>
  <c r="AV25"/>
  <c r="BL25"/>
  <c r="CB25"/>
  <c r="CR25"/>
  <c r="DH25"/>
  <c r="DX25"/>
  <c r="EN25"/>
  <c r="FD25"/>
  <c r="FT25"/>
  <c r="GJ25"/>
  <c r="GZ25"/>
  <c r="HP25"/>
  <c r="IF25"/>
  <c r="AT25"/>
  <c r="BJ25"/>
  <c r="BZ25"/>
  <c r="CP25"/>
  <c r="DF25"/>
  <c r="DV25"/>
  <c r="EL25"/>
  <c r="FB25"/>
  <c r="FR25"/>
  <c r="GH25"/>
  <c r="GX25"/>
  <c r="HN25"/>
  <c r="ID25"/>
  <c r="AR25"/>
  <c r="BH25"/>
  <c r="BX25"/>
  <c r="CN25"/>
  <c r="DD25"/>
  <c r="DT25"/>
  <c r="EJ25"/>
  <c r="EZ25"/>
  <c r="FP25"/>
  <c r="GF25"/>
  <c r="GV25"/>
  <c r="HL25"/>
  <c r="IB25"/>
  <c r="AP25"/>
  <c r="BF25"/>
  <c r="BV25"/>
  <c r="CL25"/>
  <c r="DB25"/>
  <c r="DR25"/>
  <c r="EH25"/>
  <c r="EX25"/>
  <c r="FN25"/>
  <c r="GD25"/>
  <c r="GT25"/>
  <c r="HJ25"/>
  <c r="HZ25"/>
  <c r="AN25"/>
  <c r="BD25"/>
  <c r="BT25"/>
  <c r="CJ25"/>
  <c r="CZ25"/>
  <c r="DP25"/>
  <c r="EF25"/>
  <c r="EV25"/>
  <c r="FL25"/>
  <c r="GB25"/>
  <c r="GR25"/>
  <c r="HH25"/>
  <c r="HX25"/>
  <c r="AL25"/>
  <c r="BB25"/>
  <c r="BR25"/>
  <c r="CH25"/>
  <c r="CX25"/>
  <c r="DN25"/>
  <c r="ED25"/>
  <c r="ET25"/>
  <c r="FJ25"/>
  <c r="FZ25"/>
  <c r="GP25"/>
  <c r="HF25"/>
  <c r="HV25"/>
  <c r="AJ25"/>
  <c r="AI25"/>
  <c r="AY25"/>
  <c r="BO25"/>
  <c r="CE25"/>
  <c r="CU25"/>
  <c r="DK25"/>
  <c r="EA25"/>
  <c r="EQ25"/>
  <c r="FG25"/>
  <c r="FW25"/>
  <c r="GM25"/>
  <c r="HC25"/>
  <c r="HS25"/>
  <c r="II25"/>
  <c r="AH25"/>
  <c r="AG25"/>
  <c r="AW25"/>
  <c r="BM25"/>
  <c r="CC25"/>
  <c r="CS25"/>
  <c r="DI25"/>
  <c r="DY25"/>
  <c r="EO25"/>
  <c r="FE25"/>
  <c r="FU25"/>
  <c r="GK25"/>
  <c r="HA25"/>
  <c r="HQ25"/>
  <c r="IG25"/>
  <c r="AF25"/>
  <c r="AE25"/>
  <c r="AU25"/>
  <c r="BK25"/>
  <c r="CA25"/>
  <c r="CQ25"/>
  <c r="DG25"/>
  <c r="DW25"/>
  <c r="EM25"/>
  <c r="FC25"/>
  <c r="FS25"/>
  <c r="GI25"/>
  <c r="GY25"/>
  <c r="HO25"/>
  <c r="IE25"/>
  <c r="AD25"/>
  <c r="AC25"/>
  <c r="AS25"/>
  <c r="BI25"/>
  <c r="BY25"/>
  <c r="CO25"/>
  <c r="DE25"/>
  <c r="DU25"/>
  <c r="EK25"/>
  <c r="FA25"/>
  <c r="FQ25"/>
  <c r="GG25"/>
  <c r="GW25"/>
  <c r="HM25"/>
  <c r="IC25"/>
  <c r="AB25"/>
  <c r="AA25"/>
  <c r="AQ25"/>
  <c r="BG25"/>
  <c r="BW25"/>
  <c r="CM25"/>
  <c r="DC25"/>
  <c r="DS25"/>
  <c r="EI25"/>
  <c r="EY25"/>
  <c r="FO25"/>
  <c r="GE25"/>
  <c r="GU25"/>
  <c r="HK25"/>
  <c r="IA25"/>
  <c r="Z25"/>
  <c r="Y25"/>
  <c r="AO25"/>
  <c r="BE25"/>
  <c r="BU25"/>
  <c r="CK25"/>
  <c r="DA25"/>
  <c r="DQ25"/>
  <c r="EG25"/>
  <c r="EW25"/>
  <c r="FM25"/>
  <c r="GC25"/>
  <c r="GS25"/>
  <c r="HI25"/>
  <c r="HY25"/>
  <c r="X25"/>
  <c r="W25"/>
  <c r="AM25"/>
  <c r="BC25"/>
  <c r="BS25"/>
  <c r="CI25"/>
  <c r="CY25"/>
  <c r="DO25"/>
  <c r="EE25"/>
  <c r="EU25"/>
  <c r="FK25"/>
  <c r="GA25"/>
  <c r="GQ25"/>
  <c r="HG25"/>
  <c r="HW25"/>
  <c r="V25"/>
  <c r="AZ24"/>
  <c r="BP24"/>
  <c r="CF24"/>
  <c r="CV24"/>
  <c r="DL24"/>
  <c r="EB24"/>
  <c r="ER24"/>
  <c r="FH24"/>
  <c r="FX24"/>
  <c r="GN24"/>
  <c r="HD24"/>
  <c r="HT24"/>
  <c r="IJ24"/>
  <c r="AX24"/>
  <c r="BN24"/>
  <c r="CD24"/>
  <c r="CT24"/>
  <c r="DJ24"/>
  <c r="DZ24"/>
  <c r="EP24"/>
  <c r="FF24"/>
  <c r="FV24"/>
  <c r="GL24"/>
  <c r="HB24"/>
  <c r="HR24"/>
  <c r="IH24"/>
  <c r="AV24"/>
  <c r="BL24"/>
  <c r="CB24"/>
  <c r="CR24"/>
  <c r="DH24"/>
  <c r="DX24"/>
  <c r="EN24"/>
  <c r="FD24"/>
  <c r="FT24"/>
  <c r="GJ24"/>
  <c r="GZ24"/>
  <c r="HP24"/>
  <c r="IF24"/>
  <c r="AT24"/>
  <c r="BJ24"/>
  <c r="BZ24"/>
  <c r="CP24"/>
  <c r="DF24"/>
  <c r="DV24"/>
  <c r="EL24"/>
  <c r="FB24"/>
  <c r="FR24"/>
  <c r="GH24"/>
  <c r="GX24"/>
  <c r="HN24"/>
  <c r="ID24"/>
  <c r="AR24"/>
  <c r="BH24"/>
  <c r="BX24"/>
  <c r="CN24"/>
  <c r="DD24"/>
  <c r="DT24"/>
  <c r="EJ24"/>
  <c r="EZ24"/>
  <c r="FP24"/>
  <c r="GF24"/>
  <c r="GV24"/>
  <c r="HL24"/>
  <c r="IB24"/>
  <c r="AP24"/>
  <c r="BF24"/>
  <c r="BV24"/>
  <c r="CL24"/>
  <c r="DB24"/>
  <c r="DR24"/>
  <c r="EH24"/>
  <c r="EX24"/>
  <c r="FN24"/>
  <c r="GD24"/>
  <c r="GT24"/>
  <c r="HJ24"/>
  <c r="HZ24"/>
  <c r="AN24"/>
  <c r="BD24"/>
  <c r="BT24"/>
  <c r="CJ24"/>
  <c r="CZ24"/>
  <c r="DP24"/>
  <c r="EF24"/>
  <c r="EV24"/>
  <c r="FL24"/>
  <c r="GB24"/>
  <c r="GR24"/>
  <c r="HH24"/>
  <c r="HX24"/>
  <c r="AL24"/>
  <c r="BB24"/>
  <c r="BR24"/>
  <c r="CH24"/>
  <c r="CX24"/>
  <c r="DN24"/>
  <c r="ED24"/>
  <c r="ET24"/>
  <c r="FJ24"/>
  <c r="FZ24"/>
  <c r="GP24"/>
  <c r="HF24"/>
  <c r="HV24"/>
  <c r="AJ24"/>
  <c r="AI24"/>
  <c r="AY24"/>
  <c r="BO24"/>
  <c r="CE24"/>
  <c r="CU24"/>
  <c r="DK24"/>
  <c r="EA24"/>
  <c r="EQ24"/>
  <c r="FG24"/>
  <c r="FW24"/>
  <c r="GM24"/>
  <c r="HC24"/>
  <c r="HS24"/>
  <c r="II24"/>
  <c r="AH24"/>
  <c r="AG24"/>
  <c r="AW24"/>
  <c r="BM24"/>
  <c r="CC24"/>
  <c r="CS24"/>
  <c r="DI24"/>
  <c r="DY24"/>
  <c r="EO24"/>
  <c r="FE24"/>
  <c r="FU24"/>
  <c r="GK24"/>
  <c r="HA24"/>
  <c r="HQ24"/>
  <c r="IG24"/>
  <c r="AF24"/>
  <c r="AE24"/>
  <c r="AU24"/>
  <c r="BK24"/>
  <c r="CA24"/>
  <c r="CQ24"/>
  <c r="DG24"/>
  <c r="DW24"/>
  <c r="EM24"/>
  <c r="FC24"/>
  <c r="FS24"/>
  <c r="GI24"/>
  <c r="GY24"/>
  <c r="HO24"/>
  <c r="IE24"/>
  <c r="AD24"/>
  <c r="AC24"/>
  <c r="AS24"/>
  <c r="BI24"/>
  <c r="BY24"/>
  <c r="CO24"/>
  <c r="DE24"/>
  <c r="DU24"/>
  <c r="EK24"/>
  <c r="FA24"/>
  <c r="FQ24"/>
  <c r="GG24"/>
  <c r="GW24"/>
  <c r="HM24"/>
  <c r="IC24"/>
  <c r="AB24"/>
  <c r="AA24"/>
  <c r="AQ24"/>
  <c r="BG24"/>
  <c r="BW24"/>
  <c r="CM24"/>
  <c r="DC24"/>
  <c r="DS24"/>
  <c r="EI24"/>
  <c r="EY24"/>
  <c r="FO24"/>
  <c r="GE24"/>
  <c r="GU24"/>
  <c r="HK24"/>
  <c r="IA24"/>
  <c r="Z24"/>
  <c r="Y24"/>
  <c r="AO24"/>
  <c r="BE24"/>
  <c r="BU24"/>
  <c r="CK24"/>
  <c r="DA24"/>
  <c r="DQ24"/>
  <c r="EG24"/>
  <c r="EW24"/>
  <c r="FM24"/>
  <c r="GC24"/>
  <c r="GS24"/>
  <c r="HI24"/>
  <c r="HY24"/>
  <c r="X24"/>
  <c r="W24"/>
  <c r="AM24"/>
  <c r="BC24"/>
  <c r="BS24"/>
  <c r="CI24"/>
  <c r="CY24"/>
  <c r="DO24"/>
  <c r="EE24"/>
  <c r="EU24"/>
  <c r="FK24"/>
  <c r="GA24"/>
  <c r="GQ24"/>
  <c r="HG24"/>
  <c r="HW24"/>
  <c r="V24"/>
  <c r="AY47"/>
  <c r="BO47"/>
  <c r="CE47"/>
  <c r="CU47"/>
  <c r="DK47"/>
  <c r="EA47"/>
  <c r="EQ47"/>
  <c r="FG47"/>
  <c r="FW47"/>
  <c r="GM47"/>
  <c r="HC47"/>
  <c r="HS47"/>
  <c r="II47"/>
  <c r="AW47"/>
  <c r="BM47"/>
  <c r="CC47"/>
  <c r="CS47"/>
  <c r="DI47"/>
  <c r="DY47"/>
  <c r="EO47"/>
  <c r="FE47"/>
  <c r="FU47"/>
  <c r="GK47"/>
  <c r="HA47"/>
  <c r="HQ47"/>
  <c r="IG47"/>
  <c r="AU47"/>
  <c r="BK47"/>
  <c r="CA47"/>
  <c r="CQ47"/>
  <c r="DG47"/>
  <c r="DW47"/>
  <c r="EM47"/>
  <c r="FC47"/>
  <c r="FS47"/>
  <c r="GI47"/>
  <c r="GY47"/>
  <c r="HO47"/>
  <c r="IE47"/>
  <c r="AS47"/>
  <c r="BI47"/>
  <c r="BY47"/>
  <c r="CO47"/>
  <c r="DE47"/>
  <c r="DU47"/>
  <c r="EK47"/>
  <c r="FA47"/>
  <c r="FQ47"/>
  <c r="GG47"/>
  <c r="GW47"/>
  <c r="HM47"/>
  <c r="IC47"/>
  <c r="AQ47"/>
  <c r="BG47"/>
  <c r="BW47"/>
  <c r="CM47"/>
  <c r="DC47"/>
  <c r="DS47"/>
  <c r="EI47"/>
  <c r="EY47"/>
  <c r="FO47"/>
  <c r="GE47"/>
  <c r="GU47"/>
  <c r="HK47"/>
  <c r="IA47"/>
  <c r="AO47"/>
  <c r="BE47"/>
  <c r="BU47"/>
  <c r="CK47"/>
  <c r="DA47"/>
  <c r="DQ47"/>
  <c r="EG47"/>
  <c r="EW47"/>
  <c r="FM47"/>
  <c r="GC47"/>
  <c r="GS47"/>
  <c r="HI47"/>
  <c r="HY47"/>
  <c r="AM47"/>
  <c r="BC47"/>
  <c r="BS47"/>
  <c r="CI47"/>
  <c r="CY47"/>
  <c r="DO47"/>
  <c r="EE47"/>
  <c r="EU47"/>
  <c r="FK47"/>
  <c r="GA47"/>
  <c r="GQ47"/>
  <c r="HG47"/>
  <c r="HW47"/>
  <c r="AJ47"/>
  <c r="AZ47"/>
  <c r="BP47"/>
  <c r="CF47"/>
  <c r="CV47"/>
  <c r="DL47"/>
  <c r="EB47"/>
  <c r="ER47"/>
  <c r="FH47"/>
  <c r="FX47"/>
  <c r="GN47"/>
  <c r="HD47"/>
  <c r="HT47"/>
  <c r="IJ47"/>
  <c r="AI47"/>
  <c r="AH47"/>
  <c r="AX47"/>
  <c r="BN47"/>
  <c r="CD47"/>
  <c r="CT47"/>
  <c r="DJ47"/>
  <c r="DZ47"/>
  <c r="EP47"/>
  <c r="FF47"/>
  <c r="FV47"/>
  <c r="GL47"/>
  <c r="HB47"/>
  <c r="HR47"/>
  <c r="IH47"/>
  <c r="AG47"/>
  <c r="AF47"/>
  <c r="AV47"/>
  <c r="BL47"/>
  <c r="CB47"/>
  <c r="CR47"/>
  <c r="DH47"/>
  <c r="DX47"/>
  <c r="EN47"/>
  <c r="FD47"/>
  <c r="FT47"/>
  <c r="GJ47"/>
  <c r="GZ47"/>
  <c r="HP47"/>
  <c r="IF47"/>
  <c r="AE47"/>
  <c r="AD47"/>
  <c r="AT47"/>
  <c r="BJ47"/>
  <c r="BZ47"/>
  <c r="CP47"/>
  <c r="DF47"/>
  <c r="DV47"/>
  <c r="EL47"/>
  <c r="FB47"/>
  <c r="FR47"/>
  <c r="GH47"/>
  <c r="GX47"/>
  <c r="HN47"/>
  <c r="ID47"/>
  <c r="AC47"/>
  <c r="AB47"/>
  <c r="AR47"/>
  <c r="BH47"/>
  <c r="BX47"/>
  <c r="CN47"/>
  <c r="DD47"/>
  <c r="DT47"/>
  <c r="EJ47"/>
  <c r="EZ47"/>
  <c r="FP47"/>
  <c r="GF47"/>
  <c r="GV47"/>
  <c r="HL47"/>
  <c r="IB47"/>
  <c r="AA47"/>
  <c r="Z47"/>
  <c r="AP47"/>
  <c r="BF47"/>
  <c r="BV47"/>
  <c r="CL47"/>
  <c r="DB47"/>
  <c r="DR47"/>
  <c r="EH47"/>
  <c r="EX47"/>
  <c r="FN47"/>
  <c r="GD47"/>
  <c r="GT47"/>
  <c r="HJ47"/>
  <c r="HZ47"/>
  <c r="Y47"/>
  <c r="X47"/>
  <c r="AN47"/>
  <c r="BD47"/>
  <c r="BT47"/>
  <c r="CJ47"/>
  <c r="CZ47"/>
  <c r="DP47"/>
  <c r="EF47"/>
  <c r="EV47"/>
  <c r="FL47"/>
  <c r="GB47"/>
  <c r="GR47"/>
  <c r="HH47"/>
  <c r="HX47"/>
  <c r="W47"/>
  <c r="V47"/>
  <c r="AL47"/>
  <c r="BB47"/>
  <c r="BR47"/>
  <c r="CH47"/>
  <c r="CX47"/>
  <c r="DN47"/>
  <c r="ED47"/>
  <c r="ET47"/>
  <c r="FJ47"/>
  <c r="FZ47"/>
  <c r="GP47"/>
  <c r="HF47"/>
  <c r="HV47"/>
  <c r="AZ46"/>
  <c r="BP46"/>
  <c r="CF46"/>
  <c r="CV46"/>
  <c r="DL46"/>
  <c r="EB46"/>
  <c r="ER46"/>
  <c r="FH46"/>
  <c r="FX46"/>
  <c r="GN46"/>
  <c r="HD46"/>
  <c r="HT46"/>
  <c r="IJ46"/>
  <c r="AX46"/>
  <c r="BN46"/>
  <c r="CD46"/>
  <c r="CT46"/>
  <c r="DJ46"/>
  <c r="DZ46"/>
  <c r="EP46"/>
  <c r="FF46"/>
  <c r="FV46"/>
  <c r="GL46"/>
  <c r="HB46"/>
  <c r="HR46"/>
  <c r="IH46"/>
  <c r="AV46"/>
  <c r="BL46"/>
  <c r="CB46"/>
  <c r="CR46"/>
  <c r="DH46"/>
  <c r="DX46"/>
  <c r="EN46"/>
  <c r="FD46"/>
  <c r="FT46"/>
  <c r="GJ46"/>
  <c r="GZ46"/>
  <c r="HP46"/>
  <c r="IF46"/>
  <c r="AT46"/>
  <c r="BJ46"/>
  <c r="BZ46"/>
  <c r="CP46"/>
  <c r="DF46"/>
  <c r="DV46"/>
  <c r="EL46"/>
  <c r="FB46"/>
  <c r="FR46"/>
  <c r="GH46"/>
  <c r="GX46"/>
  <c r="HN46"/>
  <c r="ID46"/>
  <c r="AR46"/>
  <c r="BH46"/>
  <c r="BX46"/>
  <c r="CN46"/>
  <c r="DD46"/>
  <c r="DT46"/>
  <c r="EJ46"/>
  <c r="EZ46"/>
  <c r="FP46"/>
  <c r="GF46"/>
  <c r="GV46"/>
  <c r="HL46"/>
  <c r="IB46"/>
  <c r="AP46"/>
  <c r="BF46"/>
  <c r="BV46"/>
  <c r="CL46"/>
  <c r="DB46"/>
  <c r="DR46"/>
  <c r="EH46"/>
  <c r="EX46"/>
  <c r="FN46"/>
  <c r="GD46"/>
  <c r="GT46"/>
  <c r="HJ46"/>
  <c r="HZ46"/>
  <c r="AN46"/>
  <c r="BD46"/>
  <c r="BT46"/>
  <c r="CJ46"/>
  <c r="CZ46"/>
  <c r="DP46"/>
  <c r="EF46"/>
  <c r="EV46"/>
  <c r="FL46"/>
  <c r="GB46"/>
  <c r="GR46"/>
  <c r="HH46"/>
  <c r="HX46"/>
  <c r="AL46"/>
  <c r="BB46"/>
  <c r="BR46"/>
  <c r="CH46"/>
  <c r="CX46"/>
  <c r="DN46"/>
  <c r="ED46"/>
  <c r="ET46"/>
  <c r="FJ46"/>
  <c r="FZ46"/>
  <c r="GP46"/>
  <c r="HF46"/>
  <c r="HV46"/>
  <c r="AJ46"/>
  <c r="AI46"/>
  <c r="AY46"/>
  <c r="BO46"/>
  <c r="CE46"/>
  <c r="CU46"/>
  <c r="DK46"/>
  <c r="EA46"/>
  <c r="EQ46"/>
  <c r="FG46"/>
  <c r="FW46"/>
  <c r="GM46"/>
  <c r="HC46"/>
  <c r="HS46"/>
  <c r="II46"/>
  <c r="AH46"/>
  <c r="AG46"/>
  <c r="AW46"/>
  <c r="BM46"/>
  <c r="CC46"/>
  <c r="CS46"/>
  <c r="DI46"/>
  <c r="DY46"/>
  <c r="EO46"/>
  <c r="FE46"/>
  <c r="FU46"/>
  <c r="GK46"/>
  <c r="HA46"/>
  <c r="HQ46"/>
  <c r="IG46"/>
  <c r="AF46"/>
  <c r="AE46"/>
  <c r="AU46"/>
  <c r="BK46"/>
  <c r="CA46"/>
  <c r="CQ46"/>
  <c r="DG46"/>
  <c r="DW46"/>
  <c r="EM46"/>
  <c r="FC46"/>
  <c r="FS46"/>
  <c r="GI46"/>
  <c r="GY46"/>
  <c r="HO46"/>
  <c r="IE46"/>
  <c r="AD46"/>
  <c r="AC46"/>
  <c r="AS46"/>
  <c r="BI46"/>
  <c r="BY46"/>
  <c r="CO46"/>
  <c r="DE46"/>
  <c r="DU46"/>
  <c r="EK46"/>
  <c r="FA46"/>
  <c r="FQ46"/>
  <c r="GG46"/>
  <c r="GW46"/>
  <c r="HM46"/>
  <c r="IC46"/>
  <c r="AB46"/>
  <c r="AA46"/>
  <c r="AQ46"/>
  <c r="BG46"/>
  <c r="BW46"/>
  <c r="CM46"/>
  <c r="DC46"/>
  <c r="DS46"/>
  <c r="EI46"/>
  <c r="EY46"/>
  <c r="FO46"/>
  <c r="GE46"/>
  <c r="GU46"/>
  <c r="HK46"/>
  <c r="IA46"/>
  <c r="Z46"/>
  <c r="Y46"/>
  <c r="AO46"/>
  <c r="BE46"/>
  <c r="BU46"/>
  <c r="CK46"/>
  <c r="DA46"/>
  <c r="DQ46"/>
  <c r="EG46"/>
  <c r="EW46"/>
  <c r="FM46"/>
  <c r="GC46"/>
  <c r="GS46"/>
  <c r="HI46"/>
  <c r="HY46"/>
  <c r="X46"/>
  <c r="W46"/>
  <c r="AM46"/>
  <c r="BC46"/>
  <c r="BS46"/>
  <c r="CI46"/>
  <c r="CY46"/>
  <c r="DO46"/>
  <c r="EE46"/>
  <c r="EU46"/>
  <c r="FK46"/>
  <c r="GA46"/>
  <c r="GQ46"/>
  <c r="HG46"/>
  <c r="HW46"/>
  <c r="V46"/>
  <c r="AY45"/>
  <c r="BO45"/>
  <c r="CE45"/>
  <c r="CU45"/>
  <c r="DK45"/>
  <c r="EA45"/>
  <c r="EQ45"/>
  <c r="FG45"/>
  <c r="FW45"/>
  <c r="GM45"/>
  <c r="HC45"/>
  <c r="HS45"/>
  <c r="II45"/>
  <c r="AW45"/>
  <c r="BM45"/>
  <c r="CC45"/>
  <c r="CS45"/>
  <c r="DI45"/>
  <c r="DY45"/>
  <c r="EO45"/>
  <c r="FE45"/>
  <c r="FU45"/>
  <c r="GK45"/>
  <c r="HA45"/>
  <c r="HQ45"/>
  <c r="IG45"/>
  <c r="AU45"/>
  <c r="BK45"/>
  <c r="CA45"/>
  <c r="CQ45"/>
  <c r="DG45"/>
  <c r="DW45"/>
  <c r="EM45"/>
  <c r="FC45"/>
  <c r="FS45"/>
  <c r="GI45"/>
  <c r="GY45"/>
  <c r="HO45"/>
  <c r="IE45"/>
  <c r="AS45"/>
  <c r="BI45"/>
  <c r="BY45"/>
  <c r="CO45"/>
  <c r="DE45"/>
  <c r="DU45"/>
  <c r="EK45"/>
  <c r="FA45"/>
  <c r="FQ45"/>
  <c r="GG45"/>
  <c r="GW45"/>
  <c r="HM45"/>
  <c r="IC45"/>
  <c r="AQ45"/>
  <c r="BG45"/>
  <c r="BW45"/>
  <c r="CM45"/>
  <c r="DC45"/>
  <c r="DS45"/>
  <c r="EI45"/>
  <c r="EY45"/>
  <c r="FO45"/>
  <c r="GE45"/>
  <c r="GU45"/>
  <c r="HK45"/>
  <c r="IA45"/>
  <c r="AO45"/>
  <c r="BE45"/>
  <c r="BU45"/>
  <c r="CK45"/>
  <c r="DA45"/>
  <c r="DQ45"/>
  <c r="EG45"/>
  <c r="EW45"/>
  <c r="FM45"/>
  <c r="GC45"/>
  <c r="GS45"/>
  <c r="HI45"/>
  <c r="HY45"/>
  <c r="AM45"/>
  <c r="BC45"/>
  <c r="BS45"/>
  <c r="CI45"/>
  <c r="CY45"/>
  <c r="DO45"/>
  <c r="EE45"/>
  <c r="EU45"/>
  <c r="FK45"/>
  <c r="GA45"/>
  <c r="GQ45"/>
  <c r="HG45"/>
  <c r="HW45"/>
  <c r="AJ45"/>
  <c r="AZ45"/>
  <c r="BP45"/>
  <c r="CF45"/>
  <c r="CV45"/>
  <c r="DL45"/>
  <c r="EB45"/>
  <c r="ER45"/>
  <c r="FH45"/>
  <c r="FX45"/>
  <c r="GN45"/>
  <c r="HD45"/>
  <c r="HT45"/>
  <c r="IJ45"/>
  <c r="AI45"/>
  <c r="AH45"/>
  <c r="AX45"/>
  <c r="BN45"/>
  <c r="CD45"/>
  <c r="CT45"/>
  <c r="DJ45"/>
  <c r="DZ45"/>
  <c r="EP45"/>
  <c r="FF45"/>
  <c r="FV45"/>
  <c r="GL45"/>
  <c r="HB45"/>
  <c r="HR45"/>
  <c r="IH45"/>
  <c r="AG45"/>
  <c r="AF45"/>
  <c r="AV45"/>
  <c r="BL45"/>
  <c r="CB45"/>
  <c r="CR45"/>
  <c r="DH45"/>
  <c r="DX45"/>
  <c r="EN45"/>
  <c r="FD45"/>
  <c r="FT45"/>
  <c r="GJ45"/>
  <c r="GZ45"/>
  <c r="HP45"/>
  <c r="IF45"/>
  <c r="AE45"/>
  <c r="AD45"/>
  <c r="AT45"/>
  <c r="BJ45"/>
  <c r="BZ45"/>
  <c r="CP45"/>
  <c r="DF45"/>
  <c r="DV45"/>
  <c r="EL45"/>
  <c r="FB45"/>
  <c r="FR45"/>
  <c r="GH45"/>
  <c r="GX45"/>
  <c r="HN45"/>
  <c r="ID45"/>
  <c r="AC45"/>
  <c r="AB45"/>
  <c r="AR45"/>
  <c r="BH45"/>
  <c r="BX45"/>
  <c r="CN45"/>
  <c r="DD45"/>
  <c r="DT45"/>
  <c r="EJ45"/>
  <c r="EZ45"/>
  <c r="FP45"/>
  <c r="GF45"/>
  <c r="GV45"/>
  <c r="HL45"/>
  <c r="IB45"/>
  <c r="AA45"/>
  <c r="Z45"/>
  <c r="AP45"/>
  <c r="BF45"/>
  <c r="BV45"/>
  <c r="CL45"/>
  <c r="DB45"/>
  <c r="DR45"/>
  <c r="EH45"/>
  <c r="EX45"/>
  <c r="FN45"/>
  <c r="GD45"/>
  <c r="GT45"/>
  <c r="HJ45"/>
  <c r="HZ45"/>
  <c r="Y45"/>
  <c r="X45"/>
  <c r="AN45"/>
  <c r="BD45"/>
  <c r="BT45"/>
  <c r="CJ45"/>
  <c r="CZ45"/>
  <c r="DP45"/>
  <c r="EF45"/>
  <c r="EV45"/>
  <c r="FL45"/>
  <c r="GB45"/>
  <c r="GR45"/>
  <c r="HH45"/>
  <c r="HX45"/>
  <c r="W45"/>
  <c r="V45"/>
  <c r="AL45"/>
  <c r="BB45"/>
  <c r="BR45"/>
  <c r="CH45"/>
  <c r="CX45"/>
  <c r="DN45"/>
  <c r="ED45"/>
  <c r="ET45"/>
  <c r="FJ45"/>
  <c r="FZ45"/>
  <c r="GP45"/>
  <c r="HF45"/>
  <c r="HV45"/>
  <c r="AZ44"/>
  <c r="BP44"/>
  <c r="CF44"/>
  <c r="CV44"/>
  <c r="DL44"/>
  <c r="EB44"/>
  <c r="ER44"/>
  <c r="FH44"/>
  <c r="FX44"/>
  <c r="GN44"/>
  <c r="HD44"/>
  <c r="HT44"/>
  <c r="IJ44"/>
  <c r="AX44"/>
  <c r="BN44"/>
  <c r="CD44"/>
  <c r="CT44"/>
  <c r="DJ44"/>
  <c r="DZ44"/>
  <c r="EP44"/>
  <c r="FF44"/>
  <c r="FV44"/>
  <c r="GL44"/>
  <c r="HB44"/>
  <c r="HR44"/>
  <c r="IH44"/>
  <c r="AV44"/>
  <c r="BL44"/>
  <c r="CB44"/>
  <c r="CR44"/>
  <c r="DH44"/>
  <c r="DX44"/>
  <c r="EN44"/>
  <c r="FD44"/>
  <c r="FT44"/>
  <c r="GJ44"/>
  <c r="GZ44"/>
  <c r="HP44"/>
  <c r="IF44"/>
  <c r="AT44"/>
  <c r="BJ44"/>
  <c r="BZ44"/>
  <c r="CP44"/>
  <c r="DF44"/>
  <c r="DV44"/>
  <c r="EL44"/>
  <c r="FB44"/>
  <c r="FR44"/>
  <c r="GH44"/>
  <c r="GX44"/>
  <c r="HN44"/>
  <c r="ID44"/>
  <c r="AR44"/>
  <c r="BH44"/>
  <c r="BX44"/>
  <c r="CN44"/>
  <c r="DD44"/>
  <c r="DT44"/>
  <c r="EJ44"/>
  <c r="EZ44"/>
  <c r="FP44"/>
  <c r="GF44"/>
  <c r="GV44"/>
  <c r="HL44"/>
  <c r="IB44"/>
  <c r="AP44"/>
  <c r="BF44"/>
  <c r="BV44"/>
  <c r="CL44"/>
  <c r="DB44"/>
  <c r="DR44"/>
  <c r="EH44"/>
  <c r="EX44"/>
  <c r="FN44"/>
  <c r="GD44"/>
  <c r="GT44"/>
  <c r="HJ44"/>
  <c r="HZ44"/>
  <c r="AN44"/>
  <c r="BD44"/>
  <c r="BT44"/>
  <c r="CJ44"/>
  <c r="CZ44"/>
  <c r="DP44"/>
  <c r="EF44"/>
  <c r="EV44"/>
  <c r="FL44"/>
  <c r="GB44"/>
  <c r="GR44"/>
  <c r="HH44"/>
  <c r="HX44"/>
  <c r="AL44"/>
  <c r="BB44"/>
  <c r="BR44"/>
  <c r="CH44"/>
  <c r="CX44"/>
  <c r="DN44"/>
  <c r="ED44"/>
  <c r="ET44"/>
  <c r="FJ44"/>
  <c r="FZ44"/>
  <c r="GP44"/>
  <c r="HF44"/>
  <c r="HV44"/>
  <c r="AJ44"/>
  <c r="AI44"/>
  <c r="AY44"/>
  <c r="BO44"/>
  <c r="CE44"/>
  <c r="CU44"/>
  <c r="DK44"/>
  <c r="EA44"/>
  <c r="EQ44"/>
  <c r="FG44"/>
  <c r="FW44"/>
  <c r="GM44"/>
  <c r="HC44"/>
  <c r="HS44"/>
  <c r="II44"/>
  <c r="AH44"/>
  <c r="AG44"/>
  <c r="AW44"/>
  <c r="BM44"/>
  <c r="CC44"/>
  <c r="CS44"/>
  <c r="DI44"/>
  <c r="DY44"/>
  <c r="EO44"/>
  <c r="FE44"/>
  <c r="FU44"/>
  <c r="GK44"/>
  <c r="HA44"/>
  <c r="HQ44"/>
  <c r="IG44"/>
  <c r="AF44"/>
  <c r="AE44"/>
  <c r="AU44"/>
  <c r="BK44"/>
  <c r="CA44"/>
  <c r="CQ44"/>
  <c r="DG44"/>
  <c r="DW44"/>
  <c r="EM44"/>
  <c r="FC44"/>
  <c r="FS44"/>
  <c r="GI44"/>
  <c r="GY44"/>
  <c r="HO44"/>
  <c r="IE44"/>
  <c r="AD44"/>
  <c r="AC44"/>
  <c r="AS44"/>
  <c r="BI44"/>
  <c r="BY44"/>
  <c r="CO44"/>
  <c r="DE44"/>
  <c r="DU44"/>
  <c r="EK44"/>
  <c r="FA44"/>
  <c r="FQ44"/>
  <c r="GG44"/>
  <c r="GW44"/>
  <c r="HM44"/>
  <c r="IC44"/>
  <c r="AB44"/>
  <c r="AA44"/>
  <c r="AQ44"/>
  <c r="BG44"/>
  <c r="BW44"/>
  <c r="CM44"/>
  <c r="DC44"/>
  <c r="DS44"/>
  <c r="EI44"/>
  <c r="EY44"/>
  <c r="FO44"/>
  <c r="GE44"/>
  <c r="GU44"/>
  <c r="HK44"/>
  <c r="IA44"/>
  <c r="Z44"/>
  <c r="Y44"/>
  <c r="AO44"/>
  <c r="BE44"/>
  <c r="BU44"/>
  <c r="CK44"/>
  <c r="DA44"/>
  <c r="DQ44"/>
  <c r="EG44"/>
  <c r="EW44"/>
  <c r="FM44"/>
  <c r="GC44"/>
  <c r="GS44"/>
  <c r="HI44"/>
  <c r="HY44"/>
  <c r="X44"/>
  <c r="W44"/>
  <c r="AM44"/>
  <c r="BC44"/>
  <c r="BS44"/>
  <c r="CI44"/>
  <c r="CY44"/>
  <c r="DO44"/>
  <c r="EE44"/>
  <c r="EU44"/>
  <c r="FK44"/>
  <c r="GA44"/>
  <c r="GQ44"/>
  <c r="HG44"/>
  <c r="HW44"/>
  <c r="V44"/>
  <c r="G189" i="49"/>
  <c r="M48" i="75"/>
  <c r="G49" i="3"/>
  <c r="D49"/>
  <c r="G49" i="61"/>
  <c r="D49"/>
  <c r="G49" i="62"/>
  <c r="D49"/>
  <c r="G49" i="78"/>
  <c r="D49"/>
  <c r="I49"/>
  <c r="J49"/>
  <c r="G49" i="75"/>
  <c r="D49"/>
  <c r="I49"/>
  <c r="J49"/>
  <c r="I48" i="78"/>
  <c r="J48"/>
  <c r="E48"/>
  <c r="I48" i="75"/>
  <c r="J48" s="1"/>
  <c r="E49" i="78"/>
  <c r="AP49" i="62"/>
  <c r="AP49" i="61"/>
  <c r="AP49" i="3"/>
  <c r="E49" i="75"/>
  <c r="E49" i="62"/>
  <c r="I49"/>
  <c r="J49" s="1"/>
  <c r="E49" i="61"/>
  <c r="I49"/>
  <c r="J49"/>
  <c r="E49" i="3"/>
  <c r="I49"/>
  <c r="J49" s="1"/>
  <c r="E48" i="75"/>
  <c r="E48" i="62"/>
  <c r="I48"/>
  <c r="J48" s="1"/>
  <c r="E48" i="61"/>
  <c r="I48"/>
  <c r="J48"/>
  <c r="E48" i="3"/>
  <c r="I48"/>
  <c r="J48" s="1"/>
  <c r="AD42" i="78"/>
  <c r="V46"/>
  <c r="V45"/>
  <c r="V44"/>
  <c r="V43"/>
  <c r="V42"/>
  <c r="V37"/>
  <c r="V36"/>
  <c r="V34"/>
  <c r="V33"/>
  <c r="V32"/>
  <c r="V46" i="75"/>
  <c r="V45"/>
  <c r="V44"/>
  <c r="V43"/>
  <c r="V42"/>
  <c r="V37"/>
  <c r="V36"/>
  <c r="V34"/>
  <c r="V33"/>
  <c r="V32"/>
  <c r="U30" i="61"/>
  <c r="U6"/>
  <c r="U5"/>
  <c r="U30" i="62"/>
  <c r="U6"/>
  <c r="U5"/>
  <c r="U30" i="78"/>
  <c r="U6"/>
  <c r="U5"/>
  <c r="U30" i="75"/>
  <c r="U6"/>
  <c r="U5"/>
  <c r="U30" i="3"/>
  <c r="U6"/>
  <c r="U5"/>
  <c r="F11" i="80"/>
  <c r="E11"/>
  <c r="D11"/>
  <c r="C11"/>
  <c r="AD46" i="78"/>
  <c r="AD45"/>
  <c r="AD44"/>
  <c r="AD43"/>
  <c r="AD37"/>
  <c r="AD36"/>
  <c r="AD34"/>
  <c r="AD33"/>
  <c r="AD32"/>
  <c r="AD46" i="75"/>
  <c r="AD45"/>
  <c r="AD44"/>
  <c r="AD43"/>
  <c r="AD42"/>
  <c r="AD37"/>
  <c r="AD36"/>
  <c r="AD34"/>
  <c r="AD33"/>
  <c r="AD32"/>
  <c r="BA91" i="78"/>
  <c r="AZ91"/>
  <c r="AZ90"/>
  <c r="R89"/>
  <c r="AF89" s="1"/>
  <c r="R88"/>
  <c r="AF88" s="1"/>
  <c r="R87"/>
  <c r="AF87" s="1"/>
  <c r="R86"/>
  <c r="AF86" s="1"/>
  <c r="R85"/>
  <c r="AF85" s="1"/>
  <c r="R84"/>
  <c r="AF84" s="1"/>
  <c r="R83"/>
  <c r="AF83" s="1"/>
  <c r="R82"/>
  <c r="AF82" s="1"/>
  <c r="R81"/>
  <c r="AF81" s="1"/>
  <c r="R80"/>
  <c r="AF80" s="1"/>
  <c r="R79"/>
  <c r="AF79" s="1"/>
  <c r="R78"/>
  <c r="AF78" s="1"/>
  <c r="R77"/>
  <c r="AF77" s="1"/>
  <c r="R76"/>
  <c r="AF76" s="1"/>
  <c r="R75"/>
  <c r="AF75" s="1"/>
  <c r="R74"/>
  <c r="AF74" s="1"/>
  <c r="R73"/>
  <c r="AF73" s="1"/>
  <c r="R72"/>
  <c r="AF72" s="1"/>
  <c r="R71"/>
  <c r="AF71" s="1"/>
  <c r="R70"/>
  <c r="AF70" s="1"/>
  <c r="AZ69"/>
  <c r="AF69"/>
  <c r="BA68"/>
  <c r="AZ68"/>
  <c r="BA67"/>
  <c r="AZ67"/>
  <c r="BA66"/>
  <c r="AZ66"/>
  <c r="AZ65"/>
  <c r="BA64"/>
  <c r="AZ64"/>
  <c r="BA63"/>
  <c r="AZ63"/>
  <c r="AZ62"/>
  <c r="BA61"/>
  <c r="AZ61"/>
  <c r="BA60"/>
  <c r="AZ60"/>
  <c r="M58"/>
  <c r="M57"/>
  <c r="M56"/>
  <c r="BA54"/>
  <c r="AZ54"/>
  <c r="BA53"/>
  <c r="AZ53"/>
  <c r="AZ52"/>
  <c r="BA51"/>
  <c r="AZ51"/>
  <c r="BA50"/>
  <c r="AZ50"/>
  <c r="G46"/>
  <c r="G45"/>
  <c r="G44"/>
  <c r="G43"/>
  <c r="G42"/>
  <c r="G41"/>
  <c r="G40"/>
  <c r="G39"/>
  <c r="G38"/>
  <c r="G37"/>
  <c r="G36"/>
  <c r="G35"/>
  <c r="M35"/>
  <c r="U35" s="1"/>
  <c r="G34"/>
  <c r="G33"/>
  <c r="D33"/>
  <c r="Y32"/>
  <c r="W32"/>
  <c r="I32"/>
  <c r="G32"/>
  <c r="AB30"/>
  <c r="AA30"/>
  <c r="Z30"/>
  <c r="Y30"/>
  <c r="X30"/>
  <c r="W30"/>
  <c r="V30"/>
  <c r="R30"/>
  <c r="Q30"/>
  <c r="P30"/>
  <c r="O30"/>
  <c r="L30"/>
  <c r="AF24"/>
  <c r="AB24"/>
  <c r="AF23"/>
  <c r="AF22"/>
  <c r="N22"/>
  <c r="AF21"/>
  <c r="AB21"/>
  <c r="AB22"/>
  <c r="K21"/>
  <c r="K22"/>
  <c r="K23" s="1"/>
  <c r="K24" s="1"/>
  <c r="AF20"/>
  <c r="AF19"/>
  <c r="J15"/>
  <c r="J16"/>
  <c r="J13"/>
  <c r="J14"/>
  <c r="AF12"/>
  <c r="AF11"/>
  <c r="AB10"/>
  <c r="AB11"/>
  <c r="AB12" s="1"/>
  <c r="AB13" s="1"/>
  <c r="AB14" s="1"/>
  <c r="AB15" s="1"/>
  <c r="AB16" s="1"/>
  <c r="AB17" s="1"/>
  <c r="AB18" s="1"/>
  <c r="AB19" s="1"/>
  <c r="AB20" s="1"/>
  <c r="K10"/>
  <c r="K20" s="1"/>
  <c r="B10"/>
  <c r="K9"/>
  <c r="K19"/>
  <c r="J9"/>
  <c r="J23"/>
  <c r="E8"/>
  <c r="Q7"/>
  <c r="Z7" s="1"/>
  <c r="AB6"/>
  <c r="Z6"/>
  <c r="Y6"/>
  <c r="X6"/>
  <c r="W6"/>
  <c r="V6"/>
  <c r="R6"/>
  <c r="Q6"/>
  <c r="P6"/>
  <c r="O6"/>
  <c r="N6"/>
  <c r="M6"/>
  <c r="L6"/>
  <c r="AB5"/>
  <c r="AB26"/>
  <c r="Z5"/>
  <c r="Z26"/>
  <c r="Y5"/>
  <c r="X5"/>
  <c r="W5"/>
  <c r="V5"/>
  <c r="R5"/>
  <c r="R26"/>
  <c r="Q5"/>
  <c r="Q26"/>
  <c r="P5"/>
  <c r="O5"/>
  <c r="N5"/>
  <c r="N26"/>
  <c r="N2"/>
  <c r="F2"/>
  <c r="N1"/>
  <c r="F1"/>
  <c r="E8" i="75"/>
  <c r="E25" i="49"/>
  <c r="D25"/>
  <c r="BA91" i="75"/>
  <c r="AZ91"/>
  <c r="AZ90"/>
  <c r="R89"/>
  <c r="AF89"/>
  <c r="R88"/>
  <c r="R87"/>
  <c r="R86"/>
  <c r="R85"/>
  <c r="AF85" s="1"/>
  <c r="R84"/>
  <c r="R83"/>
  <c r="R82"/>
  <c r="R81"/>
  <c r="AF81"/>
  <c r="R80"/>
  <c r="R79"/>
  <c r="R78"/>
  <c r="R77"/>
  <c r="AF77" s="1"/>
  <c r="R76"/>
  <c r="R75"/>
  <c r="R74"/>
  <c r="R73"/>
  <c r="AF73"/>
  <c r="R72"/>
  <c r="R71"/>
  <c r="R70"/>
  <c r="AZ69"/>
  <c r="AF69"/>
  <c r="BA68"/>
  <c r="AZ68"/>
  <c r="BA67"/>
  <c r="AZ67"/>
  <c r="BA66"/>
  <c r="AZ66"/>
  <c r="AZ65"/>
  <c r="BA64"/>
  <c r="AZ64"/>
  <c r="BA63"/>
  <c r="AZ63"/>
  <c r="AZ62"/>
  <c r="BA61"/>
  <c r="AZ61"/>
  <c r="BA60"/>
  <c r="AZ60"/>
  <c r="M58"/>
  <c r="M57"/>
  <c r="M56"/>
  <c r="BA54"/>
  <c r="AZ54"/>
  <c r="BA53"/>
  <c r="AZ53"/>
  <c r="AZ52"/>
  <c r="BA51"/>
  <c r="AZ51"/>
  <c r="BA50"/>
  <c r="AZ50"/>
  <c r="G46"/>
  <c r="G45"/>
  <c r="G44"/>
  <c r="G43"/>
  <c r="G42"/>
  <c r="G41"/>
  <c r="G40"/>
  <c r="G39"/>
  <c r="G38"/>
  <c r="G37"/>
  <c r="G36"/>
  <c r="G35"/>
  <c r="AE87"/>
  <c r="G34"/>
  <c r="I33"/>
  <c r="G33"/>
  <c r="M33"/>
  <c r="U33" s="1"/>
  <c r="D33"/>
  <c r="D34"/>
  <c r="I32"/>
  <c r="G32"/>
  <c r="M32"/>
  <c r="U32" s="1"/>
  <c r="AB30"/>
  <c r="AA30"/>
  <c r="Z30"/>
  <c r="Y30"/>
  <c r="X30"/>
  <c r="W30"/>
  <c r="V30"/>
  <c r="R30"/>
  <c r="Q30"/>
  <c r="P30"/>
  <c r="O30"/>
  <c r="L30"/>
  <c r="AF24"/>
  <c r="AB24"/>
  <c r="AF23"/>
  <c r="AF22"/>
  <c r="N22"/>
  <c r="AF21"/>
  <c r="AB21"/>
  <c r="AB22" s="1"/>
  <c r="K21"/>
  <c r="K22" s="1"/>
  <c r="K23" s="1"/>
  <c r="K24" s="1"/>
  <c r="AF20"/>
  <c r="AF19"/>
  <c r="J15"/>
  <c r="J16" s="1"/>
  <c r="J13"/>
  <c r="J14" s="1"/>
  <c r="AF12"/>
  <c r="AF11"/>
  <c r="AB10"/>
  <c r="AB11" s="1"/>
  <c r="AB12" s="1"/>
  <c r="AB13" s="1"/>
  <c r="AB14" s="1"/>
  <c r="AB15" s="1"/>
  <c r="AB16" s="1"/>
  <c r="AB17" s="1"/>
  <c r="AB18" s="1"/>
  <c r="AB19" s="1"/>
  <c r="AB20" s="1"/>
  <c r="K10"/>
  <c r="K20"/>
  <c r="B10"/>
  <c r="K9"/>
  <c r="K19" s="1"/>
  <c r="J9"/>
  <c r="J23" s="1"/>
  <c r="Q7"/>
  <c r="AB6"/>
  <c r="Z6"/>
  <c r="Y6"/>
  <c r="X6"/>
  <c r="W6"/>
  <c r="V6"/>
  <c r="R6"/>
  <c r="Q6"/>
  <c r="P6"/>
  <c r="O6"/>
  <c r="N6"/>
  <c r="M6"/>
  <c r="L6"/>
  <c r="AB5"/>
  <c r="AB26"/>
  <c r="Z5"/>
  <c r="Z26"/>
  <c r="Y5"/>
  <c r="X5"/>
  <c r="W5"/>
  <c r="V5"/>
  <c r="R5"/>
  <c r="R26"/>
  <c r="Q5"/>
  <c r="Q26"/>
  <c r="P5"/>
  <c r="O5"/>
  <c r="N5"/>
  <c r="N26"/>
  <c r="N2"/>
  <c r="F2"/>
  <c r="N1"/>
  <c r="F1"/>
  <c r="W10" i="62"/>
  <c r="O18" i="74"/>
  <c r="N18"/>
  <c r="M18"/>
  <c r="L18"/>
  <c r="K18"/>
  <c r="J18"/>
  <c r="P18"/>
  <c r="Q18"/>
  <c r="I18"/>
  <c r="H18"/>
  <c r="G18"/>
  <c r="F18"/>
  <c r="E18"/>
  <c r="D18"/>
  <c r="B18"/>
  <c r="O17"/>
  <c r="N17"/>
  <c r="M17"/>
  <c r="L17"/>
  <c r="K17"/>
  <c r="J17"/>
  <c r="P17"/>
  <c r="Q17"/>
  <c r="I17"/>
  <c r="H17"/>
  <c r="G17"/>
  <c r="F17"/>
  <c r="E17"/>
  <c r="D17"/>
  <c r="B17"/>
  <c r="O16"/>
  <c r="O21"/>
  <c r="N16"/>
  <c r="N21"/>
  <c r="M16"/>
  <c r="M21"/>
  <c r="L16"/>
  <c r="L21"/>
  <c r="K16"/>
  <c r="K21"/>
  <c r="J16"/>
  <c r="J21"/>
  <c r="I16"/>
  <c r="H16"/>
  <c r="G16"/>
  <c r="F16"/>
  <c r="E16"/>
  <c r="D16"/>
  <c r="B16"/>
  <c r="A16"/>
  <c r="A11"/>
  <c r="A17"/>
  <c r="B1"/>
  <c r="Q17" i="73"/>
  <c r="O18"/>
  <c r="O21"/>
  <c r="N18"/>
  <c r="M18"/>
  <c r="M21"/>
  <c r="L18"/>
  <c r="K18"/>
  <c r="J18"/>
  <c r="P18"/>
  <c r="Q18"/>
  <c r="I18"/>
  <c r="H18"/>
  <c r="G18"/>
  <c r="F18"/>
  <c r="E18"/>
  <c r="D18"/>
  <c r="B18"/>
  <c r="O17"/>
  <c r="N17"/>
  <c r="M17"/>
  <c r="L17"/>
  <c r="K17"/>
  <c r="J17"/>
  <c r="P17"/>
  <c r="I17"/>
  <c r="H17"/>
  <c r="G17"/>
  <c r="F17"/>
  <c r="E17"/>
  <c r="D17"/>
  <c r="B17"/>
  <c r="O16"/>
  <c r="N16"/>
  <c r="N21"/>
  <c r="M16"/>
  <c r="L16"/>
  <c r="L21"/>
  <c r="K16"/>
  <c r="K21"/>
  <c r="J16"/>
  <c r="J21"/>
  <c r="I16"/>
  <c r="H16"/>
  <c r="G16"/>
  <c r="F16"/>
  <c r="E16"/>
  <c r="D16"/>
  <c r="B16"/>
  <c r="A16"/>
  <c r="A11"/>
  <c r="A17"/>
  <c r="B1"/>
  <c r="Q17" i="59"/>
  <c r="J10" i="69"/>
  <c r="J11"/>
  <c r="J12"/>
  <c r="J13"/>
  <c r="J14"/>
  <c r="J15"/>
  <c r="J16"/>
  <c r="J17"/>
  <c r="J18"/>
  <c r="J9"/>
  <c r="B1" i="59"/>
  <c r="Y30" i="61"/>
  <c r="Y6"/>
  <c r="Y5"/>
  <c r="Y30" i="62"/>
  <c r="Y6"/>
  <c r="Y5"/>
  <c r="Y30" i="3"/>
  <c r="Y6"/>
  <c r="Y5"/>
  <c r="AW97" i="67"/>
  <c r="AV97"/>
  <c r="AV96"/>
  <c r="R95"/>
  <c r="AB95"/>
  <c r="R94"/>
  <c r="R93"/>
  <c r="AB93" s="1"/>
  <c r="R92"/>
  <c r="R91"/>
  <c r="AB91"/>
  <c r="R90"/>
  <c r="R89"/>
  <c r="AB89" s="1"/>
  <c r="R88"/>
  <c r="R87"/>
  <c r="AB87"/>
  <c r="R86"/>
  <c r="R85"/>
  <c r="AB85" s="1"/>
  <c r="R84"/>
  <c r="R83"/>
  <c r="AB83"/>
  <c r="R82"/>
  <c r="R81"/>
  <c r="AB81" s="1"/>
  <c r="R80"/>
  <c r="R79"/>
  <c r="AB79"/>
  <c r="R78"/>
  <c r="AB78"/>
  <c r="R77"/>
  <c r="AB77"/>
  <c r="R76"/>
  <c r="AB76"/>
  <c r="AV75"/>
  <c r="AB75"/>
  <c r="AW74"/>
  <c r="AV74"/>
  <c r="AW73"/>
  <c r="AV73"/>
  <c r="AW72"/>
  <c r="AV72"/>
  <c r="AV71"/>
  <c r="AW70"/>
  <c r="AV70"/>
  <c r="AW69"/>
  <c r="AV69"/>
  <c r="AV68"/>
  <c r="AW67"/>
  <c r="AV67"/>
  <c r="AW66"/>
  <c r="AV66"/>
  <c r="M64"/>
  <c r="M63"/>
  <c r="M62"/>
  <c r="M53"/>
  <c r="B53"/>
  <c r="AW51"/>
  <c r="AV51"/>
  <c r="AW50"/>
  <c r="AV50"/>
  <c r="AV49"/>
  <c r="AW48"/>
  <c r="AV48"/>
  <c r="AW47"/>
  <c r="AV47"/>
  <c r="G46"/>
  <c r="G45"/>
  <c r="G44"/>
  <c r="G43"/>
  <c r="G42"/>
  <c r="G41"/>
  <c r="G40"/>
  <c r="G39"/>
  <c r="G38"/>
  <c r="G37"/>
  <c r="G36"/>
  <c r="G35"/>
  <c r="G34"/>
  <c r="G33"/>
  <c r="D33"/>
  <c r="I32"/>
  <c r="G32"/>
  <c r="M32"/>
  <c r="X30"/>
  <c r="W30"/>
  <c r="V30"/>
  <c r="U30"/>
  <c r="T30"/>
  <c r="S30"/>
  <c r="R30"/>
  <c r="Q30"/>
  <c r="P30"/>
  <c r="O30"/>
  <c r="L30"/>
  <c r="AB24"/>
  <c r="X24"/>
  <c r="AB23"/>
  <c r="AB22"/>
  <c r="N22"/>
  <c r="AB21"/>
  <c r="X21"/>
  <c r="X22" s="1"/>
  <c r="K21"/>
  <c r="K22" s="1"/>
  <c r="K23" s="1"/>
  <c r="K24" s="1"/>
  <c r="AB20"/>
  <c r="AB19"/>
  <c r="J15"/>
  <c r="J16" s="1"/>
  <c r="J13"/>
  <c r="J14" s="1"/>
  <c r="AB12"/>
  <c r="AB11"/>
  <c r="X10"/>
  <c r="X11" s="1"/>
  <c r="X12" s="1"/>
  <c r="X13" s="1"/>
  <c r="X14" s="1"/>
  <c r="X15" s="1"/>
  <c r="X16" s="1"/>
  <c r="X17" s="1"/>
  <c r="X18" s="1"/>
  <c r="X19" s="1"/>
  <c r="X20" s="1"/>
  <c r="T10"/>
  <c r="K10"/>
  <c r="K20" s="1"/>
  <c r="B10"/>
  <c r="K9"/>
  <c r="K19"/>
  <c r="J9"/>
  <c r="J24"/>
  <c r="R24" s="1"/>
  <c r="E8"/>
  <c r="Q7"/>
  <c r="X6"/>
  <c r="V6"/>
  <c r="U6"/>
  <c r="T6"/>
  <c r="S6"/>
  <c r="R6"/>
  <c r="Q6"/>
  <c r="P6"/>
  <c r="O6"/>
  <c r="N6"/>
  <c r="N62"/>
  <c r="M6"/>
  <c r="L6"/>
  <c r="X5"/>
  <c r="X26"/>
  <c r="V5"/>
  <c r="V26"/>
  <c r="U5"/>
  <c r="T5"/>
  <c r="S5"/>
  <c r="R5"/>
  <c r="R26"/>
  <c r="Q5"/>
  <c r="Q26"/>
  <c r="P5"/>
  <c r="O5"/>
  <c r="N5"/>
  <c r="N26"/>
  <c r="N2"/>
  <c r="F2"/>
  <c r="N1"/>
  <c r="F1"/>
  <c r="AW97" i="66"/>
  <c r="AV97"/>
  <c r="AV96"/>
  <c r="R95"/>
  <c r="R94"/>
  <c r="R93"/>
  <c r="R92"/>
  <c r="R91"/>
  <c r="R90"/>
  <c r="R89"/>
  <c r="R88"/>
  <c r="R87"/>
  <c r="R86"/>
  <c r="R85"/>
  <c r="R84"/>
  <c r="R83"/>
  <c r="R82"/>
  <c r="R81"/>
  <c r="R80"/>
  <c r="R79"/>
  <c r="R78"/>
  <c r="R77"/>
  <c r="R76"/>
  <c r="AV75"/>
  <c r="AB75"/>
  <c r="AW74"/>
  <c r="AV74"/>
  <c r="AW73"/>
  <c r="AV73"/>
  <c r="AW72"/>
  <c r="AV72"/>
  <c r="AV71"/>
  <c r="AW70"/>
  <c r="AV70"/>
  <c r="AW69"/>
  <c r="AV69"/>
  <c r="AV68"/>
  <c r="AW67"/>
  <c r="AV67"/>
  <c r="AW66"/>
  <c r="AV66"/>
  <c r="M64"/>
  <c r="M63"/>
  <c r="M62"/>
  <c r="B53"/>
  <c r="M53"/>
  <c r="AW51"/>
  <c r="AV51"/>
  <c r="AW50"/>
  <c r="AV50"/>
  <c r="AV49"/>
  <c r="AW48"/>
  <c r="AV48"/>
  <c r="AW47"/>
  <c r="AV47"/>
  <c r="G46"/>
  <c r="G45"/>
  <c r="G44"/>
  <c r="G43"/>
  <c r="G42"/>
  <c r="G41"/>
  <c r="G40"/>
  <c r="G39"/>
  <c r="G38"/>
  <c r="G37"/>
  <c r="G36"/>
  <c r="G35"/>
  <c r="G34"/>
  <c r="M34" s="1"/>
  <c r="D34"/>
  <c r="I33"/>
  <c r="G33"/>
  <c r="M33" s="1"/>
  <c r="D33"/>
  <c r="I32"/>
  <c r="G32"/>
  <c r="Z89" s="1"/>
  <c r="X30"/>
  <c r="W30"/>
  <c r="V30"/>
  <c r="U30"/>
  <c r="T30"/>
  <c r="S30"/>
  <c r="R30"/>
  <c r="Q30"/>
  <c r="P30"/>
  <c r="O30"/>
  <c r="L30"/>
  <c r="AB24"/>
  <c r="X24"/>
  <c r="AB23"/>
  <c r="AB22"/>
  <c r="N22"/>
  <c r="AB21"/>
  <c r="X21"/>
  <c r="X22" s="1"/>
  <c r="K21"/>
  <c r="K22" s="1"/>
  <c r="K23" s="1"/>
  <c r="K24" s="1"/>
  <c r="AB20"/>
  <c r="AB19"/>
  <c r="J15"/>
  <c r="J16" s="1"/>
  <c r="J13"/>
  <c r="J14" s="1"/>
  <c r="AB12"/>
  <c r="AB11"/>
  <c r="X10"/>
  <c r="X11" s="1"/>
  <c r="X12" s="1"/>
  <c r="X13" s="1"/>
  <c r="X14" s="1"/>
  <c r="X15" s="1"/>
  <c r="X16" s="1"/>
  <c r="X17" s="1"/>
  <c r="X18" s="1"/>
  <c r="X19" s="1"/>
  <c r="X20" s="1"/>
  <c r="T10"/>
  <c r="K10"/>
  <c r="K20" s="1"/>
  <c r="B10"/>
  <c r="K9"/>
  <c r="K19"/>
  <c r="J9"/>
  <c r="J24"/>
  <c r="R24" s="1"/>
  <c r="E8"/>
  <c r="F8" s="1"/>
  <c r="Q7"/>
  <c r="V7" s="1"/>
  <c r="X6"/>
  <c r="V6"/>
  <c r="U6"/>
  <c r="T6"/>
  <c r="S6"/>
  <c r="R6"/>
  <c r="Q6"/>
  <c r="P6"/>
  <c r="O6"/>
  <c r="N6"/>
  <c r="N62"/>
  <c r="M6"/>
  <c r="L6"/>
  <c r="X5"/>
  <c r="X26"/>
  <c r="V5"/>
  <c r="V26"/>
  <c r="U5"/>
  <c r="T5"/>
  <c r="S5"/>
  <c r="R5"/>
  <c r="R26"/>
  <c r="Q5"/>
  <c r="Q26"/>
  <c r="P5"/>
  <c r="O5"/>
  <c r="N5"/>
  <c r="N26"/>
  <c r="N2"/>
  <c r="F2"/>
  <c r="N1"/>
  <c r="F1"/>
  <c r="AW97" i="65"/>
  <c r="AV97"/>
  <c r="AV96"/>
  <c r="R95"/>
  <c r="R94"/>
  <c r="AB94" s="1"/>
  <c r="R93"/>
  <c r="R92"/>
  <c r="AB92"/>
  <c r="R91"/>
  <c r="R90"/>
  <c r="AB90" s="1"/>
  <c r="R89"/>
  <c r="R88"/>
  <c r="AB88"/>
  <c r="R87"/>
  <c r="R86"/>
  <c r="AB86" s="1"/>
  <c r="R85"/>
  <c r="R84"/>
  <c r="AB84"/>
  <c r="R83"/>
  <c r="R82"/>
  <c r="AB82" s="1"/>
  <c r="R81"/>
  <c r="R80"/>
  <c r="AB80"/>
  <c r="R79"/>
  <c r="R78"/>
  <c r="AB78" s="1"/>
  <c r="R77"/>
  <c r="AB77" s="1"/>
  <c r="R76"/>
  <c r="AB76" s="1"/>
  <c r="AV75"/>
  <c r="AB75"/>
  <c r="AW74"/>
  <c r="AV74"/>
  <c r="AW73"/>
  <c r="AV73"/>
  <c r="AW72"/>
  <c r="AV72"/>
  <c r="AV71"/>
  <c r="AW70"/>
  <c r="AV70"/>
  <c r="AW69"/>
  <c r="AV69"/>
  <c r="AV68"/>
  <c r="AW67"/>
  <c r="AV67"/>
  <c r="AW66"/>
  <c r="AV66"/>
  <c r="M64"/>
  <c r="M63"/>
  <c r="M62"/>
  <c r="M53"/>
  <c r="B53"/>
  <c r="AW51"/>
  <c r="AV51"/>
  <c r="AW50"/>
  <c r="AV50"/>
  <c r="AV49"/>
  <c r="AW48"/>
  <c r="AV48"/>
  <c r="AW47"/>
  <c r="AV47"/>
  <c r="G46"/>
  <c r="G45"/>
  <c r="G44"/>
  <c r="G43"/>
  <c r="G42"/>
  <c r="G41"/>
  <c r="G40"/>
  <c r="G39"/>
  <c r="G38"/>
  <c r="G37"/>
  <c r="G36"/>
  <c r="G35"/>
  <c r="G34"/>
  <c r="G33"/>
  <c r="D33"/>
  <c r="I32"/>
  <c r="G32"/>
  <c r="M32" s="1"/>
  <c r="X30"/>
  <c r="W30"/>
  <c r="V30"/>
  <c r="U30"/>
  <c r="T30"/>
  <c r="S30"/>
  <c r="R30"/>
  <c r="Q30"/>
  <c r="P30"/>
  <c r="O30"/>
  <c r="L30"/>
  <c r="AB24"/>
  <c r="X24"/>
  <c r="AB23"/>
  <c r="AB22"/>
  <c r="N22"/>
  <c r="AB21"/>
  <c r="X21"/>
  <c r="X22"/>
  <c r="K21"/>
  <c r="K22"/>
  <c r="K23" s="1"/>
  <c r="K24" s="1"/>
  <c r="AB20"/>
  <c r="AB19"/>
  <c r="J15"/>
  <c r="J16"/>
  <c r="J13"/>
  <c r="J14"/>
  <c r="AB12"/>
  <c r="AB11"/>
  <c r="X10"/>
  <c r="X11"/>
  <c r="X12" s="1"/>
  <c r="X13" s="1"/>
  <c r="X14" s="1"/>
  <c r="X15" s="1"/>
  <c r="X16" s="1"/>
  <c r="X17" s="1"/>
  <c r="X18" s="1"/>
  <c r="X19" s="1"/>
  <c r="X20" s="1"/>
  <c r="T10"/>
  <c r="K10"/>
  <c r="K20"/>
  <c r="B10"/>
  <c r="K9"/>
  <c r="K11" s="1"/>
  <c r="J9"/>
  <c r="E8"/>
  <c r="F8"/>
  <c r="Q7"/>
  <c r="V7"/>
  <c r="X6"/>
  <c r="V6"/>
  <c r="U6"/>
  <c r="T6"/>
  <c r="S6"/>
  <c r="R6"/>
  <c r="Q6"/>
  <c r="P6"/>
  <c r="O6"/>
  <c r="N6"/>
  <c r="N62" s="1"/>
  <c r="M6"/>
  <c r="L6"/>
  <c r="X5"/>
  <c r="X26"/>
  <c r="V5"/>
  <c r="V26"/>
  <c r="U5"/>
  <c r="T5"/>
  <c r="S5"/>
  <c r="R5"/>
  <c r="R26"/>
  <c r="Q5"/>
  <c r="Q26"/>
  <c r="P5"/>
  <c r="O5"/>
  <c r="N5"/>
  <c r="N26"/>
  <c r="N2"/>
  <c r="F2"/>
  <c r="N1"/>
  <c r="F1"/>
  <c r="W10" i="3"/>
  <c r="W10" i="61"/>
  <c r="O26" i="63"/>
  <c r="L26"/>
  <c r="I26"/>
  <c r="P30" i="61"/>
  <c r="O30"/>
  <c r="P6"/>
  <c r="O6"/>
  <c r="P5"/>
  <c r="O5"/>
  <c r="P30" i="62"/>
  <c r="O30"/>
  <c r="P6"/>
  <c r="O6"/>
  <c r="P5"/>
  <c r="O5"/>
  <c r="P30" i="3"/>
  <c r="O30"/>
  <c r="P6"/>
  <c r="O6"/>
  <c r="P5"/>
  <c r="O5"/>
  <c r="X30"/>
  <c r="X6"/>
  <c r="X5"/>
  <c r="X30" i="61"/>
  <c r="X6"/>
  <c r="X5"/>
  <c r="X30" i="62"/>
  <c r="X6"/>
  <c r="X5"/>
  <c r="W30" i="3"/>
  <c r="W6"/>
  <c r="W5"/>
  <c r="W30" i="61"/>
  <c r="W6"/>
  <c r="W5"/>
  <c r="W30" i="62"/>
  <c r="W6"/>
  <c r="W5"/>
  <c r="E8"/>
  <c r="E8" i="61"/>
  <c r="O25" i="63"/>
  <c r="O28"/>
  <c r="L25"/>
  <c r="I25"/>
  <c r="I28"/>
  <c r="AB24" i="3"/>
  <c r="AB24" i="61"/>
  <c r="AB24" i="62"/>
  <c r="AB21" i="3"/>
  <c r="AB21" i="61"/>
  <c r="AB21" i="62"/>
  <c r="AB10" i="3"/>
  <c r="AB10" i="61"/>
  <c r="AB11"/>
  <c r="AB12" s="1"/>
  <c r="AB13" s="1"/>
  <c r="AB14" s="1"/>
  <c r="AB15" s="1"/>
  <c r="AB16" s="1"/>
  <c r="AB17" s="1"/>
  <c r="AB18" s="1"/>
  <c r="AB19" s="1"/>
  <c r="AB20" s="1"/>
  <c r="AB10" i="62"/>
  <c r="F23" i="63"/>
  <c r="F22"/>
  <c r="F21"/>
  <c r="F20"/>
  <c r="F19"/>
  <c r="F18"/>
  <c r="F17"/>
  <c r="F16"/>
  <c r="F15"/>
  <c r="F14"/>
  <c r="F13"/>
  <c r="F12"/>
  <c r="F11"/>
  <c r="F10"/>
  <c r="C9"/>
  <c r="A10"/>
  <c r="A11"/>
  <c r="F9"/>
  <c r="V30" i="61"/>
  <c r="V6"/>
  <c r="V5"/>
  <c r="V30" i="62"/>
  <c r="V6"/>
  <c r="V5"/>
  <c r="V30" i="3"/>
  <c r="V6"/>
  <c r="V5"/>
  <c r="M58" i="62"/>
  <c r="M57"/>
  <c r="M56"/>
  <c r="M58" i="61"/>
  <c r="M57"/>
  <c r="M56"/>
  <c r="BA92" i="62"/>
  <c r="AZ92"/>
  <c r="AZ91"/>
  <c r="R90"/>
  <c r="AF90"/>
  <c r="R89"/>
  <c r="AF89"/>
  <c r="R88"/>
  <c r="AF88"/>
  <c r="R87"/>
  <c r="AF87"/>
  <c r="R86"/>
  <c r="AF86"/>
  <c r="R85"/>
  <c r="AF85"/>
  <c r="R84"/>
  <c r="AF84"/>
  <c r="R83"/>
  <c r="AF83"/>
  <c r="R82"/>
  <c r="AF82"/>
  <c r="R81"/>
  <c r="AF81"/>
  <c r="R80"/>
  <c r="AF80"/>
  <c r="R79"/>
  <c r="AF79"/>
  <c r="R78"/>
  <c r="AF78"/>
  <c r="R77"/>
  <c r="AF77"/>
  <c r="R76"/>
  <c r="AF76"/>
  <c r="R75"/>
  <c r="AF75"/>
  <c r="R74"/>
  <c r="AF74"/>
  <c r="R73"/>
  <c r="AF73"/>
  <c r="R72"/>
  <c r="AF72"/>
  <c r="R71"/>
  <c r="AF71"/>
  <c r="AZ70"/>
  <c r="AF70"/>
  <c r="BA69"/>
  <c r="AZ69"/>
  <c r="BA68"/>
  <c r="AZ68"/>
  <c r="BA67"/>
  <c r="AZ67"/>
  <c r="AZ66"/>
  <c r="BA65"/>
  <c r="AZ65"/>
  <c r="BA64"/>
  <c r="AZ64"/>
  <c r="AZ63"/>
  <c r="BA62"/>
  <c r="AZ62"/>
  <c r="BA61"/>
  <c r="AZ61"/>
  <c r="BA54"/>
  <c r="AZ54"/>
  <c r="BA53"/>
  <c r="AZ53"/>
  <c r="AZ52"/>
  <c r="BA51"/>
  <c r="AZ51"/>
  <c r="BA50"/>
  <c r="AZ50"/>
  <c r="G46"/>
  <c r="G45"/>
  <c r="G44"/>
  <c r="G43"/>
  <c r="G42"/>
  <c r="G41"/>
  <c r="G40"/>
  <c r="G39"/>
  <c r="G38"/>
  <c r="G37"/>
  <c r="G36"/>
  <c r="G35"/>
  <c r="G34"/>
  <c r="G33"/>
  <c r="D33"/>
  <c r="D34"/>
  <c r="I32"/>
  <c r="G32"/>
  <c r="M32"/>
  <c r="AB30"/>
  <c r="AA30"/>
  <c r="Z30"/>
  <c r="R30"/>
  <c r="Q30"/>
  <c r="L30"/>
  <c r="AF24"/>
  <c r="AF23"/>
  <c r="AF22"/>
  <c r="N22"/>
  <c r="AF21"/>
  <c r="K21"/>
  <c r="K22" s="1"/>
  <c r="K23" s="1"/>
  <c r="K24" s="1"/>
  <c r="AF20"/>
  <c r="AF19"/>
  <c r="J15"/>
  <c r="J16" s="1"/>
  <c r="J13"/>
  <c r="J14" s="1"/>
  <c r="AF12"/>
  <c r="AF11"/>
  <c r="AB11"/>
  <c r="K10"/>
  <c r="K20"/>
  <c r="B10"/>
  <c r="K9"/>
  <c r="K19" s="1"/>
  <c r="J9"/>
  <c r="J21" s="1"/>
  <c r="Q7"/>
  <c r="Z7" s="1"/>
  <c r="AB6"/>
  <c r="Z6"/>
  <c r="R6"/>
  <c r="Q6"/>
  <c r="N6"/>
  <c r="N59" s="1"/>
  <c r="M6"/>
  <c r="L6"/>
  <c r="AB5"/>
  <c r="AB26"/>
  <c r="Z5"/>
  <c r="Z26"/>
  <c r="R5"/>
  <c r="R26"/>
  <c r="Q5"/>
  <c r="Q26"/>
  <c r="N5"/>
  <c r="N26"/>
  <c r="N2"/>
  <c r="F2"/>
  <c r="N1"/>
  <c r="F1"/>
  <c r="BA92" i="61"/>
  <c r="AZ92"/>
  <c r="AZ91"/>
  <c r="R90"/>
  <c r="R89"/>
  <c r="R88"/>
  <c r="R87"/>
  <c r="R86"/>
  <c r="R85"/>
  <c r="R84"/>
  <c r="R83"/>
  <c r="R82"/>
  <c r="R81"/>
  <c r="R80"/>
  <c r="R79"/>
  <c r="R78"/>
  <c r="R77"/>
  <c r="R76"/>
  <c r="R75"/>
  <c r="R74"/>
  <c r="R73"/>
  <c r="R72"/>
  <c r="R71"/>
  <c r="AZ70"/>
  <c r="AF70"/>
  <c r="BA69"/>
  <c r="AZ69"/>
  <c r="BA68"/>
  <c r="AZ68"/>
  <c r="BA67"/>
  <c r="AZ67"/>
  <c r="AZ66"/>
  <c r="BA65"/>
  <c r="AZ65"/>
  <c r="BA64"/>
  <c r="AZ64"/>
  <c r="AZ63"/>
  <c r="BA62"/>
  <c r="AZ62"/>
  <c r="BA61"/>
  <c r="AZ61"/>
  <c r="BA54"/>
  <c r="AZ54"/>
  <c r="BA53"/>
  <c r="AZ53"/>
  <c r="AZ52"/>
  <c r="BA51"/>
  <c r="AZ51"/>
  <c r="BA50"/>
  <c r="AZ50"/>
  <c r="G46"/>
  <c r="G45"/>
  <c r="G44"/>
  <c r="G43"/>
  <c r="G42"/>
  <c r="G41"/>
  <c r="G40"/>
  <c r="G39"/>
  <c r="G38"/>
  <c r="G37"/>
  <c r="G36"/>
  <c r="G35"/>
  <c r="G34"/>
  <c r="G33"/>
  <c r="M33" s="1"/>
  <c r="D33"/>
  <c r="I33"/>
  <c r="I32"/>
  <c r="G32"/>
  <c r="M32"/>
  <c r="AB30"/>
  <c r="AA30"/>
  <c r="Z30"/>
  <c r="R30"/>
  <c r="Q30"/>
  <c r="L30"/>
  <c r="AF24"/>
  <c r="AF23"/>
  <c r="AF22"/>
  <c r="N22"/>
  <c r="AF21"/>
  <c r="K21"/>
  <c r="K22" s="1"/>
  <c r="K23" s="1"/>
  <c r="K24" s="1"/>
  <c r="AF20"/>
  <c r="AF19"/>
  <c r="J15"/>
  <c r="J16" s="1"/>
  <c r="J13"/>
  <c r="J14" s="1"/>
  <c r="AF12"/>
  <c r="AF11"/>
  <c r="K10"/>
  <c r="K20" s="1"/>
  <c r="B10"/>
  <c r="K9"/>
  <c r="K19"/>
  <c r="J9"/>
  <c r="J21"/>
  <c r="Q7"/>
  <c r="Z7"/>
  <c r="AB6"/>
  <c r="Z6"/>
  <c r="R6"/>
  <c r="Q6"/>
  <c r="N6"/>
  <c r="M6"/>
  <c r="L6"/>
  <c r="AB5"/>
  <c r="AB26"/>
  <c r="Z5"/>
  <c r="Z26"/>
  <c r="R5"/>
  <c r="R26"/>
  <c r="Q5"/>
  <c r="Q26"/>
  <c r="N5"/>
  <c r="N26"/>
  <c r="N2"/>
  <c r="F2"/>
  <c r="N1"/>
  <c r="F1"/>
  <c r="M58" i="3"/>
  <c r="M57"/>
  <c r="M56"/>
  <c r="I32"/>
  <c r="G34"/>
  <c r="G46"/>
  <c r="G45"/>
  <c r="G44"/>
  <c r="G43"/>
  <c r="G42"/>
  <c r="G41"/>
  <c r="G40"/>
  <c r="G39"/>
  <c r="G38"/>
  <c r="G37"/>
  <c r="G36"/>
  <c r="G35"/>
  <c r="G33"/>
  <c r="G32"/>
  <c r="AL19" i="46"/>
  <c r="AL18"/>
  <c r="AL17"/>
  <c r="AL16"/>
  <c r="V19"/>
  <c r="V18"/>
  <c r="V17"/>
  <c r="V16"/>
  <c r="F19"/>
  <c r="F18"/>
  <c r="F17"/>
  <c r="F16"/>
  <c r="AF182" i="49"/>
  <c r="AF181"/>
  <c r="AF180"/>
  <c r="AF179"/>
  <c r="AF176"/>
  <c r="AD182"/>
  <c r="AD181"/>
  <c r="AD180"/>
  <c r="AD179"/>
  <c r="AD176"/>
  <c r="AB182"/>
  <c r="AB181"/>
  <c r="AB180"/>
  <c r="AB179"/>
  <c r="AB176"/>
  <c r="G13" i="46"/>
  <c r="G12" s="1"/>
  <c r="N8" i="60"/>
  <c r="N7"/>
  <c r="M8"/>
  <c r="L8"/>
  <c r="M7"/>
  <c r="L7"/>
  <c r="E8"/>
  <c r="D8"/>
  <c r="E7"/>
  <c r="D7"/>
  <c r="O18" i="59"/>
  <c r="N18"/>
  <c r="M18"/>
  <c r="L18"/>
  <c r="K18"/>
  <c r="J18"/>
  <c r="I18"/>
  <c r="H18"/>
  <c r="G18"/>
  <c r="F18"/>
  <c r="E18"/>
  <c r="D18"/>
  <c r="B18"/>
  <c r="O17"/>
  <c r="N17"/>
  <c r="M17"/>
  <c r="L17"/>
  <c r="K17"/>
  <c r="J17"/>
  <c r="I17"/>
  <c r="H17"/>
  <c r="G17"/>
  <c r="F17"/>
  <c r="E17"/>
  <c r="D17"/>
  <c r="B17"/>
  <c r="O16"/>
  <c r="N16"/>
  <c r="M16"/>
  <c r="L16"/>
  <c r="K16"/>
  <c r="J16"/>
  <c r="I16"/>
  <c r="H16"/>
  <c r="G16"/>
  <c r="F16"/>
  <c r="E16"/>
  <c r="D16"/>
  <c r="B16"/>
  <c r="A16"/>
  <c r="A11"/>
  <c r="A17"/>
  <c r="B10" i="3"/>
  <c r="B183" i="49"/>
  <c r="B184"/>
  <c r="L173"/>
  <c r="K173"/>
  <c r="J173"/>
  <c r="I173"/>
  <c r="C173"/>
  <c r="E32" i="78"/>
  <c r="C174" i="49"/>
  <c r="E33" i="75"/>
  <c r="C27" i="57"/>
  <c r="C26"/>
  <c r="C25"/>
  <c r="C24"/>
  <c r="C23"/>
  <c r="C22"/>
  <c r="C21"/>
  <c r="C20"/>
  <c r="C19"/>
  <c r="C18"/>
  <c r="C17"/>
  <c r="C16"/>
  <c r="C15"/>
  <c r="C14"/>
  <c r="C13"/>
  <c r="C12"/>
  <c r="C11"/>
  <c r="D41" i="47"/>
  <c r="D40"/>
  <c r="E41"/>
  <c r="F40"/>
  <c r="F41"/>
  <c r="G40"/>
  <c r="G41"/>
  <c r="H40"/>
  <c r="H41"/>
  <c r="I40"/>
  <c r="I41"/>
  <c r="J40"/>
  <c r="J41"/>
  <c r="K40"/>
  <c r="K41"/>
  <c r="L40"/>
  <c r="L41"/>
  <c r="M40"/>
  <c r="M41"/>
  <c r="N40"/>
  <c r="N41"/>
  <c r="O40"/>
  <c r="O41"/>
  <c r="P40"/>
  <c r="P41"/>
  <c r="Q40"/>
  <c r="Q41"/>
  <c r="R40"/>
  <c r="R41"/>
  <c r="S40"/>
  <c r="S41"/>
  <c r="D3" i="49"/>
  <c r="AD6"/>
  <c r="AC6"/>
  <c r="AB6"/>
  <c r="AA6"/>
  <c r="Z6"/>
  <c r="Y6"/>
  <c r="X6"/>
  <c r="W6"/>
  <c r="V6"/>
  <c r="U6"/>
  <c r="T6"/>
  <c r="S6"/>
  <c r="R6"/>
  <c r="Q6"/>
  <c r="P6"/>
  <c r="O6"/>
  <c r="N6"/>
  <c r="M6"/>
  <c r="L6"/>
  <c r="K6"/>
  <c r="J6"/>
  <c r="I6"/>
  <c r="H6"/>
  <c r="G6"/>
  <c r="F6"/>
  <c r="E6"/>
  <c r="D6"/>
  <c r="C6"/>
  <c r="B6"/>
  <c r="M42" i="51"/>
  <c r="L42"/>
  <c r="M41"/>
  <c r="L41"/>
  <c r="M34"/>
  <c r="L34"/>
  <c r="M33"/>
  <c r="L33"/>
  <c r="M26"/>
  <c r="L26"/>
  <c r="M25"/>
  <c r="L25"/>
  <c r="M18"/>
  <c r="L18"/>
  <c r="M17"/>
  <c r="L17"/>
  <c r="M10"/>
  <c r="L10"/>
  <c r="M9"/>
  <c r="L9"/>
  <c r="D4" i="47"/>
  <c r="I19" i="49"/>
  <c r="I18" s="1"/>
  <c r="D5" i="47"/>
  <c r="D8"/>
  <c r="D9"/>
  <c r="D12"/>
  <c r="D13"/>
  <c r="D16"/>
  <c r="E17"/>
  <c r="F16"/>
  <c r="F17"/>
  <c r="G16"/>
  <c r="G17"/>
  <c r="H16"/>
  <c r="H17"/>
  <c r="I16"/>
  <c r="I17"/>
  <c r="J16"/>
  <c r="J17"/>
  <c r="K16"/>
  <c r="K17"/>
  <c r="L16"/>
  <c r="L17"/>
  <c r="M16"/>
  <c r="M17"/>
  <c r="N16"/>
  <c r="N17"/>
  <c r="O16"/>
  <c r="O17"/>
  <c r="P16"/>
  <c r="P17"/>
  <c r="Q16"/>
  <c r="Q17"/>
  <c r="R16"/>
  <c r="R17"/>
  <c r="S16"/>
  <c r="S17"/>
  <c r="E13"/>
  <c r="F12"/>
  <c r="F13"/>
  <c r="G12"/>
  <c r="G13"/>
  <c r="H12"/>
  <c r="H13"/>
  <c r="I12"/>
  <c r="I13"/>
  <c r="J12"/>
  <c r="J13"/>
  <c r="K12"/>
  <c r="K13"/>
  <c r="L12"/>
  <c r="L13"/>
  <c r="M12"/>
  <c r="M13"/>
  <c r="N12"/>
  <c r="N13"/>
  <c r="O12"/>
  <c r="O13"/>
  <c r="P12"/>
  <c r="P13"/>
  <c r="Q12"/>
  <c r="Q13"/>
  <c r="R12"/>
  <c r="R13"/>
  <c r="S12"/>
  <c r="S13"/>
  <c r="B39" i="58"/>
  <c r="B40"/>
  <c r="B41"/>
  <c r="B10" i="46"/>
  <c r="E10"/>
  <c r="B31"/>
  <c r="E31"/>
  <c r="A32"/>
  <c r="A38" i="58"/>
  <c r="A39" s="1"/>
  <c r="A40" s="1"/>
  <c r="A41" s="1"/>
  <c r="A42" s="1"/>
  <c r="A43" s="1"/>
  <c r="A44" s="1"/>
  <c r="A45" s="1"/>
  <c r="A46" s="1"/>
  <c r="A47" s="1"/>
  <c r="A48" s="1"/>
  <c r="A49" s="1"/>
  <c r="A50" s="1"/>
  <c r="A51" s="1"/>
  <c r="A52" s="1"/>
  <c r="A53" s="1"/>
  <c r="A54" s="1"/>
  <c r="E11"/>
  <c r="D6"/>
  <c r="F7" i="46"/>
  <c r="F6"/>
  <c r="F8" s="1"/>
  <c r="E38" i="58"/>
  <c r="F38" s="1"/>
  <c r="H38" s="1"/>
  <c r="C38"/>
  <c r="B13"/>
  <c r="B14"/>
  <c r="E12"/>
  <c r="A12"/>
  <c r="A13"/>
  <c r="C12"/>
  <c r="G34"/>
  <c r="D4"/>
  <c r="D3"/>
  <c r="D2"/>
  <c r="D1"/>
  <c r="B1"/>
  <c r="E205" i="50"/>
  <c r="I39" i="49"/>
  <c r="J39"/>
  <c r="A4" i="51"/>
  <c r="A5"/>
  <c r="A6"/>
  <c r="A7"/>
  <c r="A8"/>
  <c r="B11"/>
  <c r="A12"/>
  <c r="A13"/>
  <c r="A14"/>
  <c r="A15"/>
  <c r="A16"/>
  <c r="B19"/>
  <c r="A20"/>
  <c r="A21"/>
  <c r="A22"/>
  <c r="A23"/>
  <c r="A24"/>
  <c r="B27"/>
  <c r="A28"/>
  <c r="A29"/>
  <c r="A30"/>
  <c r="A31"/>
  <c r="A32"/>
  <c r="B35"/>
  <c r="A36"/>
  <c r="A37"/>
  <c r="A38"/>
  <c r="A39"/>
  <c r="A40"/>
  <c r="B43"/>
  <c r="A44"/>
  <c r="A45"/>
  <c r="A46"/>
  <c r="A47"/>
  <c r="A48"/>
  <c r="B51"/>
  <c r="A52"/>
  <c r="A53"/>
  <c r="A54"/>
  <c r="A55"/>
  <c r="A56"/>
  <c r="B59"/>
  <c r="A60"/>
  <c r="A61"/>
  <c r="A62"/>
  <c r="A63"/>
  <c r="A64"/>
  <c r="E25" i="47"/>
  <c r="F24"/>
  <c r="F25"/>
  <c r="G24"/>
  <c r="G25"/>
  <c r="H24"/>
  <c r="H25"/>
  <c r="I24"/>
  <c r="I25"/>
  <c r="J24"/>
  <c r="J25"/>
  <c r="K24"/>
  <c r="K25"/>
  <c r="L24"/>
  <c r="L25"/>
  <c r="M24"/>
  <c r="M25"/>
  <c r="N24"/>
  <c r="N25"/>
  <c r="O24"/>
  <c r="O25"/>
  <c r="P24"/>
  <c r="P25"/>
  <c r="Q24"/>
  <c r="Q25"/>
  <c r="R24"/>
  <c r="R25"/>
  <c r="S24"/>
  <c r="S25"/>
  <c r="E38"/>
  <c r="F37"/>
  <c r="F38"/>
  <c r="G37"/>
  <c r="G38"/>
  <c r="H37"/>
  <c r="H38"/>
  <c r="I37"/>
  <c r="I38"/>
  <c r="J37"/>
  <c r="J38"/>
  <c r="K37"/>
  <c r="K38"/>
  <c r="L37"/>
  <c r="L38"/>
  <c r="M37"/>
  <c r="M38"/>
  <c r="N37"/>
  <c r="N38"/>
  <c r="O37"/>
  <c r="O38"/>
  <c r="P37"/>
  <c r="P38"/>
  <c r="Q37"/>
  <c r="Q38"/>
  <c r="R37"/>
  <c r="R38"/>
  <c r="S37"/>
  <c r="S38"/>
  <c r="E35"/>
  <c r="F34"/>
  <c r="F35"/>
  <c r="G34"/>
  <c r="G35"/>
  <c r="H34"/>
  <c r="H35"/>
  <c r="I34"/>
  <c r="I35"/>
  <c r="J34"/>
  <c r="J35"/>
  <c r="K34"/>
  <c r="K35"/>
  <c r="L34"/>
  <c r="L35"/>
  <c r="M34"/>
  <c r="M35"/>
  <c r="N34"/>
  <c r="N35"/>
  <c r="O34"/>
  <c r="O35"/>
  <c r="P34"/>
  <c r="P35"/>
  <c r="Q34"/>
  <c r="Q35"/>
  <c r="R34"/>
  <c r="R35"/>
  <c r="S34"/>
  <c r="S35"/>
  <c r="E32"/>
  <c r="F31"/>
  <c r="F32"/>
  <c r="G31"/>
  <c r="G32"/>
  <c r="H31"/>
  <c r="H32"/>
  <c r="I31"/>
  <c r="I32"/>
  <c r="J31"/>
  <c r="J32"/>
  <c r="K31"/>
  <c r="K32"/>
  <c r="L31"/>
  <c r="L32"/>
  <c r="M31"/>
  <c r="M32"/>
  <c r="N31"/>
  <c r="N32"/>
  <c r="O31"/>
  <c r="O32"/>
  <c r="P31"/>
  <c r="P32"/>
  <c r="Q31"/>
  <c r="Q32"/>
  <c r="R31"/>
  <c r="R32"/>
  <c r="S31"/>
  <c r="S32"/>
  <c r="E29"/>
  <c r="F28"/>
  <c r="F29"/>
  <c r="G28"/>
  <c r="G29"/>
  <c r="H28"/>
  <c r="H29"/>
  <c r="I28"/>
  <c r="I29"/>
  <c r="J28"/>
  <c r="J29"/>
  <c r="K28"/>
  <c r="K29"/>
  <c r="L28"/>
  <c r="L29"/>
  <c r="M28"/>
  <c r="M29"/>
  <c r="N28"/>
  <c r="N29"/>
  <c r="O28"/>
  <c r="O29"/>
  <c r="P28"/>
  <c r="P29"/>
  <c r="Q28"/>
  <c r="Q29"/>
  <c r="R28"/>
  <c r="R29"/>
  <c r="S28"/>
  <c r="S29"/>
  <c r="E9"/>
  <c r="F8"/>
  <c r="F9"/>
  <c r="G8"/>
  <c r="G9"/>
  <c r="H8"/>
  <c r="E5"/>
  <c r="F4"/>
  <c r="F5"/>
  <c r="G4"/>
  <c r="G5"/>
  <c r="H4"/>
  <c r="H5"/>
  <c r="I4"/>
  <c r="I5"/>
  <c r="J4"/>
  <c r="J5"/>
  <c r="K4"/>
  <c r="K5"/>
  <c r="L4"/>
  <c r="L5"/>
  <c r="M4"/>
  <c r="M5"/>
  <c r="N4"/>
  <c r="N5"/>
  <c r="O4"/>
  <c r="O5"/>
  <c r="P4"/>
  <c r="P5"/>
  <c r="Q4"/>
  <c r="Q5"/>
  <c r="M45" i="51"/>
  <c r="M53"/>
  <c r="M61"/>
  <c r="M44"/>
  <c r="M52"/>
  <c r="M48"/>
  <c r="M56"/>
  <c r="M64"/>
  <c r="L45"/>
  <c r="L53"/>
  <c r="L61"/>
  <c r="L44"/>
  <c r="L52"/>
  <c r="L48"/>
  <c r="L56"/>
  <c r="L64"/>
  <c r="M46"/>
  <c r="M54"/>
  <c r="M62"/>
  <c r="M65"/>
  <c r="L46"/>
  <c r="L54"/>
  <c r="L62"/>
  <c r="M47"/>
  <c r="M55"/>
  <c r="M63"/>
  <c r="L47"/>
  <c r="L55"/>
  <c r="L63"/>
  <c r="M50"/>
  <c r="L50"/>
  <c r="M49"/>
  <c r="L49"/>
  <c r="J41" i="49"/>
  <c r="J43"/>
  <c r="J45"/>
  <c r="I41"/>
  <c r="I43"/>
  <c r="I45"/>
  <c r="J42"/>
  <c r="I42"/>
  <c r="I50" s="1"/>
  <c r="N6" i="3"/>
  <c r="N59" s="1"/>
  <c r="U59" s="1"/>
  <c r="Q6"/>
  <c r="R6"/>
  <c r="J9"/>
  <c r="J24" s="1"/>
  <c r="R24" s="1"/>
  <c r="C7" i="50"/>
  <c r="E178"/>
  <c r="B9"/>
  <c r="A9"/>
  <c r="Z6" i="3"/>
  <c r="E7" i="49"/>
  <c r="D54" i="47"/>
  <c r="D45"/>
  <c r="E8" i="49"/>
  <c r="D46" i="47"/>
  <c r="D47"/>
  <c r="D48"/>
  <c r="D49"/>
  <c r="D50"/>
  <c r="D51"/>
  <c r="D52"/>
  <c r="D53"/>
  <c r="D37"/>
  <c r="D17"/>
  <c r="D20"/>
  <c r="D21"/>
  <c r="D24"/>
  <c r="D25"/>
  <c r="D28"/>
  <c r="D29"/>
  <c r="D31"/>
  <c r="D32"/>
  <c r="D34"/>
  <c r="J19" i="49"/>
  <c r="J18" s="1"/>
  <c r="K19"/>
  <c r="D38" i="47"/>
  <c r="D35"/>
  <c r="I14" i="49"/>
  <c r="I13"/>
  <c r="I15"/>
  <c r="I16"/>
  <c r="C371" i="50"/>
  <c r="E542"/>
  <c r="E506"/>
  <c r="E410"/>
  <c r="C189"/>
  <c r="E360"/>
  <c r="E324"/>
  <c r="E228"/>
  <c r="E142"/>
  <c r="E94"/>
  <c r="E46"/>
  <c r="E55" i="49"/>
  <c r="I66"/>
  <c r="E56"/>
  <c r="E54"/>
  <c r="M13" i="66" s="1"/>
  <c r="AB13" s="1"/>
  <c r="I59" i="49"/>
  <c r="I62"/>
  <c r="I63"/>
  <c r="I64"/>
  <c r="I60"/>
  <c r="I61"/>
  <c r="E22"/>
  <c r="E69"/>
  <c r="D69"/>
  <c r="D116"/>
  <c r="J66"/>
  <c r="J63"/>
  <c r="J64"/>
  <c r="J60"/>
  <c r="J61"/>
  <c r="K66"/>
  <c r="K63"/>
  <c r="K64"/>
  <c r="K60"/>
  <c r="K61"/>
  <c r="L63"/>
  <c r="L64"/>
  <c r="L60"/>
  <c r="L61"/>
  <c r="M63"/>
  <c r="M64"/>
  <c r="M60"/>
  <c r="M61"/>
  <c r="N63"/>
  <c r="N64"/>
  <c r="N60"/>
  <c r="N61"/>
  <c r="O63"/>
  <c r="O64"/>
  <c r="O60"/>
  <c r="O61"/>
  <c r="P63"/>
  <c r="P64"/>
  <c r="P60"/>
  <c r="P61"/>
  <c r="Q63"/>
  <c r="Q64"/>
  <c r="Q60"/>
  <c r="Q61"/>
  <c r="R63"/>
  <c r="R64"/>
  <c r="R60"/>
  <c r="R61"/>
  <c r="S63"/>
  <c r="S64"/>
  <c r="S60"/>
  <c r="S61"/>
  <c r="T63"/>
  <c r="T64"/>
  <c r="T60"/>
  <c r="T61"/>
  <c r="U63"/>
  <c r="U64"/>
  <c r="U60"/>
  <c r="U61"/>
  <c r="V63"/>
  <c r="V64"/>
  <c r="V60"/>
  <c r="V61"/>
  <c r="W63"/>
  <c r="W64"/>
  <c r="W60"/>
  <c r="W61"/>
  <c r="X63"/>
  <c r="X64"/>
  <c r="X60"/>
  <c r="X61"/>
  <c r="B191" i="50"/>
  <c r="A191"/>
  <c r="B203"/>
  <c r="A203"/>
  <c r="A206" s="1"/>
  <c r="B215"/>
  <c r="A215" s="1"/>
  <c r="A218" s="1"/>
  <c r="B227"/>
  <c r="A227"/>
  <c r="A230" s="1"/>
  <c r="B239"/>
  <c r="A239" s="1"/>
  <c r="A242" s="1"/>
  <c r="A243" s="1"/>
  <c r="B251"/>
  <c r="A251" s="1"/>
  <c r="A254" s="1"/>
  <c r="A255" s="1"/>
  <c r="B263"/>
  <c r="A263" s="1"/>
  <c r="A266" s="1"/>
  <c r="A267" s="1"/>
  <c r="B275"/>
  <c r="A275" s="1"/>
  <c r="A278" s="1"/>
  <c r="A279" s="1"/>
  <c r="B287"/>
  <c r="A287" s="1"/>
  <c r="A290" s="1"/>
  <c r="A291" s="1"/>
  <c r="B299"/>
  <c r="A299" s="1"/>
  <c r="A302" s="1"/>
  <c r="A303" s="1"/>
  <c r="B311"/>
  <c r="A311" s="1"/>
  <c r="A314" s="1"/>
  <c r="A315" s="1"/>
  <c r="B323"/>
  <c r="A323" s="1"/>
  <c r="A326" s="1"/>
  <c r="A327" s="1"/>
  <c r="B335"/>
  <c r="A335" s="1"/>
  <c r="A338" s="1"/>
  <c r="A339" s="1"/>
  <c r="B347"/>
  <c r="A347" s="1"/>
  <c r="A350" s="1"/>
  <c r="A351" s="1"/>
  <c r="B359"/>
  <c r="A359" s="1"/>
  <c r="A362" s="1"/>
  <c r="A363" s="1"/>
  <c r="J13" i="3"/>
  <c r="J14" s="1"/>
  <c r="E101" i="49"/>
  <c r="M15" i="65" s="1"/>
  <c r="AB15" s="1"/>
  <c r="R4" i="47"/>
  <c r="R5"/>
  <c r="I48" i="49"/>
  <c r="I47"/>
  <c r="I46"/>
  <c r="I44"/>
  <c r="I52" s="1"/>
  <c r="I133"/>
  <c r="J133"/>
  <c r="K133"/>
  <c r="L133"/>
  <c r="M133"/>
  <c r="N133"/>
  <c r="O133"/>
  <c r="P133"/>
  <c r="Q133"/>
  <c r="R133"/>
  <c r="S133"/>
  <c r="T133"/>
  <c r="U133"/>
  <c r="V133"/>
  <c r="W133"/>
  <c r="X133"/>
  <c r="J140"/>
  <c r="K140"/>
  <c r="L140"/>
  <c r="M140"/>
  <c r="N140"/>
  <c r="O140"/>
  <c r="P140"/>
  <c r="Q140"/>
  <c r="R140"/>
  <c r="S140"/>
  <c r="T140"/>
  <c r="U140"/>
  <c r="V140"/>
  <c r="W140"/>
  <c r="X140"/>
  <c r="J141"/>
  <c r="K141"/>
  <c r="L141"/>
  <c r="M141"/>
  <c r="N141"/>
  <c r="O141"/>
  <c r="P141"/>
  <c r="Q141"/>
  <c r="R141"/>
  <c r="S141"/>
  <c r="T141"/>
  <c r="U141"/>
  <c r="V141"/>
  <c r="W141"/>
  <c r="X141"/>
  <c r="J142"/>
  <c r="K142"/>
  <c r="L142"/>
  <c r="M142"/>
  <c r="N142"/>
  <c r="O142"/>
  <c r="P142"/>
  <c r="Q142"/>
  <c r="R142"/>
  <c r="S142"/>
  <c r="T142"/>
  <c r="U142"/>
  <c r="V142"/>
  <c r="W142"/>
  <c r="X142"/>
  <c r="I86"/>
  <c r="J86"/>
  <c r="K86"/>
  <c r="L86"/>
  <c r="M86"/>
  <c r="N86"/>
  <c r="O86"/>
  <c r="P86"/>
  <c r="Q86"/>
  <c r="R86"/>
  <c r="S86"/>
  <c r="T86"/>
  <c r="U86"/>
  <c r="V86"/>
  <c r="W86"/>
  <c r="X86"/>
  <c r="J93"/>
  <c r="K93"/>
  <c r="L93"/>
  <c r="M93"/>
  <c r="N93"/>
  <c r="O93"/>
  <c r="P93"/>
  <c r="Q93"/>
  <c r="R93"/>
  <c r="S93"/>
  <c r="T93"/>
  <c r="U93"/>
  <c r="V93"/>
  <c r="W93"/>
  <c r="X93"/>
  <c r="J94"/>
  <c r="K94"/>
  <c r="L94"/>
  <c r="M94"/>
  <c r="N94"/>
  <c r="O94"/>
  <c r="P94"/>
  <c r="Q94"/>
  <c r="R94"/>
  <c r="S94"/>
  <c r="T94"/>
  <c r="U94"/>
  <c r="V94"/>
  <c r="W94"/>
  <c r="X94"/>
  <c r="J95"/>
  <c r="K95"/>
  <c r="L95"/>
  <c r="M95"/>
  <c r="N95"/>
  <c r="O95"/>
  <c r="P95"/>
  <c r="Q95"/>
  <c r="R95"/>
  <c r="S95"/>
  <c r="T95"/>
  <c r="U95"/>
  <c r="V95"/>
  <c r="W95"/>
  <c r="X95"/>
  <c r="J46"/>
  <c r="K46"/>
  <c r="L46"/>
  <c r="M46"/>
  <c r="N46"/>
  <c r="O46"/>
  <c r="P46"/>
  <c r="Q46"/>
  <c r="R46"/>
  <c r="S46"/>
  <c r="T46"/>
  <c r="U46"/>
  <c r="V46"/>
  <c r="W46"/>
  <c r="X46"/>
  <c r="J47"/>
  <c r="K47"/>
  <c r="L47"/>
  <c r="M47"/>
  <c r="N47"/>
  <c r="O47"/>
  <c r="P47"/>
  <c r="Q47"/>
  <c r="R47"/>
  <c r="S47"/>
  <c r="T47"/>
  <c r="U47"/>
  <c r="V47"/>
  <c r="W47"/>
  <c r="X47"/>
  <c r="J48"/>
  <c r="K48"/>
  <c r="L48"/>
  <c r="M48"/>
  <c r="N48"/>
  <c r="O48"/>
  <c r="P48"/>
  <c r="Q48"/>
  <c r="R48"/>
  <c r="S48"/>
  <c r="T48"/>
  <c r="U48"/>
  <c r="V48"/>
  <c r="W48"/>
  <c r="X48"/>
  <c r="X113"/>
  <c r="W113"/>
  <c r="V113"/>
  <c r="U113"/>
  <c r="T113"/>
  <c r="S113"/>
  <c r="R113"/>
  <c r="Q113"/>
  <c r="P113"/>
  <c r="O113"/>
  <c r="N113"/>
  <c r="M113"/>
  <c r="L113"/>
  <c r="K113"/>
  <c r="J113"/>
  <c r="J112"/>
  <c r="I113"/>
  <c r="E103"/>
  <c r="I106"/>
  <c r="J106"/>
  <c r="X110"/>
  <c r="X111"/>
  <c r="X107"/>
  <c r="X108"/>
  <c r="X114"/>
  <c r="J12"/>
  <c r="K12"/>
  <c r="L12"/>
  <c r="X13"/>
  <c r="X14"/>
  <c r="X16"/>
  <c r="X17"/>
  <c r="F6" i="52"/>
  <c r="M9" i="3"/>
  <c r="I17" i="49"/>
  <c r="J15"/>
  <c r="J16"/>
  <c r="J17"/>
  <c r="J13"/>
  <c r="J14"/>
  <c r="K16"/>
  <c r="K17"/>
  <c r="K13"/>
  <c r="K14"/>
  <c r="L16"/>
  <c r="L17"/>
  <c r="L13"/>
  <c r="L14"/>
  <c r="M16"/>
  <c r="M17"/>
  <c r="M13"/>
  <c r="M14"/>
  <c r="N16"/>
  <c r="N17"/>
  <c r="N13"/>
  <c r="N14"/>
  <c r="O16"/>
  <c r="O17"/>
  <c r="O13"/>
  <c r="O14"/>
  <c r="P16"/>
  <c r="P17"/>
  <c r="P13"/>
  <c r="P14"/>
  <c r="Q16"/>
  <c r="Q17"/>
  <c r="Q13"/>
  <c r="Q14"/>
  <c r="R16"/>
  <c r="R17"/>
  <c r="R13"/>
  <c r="R14"/>
  <c r="S16"/>
  <c r="S17"/>
  <c r="S13"/>
  <c r="S14"/>
  <c r="T16"/>
  <c r="T17"/>
  <c r="T13"/>
  <c r="T14"/>
  <c r="U16"/>
  <c r="U17"/>
  <c r="U13"/>
  <c r="U14"/>
  <c r="V16"/>
  <c r="V17"/>
  <c r="V13"/>
  <c r="V14"/>
  <c r="W16"/>
  <c r="W17"/>
  <c r="W13"/>
  <c r="W14"/>
  <c r="A22"/>
  <c r="F8" i="52"/>
  <c r="M16" i="3"/>
  <c r="AF16"/>
  <c r="M15"/>
  <c r="AF15"/>
  <c r="J15"/>
  <c r="J16"/>
  <c r="B373" i="50"/>
  <c r="A373"/>
  <c r="B385"/>
  <c r="A385"/>
  <c r="A388" s="1"/>
  <c r="B397"/>
  <c r="A397" s="1"/>
  <c r="A400" s="1"/>
  <c r="B409"/>
  <c r="A409"/>
  <c r="B421"/>
  <c r="A421"/>
  <c r="A424" s="1"/>
  <c r="A425" s="1"/>
  <c r="B433"/>
  <c r="A433"/>
  <c r="A436" s="1"/>
  <c r="B445"/>
  <c r="A445" s="1"/>
  <c r="A448" s="1"/>
  <c r="B457"/>
  <c r="A457"/>
  <c r="A460" s="1"/>
  <c r="B469"/>
  <c r="A469" s="1"/>
  <c r="A472" s="1"/>
  <c r="B481"/>
  <c r="A481"/>
  <c r="A484" s="1"/>
  <c r="B493"/>
  <c r="A493" s="1"/>
  <c r="A496" s="1"/>
  <c r="B505"/>
  <c r="A505"/>
  <c r="A508" s="1"/>
  <c r="B517"/>
  <c r="A517" s="1"/>
  <c r="A520" s="1"/>
  <c r="B529"/>
  <c r="A529"/>
  <c r="A532" s="1"/>
  <c r="B541"/>
  <c r="A541" s="1"/>
  <c r="A544" s="1"/>
  <c r="K10" i="3"/>
  <c r="K16"/>
  <c r="C69" i="49"/>
  <c r="C116"/>
  <c r="A116"/>
  <c r="C70"/>
  <c r="C117"/>
  <c r="A117"/>
  <c r="C71"/>
  <c r="C118"/>
  <c r="A118"/>
  <c r="C72"/>
  <c r="C119"/>
  <c r="A119"/>
  <c r="C73"/>
  <c r="C120"/>
  <c r="A120"/>
  <c r="C74"/>
  <c r="C121"/>
  <c r="A121"/>
  <c r="C75"/>
  <c r="C122"/>
  <c r="A122"/>
  <c r="C76"/>
  <c r="C123"/>
  <c r="A123"/>
  <c r="C77"/>
  <c r="C78"/>
  <c r="C125"/>
  <c r="A125"/>
  <c r="C79"/>
  <c r="C80"/>
  <c r="C127"/>
  <c r="A127"/>
  <c r="C81"/>
  <c r="C82"/>
  <c r="C129"/>
  <c r="A129"/>
  <c r="C83"/>
  <c r="E102"/>
  <c r="I109"/>
  <c r="I110"/>
  <c r="I111"/>
  <c r="I107"/>
  <c r="I108"/>
  <c r="J110"/>
  <c r="J111"/>
  <c r="J107"/>
  <c r="J108"/>
  <c r="K110"/>
  <c r="K111"/>
  <c r="K107"/>
  <c r="K108"/>
  <c r="L110"/>
  <c r="L111"/>
  <c r="L107"/>
  <c r="L108"/>
  <c r="M110"/>
  <c r="M111"/>
  <c r="M107"/>
  <c r="M108"/>
  <c r="N110"/>
  <c r="N111"/>
  <c r="N107"/>
  <c r="N108"/>
  <c r="O110"/>
  <c r="O111"/>
  <c r="O107"/>
  <c r="O108"/>
  <c r="P110"/>
  <c r="P111"/>
  <c r="P107"/>
  <c r="P108"/>
  <c r="Q110"/>
  <c r="Q111"/>
  <c r="Q107"/>
  <c r="Q108"/>
  <c r="R110"/>
  <c r="R111"/>
  <c r="R107"/>
  <c r="R108"/>
  <c r="S110"/>
  <c r="S111"/>
  <c r="S107"/>
  <c r="S108"/>
  <c r="T110"/>
  <c r="T111"/>
  <c r="T107"/>
  <c r="T108"/>
  <c r="U110"/>
  <c r="U111"/>
  <c r="U107"/>
  <c r="U108"/>
  <c r="V110"/>
  <c r="V111"/>
  <c r="V107"/>
  <c r="V108"/>
  <c r="W110"/>
  <c r="W111"/>
  <c r="W107"/>
  <c r="W108"/>
  <c r="A70"/>
  <c r="A72"/>
  <c r="A74"/>
  <c r="A76"/>
  <c r="A78"/>
  <c r="A80"/>
  <c r="A82"/>
  <c r="A23"/>
  <c r="A24"/>
  <c r="A25"/>
  <c r="A26"/>
  <c r="A27"/>
  <c r="A28"/>
  <c r="A29"/>
  <c r="A30"/>
  <c r="A31"/>
  <c r="A32"/>
  <c r="A33"/>
  <c r="A34"/>
  <c r="A35"/>
  <c r="A36"/>
  <c r="A41"/>
  <c r="A42"/>
  <c r="A43"/>
  <c r="A44"/>
  <c r="A45"/>
  <c r="A46"/>
  <c r="A47"/>
  <c r="A48"/>
  <c r="E8" i="3"/>
  <c r="K9"/>
  <c r="K15" s="1"/>
  <c r="B177" i="50"/>
  <c r="A177" s="1"/>
  <c r="A180" s="1"/>
  <c r="B165"/>
  <c r="A165"/>
  <c r="A168" s="1"/>
  <c r="B153"/>
  <c r="A153" s="1"/>
  <c r="A156" s="1"/>
  <c r="B141"/>
  <c r="A141"/>
  <c r="A144" s="1"/>
  <c r="B129"/>
  <c r="A129" s="1"/>
  <c r="A132" s="1"/>
  <c r="B117"/>
  <c r="A117"/>
  <c r="A120" s="1"/>
  <c r="B105"/>
  <c r="A105" s="1"/>
  <c r="A108" s="1"/>
  <c r="B93"/>
  <c r="A93"/>
  <c r="A96" s="1"/>
  <c r="B81"/>
  <c r="A81" s="1"/>
  <c r="A84" s="1"/>
  <c r="B69"/>
  <c r="A69"/>
  <c r="A72" s="1"/>
  <c r="B57"/>
  <c r="A57" s="1"/>
  <c r="A60" s="1"/>
  <c r="A61" s="1"/>
  <c r="B45"/>
  <c r="A45" s="1"/>
  <c r="B33"/>
  <c r="A33" s="1"/>
  <c r="A36" s="1"/>
  <c r="B21"/>
  <c r="A21"/>
  <c r="A24" s="1"/>
  <c r="E63" i="26"/>
  <c r="R71" i="3"/>
  <c r="AF71"/>
  <c r="R72"/>
  <c r="R73"/>
  <c r="AF73" s="1"/>
  <c r="R74"/>
  <c r="R75"/>
  <c r="AF75"/>
  <c r="E62" i="26"/>
  <c r="E61"/>
  <c r="E60"/>
  <c r="E59"/>
  <c r="A11" i="55"/>
  <c r="B10"/>
  <c r="L10"/>
  <c r="O10"/>
  <c r="L11"/>
  <c r="O11"/>
  <c r="L12"/>
  <c r="O12"/>
  <c r="L13"/>
  <c r="O13"/>
  <c r="L14"/>
  <c r="O14"/>
  <c r="L15"/>
  <c r="O15"/>
  <c r="L16"/>
  <c r="O16"/>
  <c r="L17"/>
  <c r="O17"/>
  <c r="L18"/>
  <c r="O18"/>
  <c r="L19"/>
  <c r="O19"/>
  <c r="L20"/>
  <c r="O20"/>
  <c r="L21"/>
  <c r="O21"/>
  <c r="L22"/>
  <c r="O22"/>
  <c r="L23"/>
  <c r="O23"/>
  <c r="L24"/>
  <c r="O24"/>
  <c r="L25"/>
  <c r="O25"/>
  <c r="L26"/>
  <c r="O26"/>
  <c r="L27"/>
  <c r="O27"/>
  <c r="L28"/>
  <c r="O28"/>
  <c r="L29"/>
  <c r="O29"/>
  <c r="F33"/>
  <c r="F34"/>
  <c r="F35"/>
  <c r="J10" i="3"/>
  <c r="AB6"/>
  <c r="M18"/>
  <c r="M14"/>
  <c r="M13"/>
  <c r="M10"/>
  <c r="HV6" i="46"/>
  <c r="II8" s="1"/>
  <c r="IJ7"/>
  <c r="II7"/>
  <c r="IH7"/>
  <c r="IG7"/>
  <c r="IG8"/>
  <c r="IF7"/>
  <c r="IF8"/>
  <c r="IF29" s="1"/>
  <c r="IE7"/>
  <c r="IE8" s="1"/>
  <c r="ID7"/>
  <c r="IC7"/>
  <c r="IC8"/>
  <c r="IB7"/>
  <c r="IB8"/>
  <c r="IB29" s="1"/>
  <c r="IA7"/>
  <c r="IA8" s="1"/>
  <c r="HZ7"/>
  <c r="HY7"/>
  <c r="HY8"/>
  <c r="HX7"/>
  <c r="HX8"/>
  <c r="HX29" s="1"/>
  <c r="HW7"/>
  <c r="HV7"/>
  <c r="HF6"/>
  <c r="HT7"/>
  <c r="HS7"/>
  <c r="HR7"/>
  <c r="HQ7"/>
  <c r="HP7"/>
  <c r="HP8"/>
  <c r="HP29" s="1"/>
  <c r="HO7"/>
  <c r="HN7"/>
  <c r="HM7"/>
  <c r="HL7"/>
  <c r="HL8"/>
  <c r="HL29" s="1"/>
  <c r="HK7"/>
  <c r="HJ7"/>
  <c r="HI7"/>
  <c r="HH7"/>
  <c r="HH8"/>
  <c r="HH29" s="1"/>
  <c r="HG7"/>
  <c r="HF7"/>
  <c r="GP6"/>
  <c r="HC8" s="1"/>
  <c r="HD7"/>
  <c r="HC7"/>
  <c r="HB7"/>
  <c r="HA7"/>
  <c r="HA8"/>
  <c r="GZ7"/>
  <c r="GZ8"/>
  <c r="GZ29" s="1"/>
  <c r="GY7"/>
  <c r="GX7"/>
  <c r="GW7"/>
  <c r="GW8"/>
  <c r="GV7"/>
  <c r="GV8"/>
  <c r="GV29" s="1"/>
  <c r="GU7"/>
  <c r="GT7"/>
  <c r="GS7"/>
  <c r="GS8"/>
  <c r="GR7"/>
  <c r="GR8"/>
  <c r="GR29" s="1"/>
  <c r="GQ7"/>
  <c r="GP7"/>
  <c r="FZ6"/>
  <c r="GJ8" s="1"/>
  <c r="GJ29" s="1"/>
  <c r="GN7"/>
  <c r="GM7"/>
  <c r="GM28" s="1"/>
  <c r="GL7"/>
  <c r="GK7"/>
  <c r="GJ7"/>
  <c r="GI7"/>
  <c r="GI28"/>
  <c r="GH7"/>
  <c r="GG7"/>
  <c r="GF7"/>
  <c r="GF8"/>
  <c r="GF29" s="1"/>
  <c r="GE7"/>
  <c r="GE28" s="1"/>
  <c r="GD7"/>
  <c r="GC7"/>
  <c r="GB7"/>
  <c r="GA7"/>
  <c r="FZ7"/>
  <c r="FJ6"/>
  <c r="FW8"/>
  <c r="FW29" s="1"/>
  <c r="FX7"/>
  <c r="FW7"/>
  <c r="FV7"/>
  <c r="FU7"/>
  <c r="FT7"/>
  <c r="FT8" s="1"/>
  <c r="FT29" s="1"/>
  <c r="FS7"/>
  <c r="FR7"/>
  <c r="FQ7"/>
  <c r="FP7"/>
  <c r="FP8" s="1"/>
  <c r="FP29" s="1"/>
  <c r="FO7"/>
  <c r="FN7"/>
  <c r="FM7"/>
  <c r="FL7"/>
  <c r="FL8" s="1"/>
  <c r="FL29" s="1"/>
  <c r="FK7"/>
  <c r="FJ7"/>
  <c r="ET6"/>
  <c r="EV8"/>
  <c r="EV29" s="1"/>
  <c r="FH7"/>
  <c r="FG7"/>
  <c r="FF7"/>
  <c r="FE7"/>
  <c r="FE28"/>
  <c r="FD7"/>
  <c r="FC7"/>
  <c r="FB7"/>
  <c r="FA7"/>
  <c r="FA28" s="1"/>
  <c r="EZ7"/>
  <c r="EZ8" s="1"/>
  <c r="EZ29" s="1"/>
  <c r="EY7"/>
  <c r="EX7"/>
  <c r="EW7"/>
  <c r="EW28"/>
  <c r="EV7"/>
  <c r="EU7"/>
  <c r="ET7"/>
  <c r="ED6"/>
  <c r="EO8" s="1"/>
  <c r="EO29" s="1"/>
  <c r="ER7"/>
  <c r="ER8"/>
  <c r="ER29" s="1"/>
  <c r="EQ7"/>
  <c r="EP7"/>
  <c r="EO7"/>
  <c r="EN7"/>
  <c r="EM7"/>
  <c r="EL7"/>
  <c r="EK7"/>
  <c r="EJ7"/>
  <c r="EI7"/>
  <c r="EH7"/>
  <c r="EG7"/>
  <c r="EF7"/>
  <c r="EE7"/>
  <c r="ED7"/>
  <c r="DN6"/>
  <c r="EB7"/>
  <c r="EA7"/>
  <c r="EA28" s="1"/>
  <c r="DZ7"/>
  <c r="DY7"/>
  <c r="DX7"/>
  <c r="DW7"/>
  <c r="DW28"/>
  <c r="DV7"/>
  <c r="DU7"/>
  <c r="DT7"/>
  <c r="DS7"/>
  <c r="DS28" s="1"/>
  <c r="DR7"/>
  <c r="DQ7"/>
  <c r="DP7"/>
  <c r="DO7"/>
  <c r="DN7"/>
  <c r="CX6"/>
  <c r="DK8"/>
  <c r="DK29" s="1"/>
  <c r="DL7"/>
  <c r="DK7"/>
  <c r="DJ7"/>
  <c r="DI7"/>
  <c r="DH7"/>
  <c r="DG7"/>
  <c r="DF7"/>
  <c r="DE7"/>
  <c r="DD7"/>
  <c r="DC7"/>
  <c r="DB7"/>
  <c r="DA7"/>
  <c r="CZ7"/>
  <c r="CY7"/>
  <c r="CX7"/>
  <c r="CH6"/>
  <c r="CV7"/>
  <c r="CU7"/>
  <c r="CT7"/>
  <c r="CS7"/>
  <c r="CS28"/>
  <c r="CR7"/>
  <c r="CQ7"/>
  <c r="CP7"/>
  <c r="CO7"/>
  <c r="CO28" s="1"/>
  <c r="CN7"/>
  <c r="CM7"/>
  <c r="CL7"/>
  <c r="CK7"/>
  <c r="CK28"/>
  <c r="CJ7"/>
  <c r="CI7"/>
  <c r="CH7"/>
  <c r="BR6"/>
  <c r="CC8" s="1"/>
  <c r="CC29" s="1"/>
  <c r="CF7"/>
  <c r="CE7"/>
  <c r="CD7"/>
  <c r="CC7"/>
  <c r="CB7"/>
  <c r="CA7"/>
  <c r="BZ7"/>
  <c r="BY7"/>
  <c r="BX7"/>
  <c r="BW7"/>
  <c r="BV7"/>
  <c r="BU7"/>
  <c r="BT7"/>
  <c r="BS7"/>
  <c r="BR7"/>
  <c r="BB6"/>
  <c r="BP7"/>
  <c r="BO7"/>
  <c r="BO28" s="1"/>
  <c r="BN7"/>
  <c r="BM7"/>
  <c r="BL7"/>
  <c r="BK7"/>
  <c r="BK28"/>
  <c r="BJ7"/>
  <c r="BI7"/>
  <c r="BH7"/>
  <c r="BG7"/>
  <c r="BG28" s="1"/>
  <c r="BF7"/>
  <c r="BE7"/>
  <c r="BD7"/>
  <c r="BC7"/>
  <c r="BB7"/>
  <c r="AL6"/>
  <c r="AY8"/>
  <c r="AY29" s="1"/>
  <c r="AZ7"/>
  <c r="AY7"/>
  <c r="AX7"/>
  <c r="AW7"/>
  <c r="AV7"/>
  <c r="AU7"/>
  <c r="AT7"/>
  <c r="AS7"/>
  <c r="AR7"/>
  <c r="AQ7"/>
  <c r="AP7"/>
  <c r="AO7"/>
  <c r="AN7"/>
  <c r="AM7"/>
  <c r="AL7"/>
  <c r="V6"/>
  <c r="AJ7"/>
  <c r="AI7"/>
  <c r="AH7"/>
  <c r="AG7"/>
  <c r="AG28"/>
  <c r="AF7"/>
  <c r="AE7"/>
  <c r="AD7"/>
  <c r="AC7"/>
  <c r="AC28" s="1"/>
  <c r="AB7"/>
  <c r="AA7"/>
  <c r="Z7"/>
  <c r="Y7"/>
  <c r="Y28"/>
  <c r="X7"/>
  <c r="W7"/>
  <c r="V7"/>
  <c r="G9"/>
  <c r="H9"/>
  <c r="I9"/>
  <c r="W9"/>
  <c r="AM9"/>
  <c r="V9"/>
  <c r="AL9"/>
  <c r="T7"/>
  <c r="S7"/>
  <c r="S8" s="1"/>
  <c r="R7"/>
  <c r="Q7"/>
  <c r="Q8"/>
  <c r="Q29" s="1"/>
  <c r="P7"/>
  <c r="O7"/>
  <c r="O8"/>
  <c r="O29" s="1"/>
  <c r="N7"/>
  <c r="M7"/>
  <c r="L7"/>
  <c r="K7"/>
  <c r="J7"/>
  <c r="I7"/>
  <c r="I8"/>
  <c r="I29" s="1"/>
  <c r="H7"/>
  <c r="G7"/>
  <c r="AE56" i="26"/>
  <c r="AE47"/>
  <c r="AE50"/>
  <c r="AB71" s="1"/>
  <c r="AA56"/>
  <c r="AA47"/>
  <c r="AA50"/>
  <c r="X71" s="1"/>
  <c r="W56"/>
  <c r="W47"/>
  <c r="W50"/>
  <c r="T71" s="1"/>
  <c r="S56"/>
  <c r="S47"/>
  <c r="S50"/>
  <c r="P71" s="1"/>
  <c r="BA92" i="3"/>
  <c r="AZ92"/>
  <c r="AZ91"/>
  <c r="R90"/>
  <c r="R89"/>
  <c r="AE89" s="1"/>
  <c r="R88"/>
  <c r="R87"/>
  <c r="R86"/>
  <c r="R85"/>
  <c r="R84"/>
  <c r="R83"/>
  <c r="R82"/>
  <c r="R81"/>
  <c r="R80"/>
  <c r="R79"/>
  <c r="R78"/>
  <c r="R77"/>
  <c r="R76"/>
  <c r="AE75"/>
  <c r="AZ70"/>
  <c r="BA69"/>
  <c r="AZ69"/>
  <c r="BA68"/>
  <c r="AZ68"/>
  <c r="BA67"/>
  <c r="AZ67"/>
  <c r="AZ66"/>
  <c r="BA65"/>
  <c r="AZ65"/>
  <c r="BA64"/>
  <c r="AZ64"/>
  <c r="AZ63"/>
  <c r="BA62"/>
  <c r="AZ62"/>
  <c r="BA61"/>
  <c r="AZ61"/>
  <c r="BA54"/>
  <c r="AZ54"/>
  <c r="BA53"/>
  <c r="AZ53"/>
  <c r="AZ52"/>
  <c r="BA51"/>
  <c r="AZ51"/>
  <c r="BA50"/>
  <c r="AZ50"/>
  <c r="O56" i="53"/>
  <c r="N56"/>
  <c r="M56"/>
  <c r="L56"/>
  <c r="K56"/>
  <c r="J56"/>
  <c r="I56"/>
  <c r="H56"/>
  <c r="G56"/>
  <c r="F56"/>
  <c r="E51"/>
  <c r="E52"/>
  <c r="E53"/>
  <c r="E54"/>
  <c r="E55"/>
  <c r="E56"/>
  <c r="O48"/>
  <c r="N48"/>
  <c r="M48"/>
  <c r="L48"/>
  <c r="K48"/>
  <c r="J48"/>
  <c r="I48"/>
  <c r="H48"/>
  <c r="G48"/>
  <c r="F48"/>
  <c r="E43"/>
  <c r="E44"/>
  <c r="E45"/>
  <c r="E46"/>
  <c r="E47"/>
  <c r="E48"/>
  <c r="O40"/>
  <c r="N40"/>
  <c r="M40"/>
  <c r="L40"/>
  <c r="K40"/>
  <c r="J40"/>
  <c r="I40"/>
  <c r="H40"/>
  <c r="G40"/>
  <c r="F40"/>
  <c r="E35"/>
  <c r="E36"/>
  <c r="E37"/>
  <c r="E38"/>
  <c r="E39"/>
  <c r="E40"/>
  <c r="O32"/>
  <c r="N32"/>
  <c r="M32"/>
  <c r="L32"/>
  <c r="K32"/>
  <c r="J32"/>
  <c r="I32"/>
  <c r="H32"/>
  <c r="G32"/>
  <c r="F32"/>
  <c r="E12"/>
  <c r="E13"/>
  <c r="E14"/>
  <c r="E15"/>
  <c r="E16"/>
  <c r="E17"/>
  <c r="E18"/>
  <c r="E19"/>
  <c r="E20"/>
  <c r="E21"/>
  <c r="E22"/>
  <c r="E23"/>
  <c r="E24"/>
  <c r="E25"/>
  <c r="E26"/>
  <c r="E27"/>
  <c r="E28"/>
  <c r="E29"/>
  <c r="E30"/>
  <c r="E31"/>
  <c r="AI48" i="26"/>
  <c r="AI49"/>
  <c r="Q7" i="3"/>
  <c r="Z7"/>
  <c r="AB11"/>
  <c r="D33"/>
  <c r="I33"/>
  <c r="J33" s="1"/>
  <c r="K21"/>
  <c r="K22" s="1"/>
  <c r="K23" s="1"/>
  <c r="K24" s="1"/>
  <c r="A11" i="57"/>
  <c r="U10" i="55"/>
  <c r="X10"/>
  <c r="AD10"/>
  <c r="AG10"/>
  <c r="AM10"/>
  <c r="AP10"/>
  <c r="AV10"/>
  <c r="AY10"/>
  <c r="U11"/>
  <c r="X11"/>
  <c r="AD11"/>
  <c r="AG11"/>
  <c r="AM11"/>
  <c r="AP11"/>
  <c r="AV11"/>
  <c r="AY11"/>
  <c r="U12"/>
  <c r="X12"/>
  <c r="AD12"/>
  <c r="AG12"/>
  <c r="AM12"/>
  <c r="AP12"/>
  <c r="AV12"/>
  <c r="AY12"/>
  <c r="U13"/>
  <c r="X13"/>
  <c r="AD13"/>
  <c r="AG13"/>
  <c r="AM13"/>
  <c r="AP13"/>
  <c r="AV13"/>
  <c r="AY13"/>
  <c r="U14"/>
  <c r="X14"/>
  <c r="AD14"/>
  <c r="AG14"/>
  <c r="AM14"/>
  <c r="AP14"/>
  <c r="AV14"/>
  <c r="AY14"/>
  <c r="U15"/>
  <c r="X15"/>
  <c r="AD15"/>
  <c r="AG15"/>
  <c r="AM15"/>
  <c r="AP15"/>
  <c r="AV15"/>
  <c r="AY15"/>
  <c r="U16"/>
  <c r="X16"/>
  <c r="AD16"/>
  <c r="AG16"/>
  <c r="AM16"/>
  <c r="AP16"/>
  <c r="AV16"/>
  <c r="AY16"/>
  <c r="U17"/>
  <c r="X17"/>
  <c r="AD17"/>
  <c r="AG17"/>
  <c r="AM17"/>
  <c r="AP17"/>
  <c r="AV17"/>
  <c r="AY17"/>
  <c r="U18"/>
  <c r="X18"/>
  <c r="AD18"/>
  <c r="AG18"/>
  <c r="AM18"/>
  <c r="AP18"/>
  <c r="AV18"/>
  <c r="AY18"/>
  <c r="U19"/>
  <c r="X19"/>
  <c r="AD19"/>
  <c r="AG19"/>
  <c r="AM19"/>
  <c r="AP19"/>
  <c r="AV19"/>
  <c r="AY19"/>
  <c r="U20"/>
  <c r="X20"/>
  <c r="AD20"/>
  <c r="AG20"/>
  <c r="AM20"/>
  <c r="AP20"/>
  <c r="AV20"/>
  <c r="AY20"/>
  <c r="U21"/>
  <c r="X21"/>
  <c r="AD21"/>
  <c r="AG21"/>
  <c r="AM21"/>
  <c r="AP21"/>
  <c r="AV21"/>
  <c r="AY21"/>
  <c r="U22"/>
  <c r="X22"/>
  <c r="AD22"/>
  <c r="AG22"/>
  <c r="AM22"/>
  <c r="AP22"/>
  <c r="AV22"/>
  <c r="AY22"/>
  <c r="U23"/>
  <c r="X23"/>
  <c r="AD23"/>
  <c r="AG23"/>
  <c r="AM23"/>
  <c r="AP23"/>
  <c r="AV23"/>
  <c r="AY23"/>
  <c r="U24"/>
  <c r="X24"/>
  <c r="AD24"/>
  <c r="AG24"/>
  <c r="AM24"/>
  <c r="AP24"/>
  <c r="AV24"/>
  <c r="AY24"/>
  <c r="U25"/>
  <c r="X25"/>
  <c r="AD25"/>
  <c r="AG25"/>
  <c r="AM25"/>
  <c r="AP25"/>
  <c r="AV25"/>
  <c r="AY25"/>
  <c r="U26"/>
  <c r="X26"/>
  <c r="AD26"/>
  <c r="AG26"/>
  <c r="AM26"/>
  <c r="AP26"/>
  <c r="AV26"/>
  <c r="AY26"/>
  <c r="U27"/>
  <c r="X27"/>
  <c r="AD27"/>
  <c r="AG27"/>
  <c r="AM27"/>
  <c r="AP27"/>
  <c r="AV27"/>
  <c r="AY27"/>
  <c r="U28"/>
  <c r="X28"/>
  <c r="AD28"/>
  <c r="AG28"/>
  <c r="AM28"/>
  <c r="AP28"/>
  <c r="AV28"/>
  <c r="AY28"/>
  <c r="U29"/>
  <c r="X29"/>
  <c r="AD29"/>
  <c r="AG29"/>
  <c r="AM29"/>
  <c r="AP29"/>
  <c r="AV29"/>
  <c r="AY29"/>
  <c r="AE9"/>
  <c r="AN9"/>
  <c r="AW9"/>
  <c r="C10" i="57"/>
  <c r="D10" i="55"/>
  <c r="D10" i="57" s="1"/>
  <c r="C29"/>
  <c r="C28"/>
  <c r="C1"/>
  <c r="C2"/>
  <c r="C3"/>
  <c r="C4"/>
  <c r="B10"/>
  <c r="E32" i="3"/>
  <c r="C4" i="55"/>
  <c r="C3"/>
  <c r="C2"/>
  <c r="C1"/>
  <c r="E10"/>
  <c r="E11"/>
  <c r="E12"/>
  <c r="E13"/>
  <c r="E14"/>
  <c r="E15"/>
  <c r="E16"/>
  <c r="E17"/>
  <c r="E18"/>
  <c r="E19"/>
  <c r="E20"/>
  <c r="E21"/>
  <c r="E22"/>
  <c r="E23"/>
  <c r="E24"/>
  <c r="E25"/>
  <c r="E26"/>
  <c r="E27"/>
  <c r="E28"/>
  <c r="E29"/>
  <c r="B83" i="52"/>
  <c r="B82"/>
  <c r="B81"/>
  <c r="B80"/>
  <c r="A83"/>
  <c r="A82"/>
  <c r="A81"/>
  <c r="A80"/>
  <c r="B77"/>
  <c r="B76"/>
  <c r="A77"/>
  <c r="A76"/>
  <c r="B73" i="26"/>
  <c r="B72"/>
  <c r="B71"/>
  <c r="B70"/>
  <c r="A73"/>
  <c r="A72"/>
  <c r="A71"/>
  <c r="A70"/>
  <c r="B67"/>
  <c r="B66"/>
  <c r="A67"/>
  <c r="A66"/>
  <c r="B383" i="50"/>
  <c r="B395" s="1"/>
  <c r="B407" s="1"/>
  <c r="B419" s="1"/>
  <c r="B431" s="1"/>
  <c r="F375"/>
  <c r="G375"/>
  <c r="H375"/>
  <c r="I375"/>
  <c r="J375"/>
  <c r="K375"/>
  <c r="L375"/>
  <c r="M375"/>
  <c r="N375"/>
  <c r="O375"/>
  <c r="P375"/>
  <c r="Q375"/>
  <c r="B382"/>
  <c r="B394" s="1"/>
  <c r="B381"/>
  <c r="B393" s="1"/>
  <c r="B380"/>
  <c r="B392" s="1"/>
  <c r="B404" s="1"/>
  <c r="B416" s="1"/>
  <c r="B379"/>
  <c r="B391" s="1"/>
  <c r="B378"/>
  <c r="B390" s="1"/>
  <c r="B402"/>
  <c r="B414" s="1"/>
  <c r="B377"/>
  <c r="B389" s="1"/>
  <c r="B376"/>
  <c r="B388" s="1"/>
  <c r="B201"/>
  <c r="B213"/>
  <c r="F193"/>
  <c r="G193"/>
  <c r="H193"/>
  <c r="I193"/>
  <c r="J193"/>
  <c r="K193"/>
  <c r="L193"/>
  <c r="M193"/>
  <c r="N193"/>
  <c r="O193"/>
  <c r="P193"/>
  <c r="Q193"/>
  <c r="B200"/>
  <c r="B212"/>
  <c r="B199"/>
  <c r="B211"/>
  <c r="B223" s="1"/>
  <c r="B198"/>
  <c r="B210" s="1"/>
  <c r="B197"/>
  <c r="B209"/>
  <c r="B196"/>
  <c r="B208"/>
  <c r="B195"/>
  <c r="B207"/>
  <c r="B219" s="1"/>
  <c r="J219" s="1"/>
  <c r="B194"/>
  <c r="B206" s="1"/>
  <c r="B19"/>
  <c r="B31" s="1"/>
  <c r="F11"/>
  <c r="G11"/>
  <c r="H11"/>
  <c r="I11"/>
  <c r="J11"/>
  <c r="K11"/>
  <c r="L11"/>
  <c r="M11"/>
  <c r="N11"/>
  <c r="O11"/>
  <c r="P11"/>
  <c r="Q11"/>
  <c r="B18"/>
  <c r="B30" s="1"/>
  <c r="B17"/>
  <c r="B29" s="1"/>
  <c r="B16"/>
  <c r="B28" s="1"/>
  <c r="J28" s="1"/>
  <c r="B15"/>
  <c r="B27" s="1"/>
  <c r="J27" s="1"/>
  <c r="B14"/>
  <c r="B26" s="1"/>
  <c r="B13"/>
  <c r="B25" s="1"/>
  <c r="B12"/>
  <c r="B24" s="1"/>
  <c r="O47" i="26"/>
  <c r="L30" i="3"/>
  <c r="Q30"/>
  <c r="R30"/>
  <c r="Z30"/>
  <c r="AA30"/>
  <c r="AB30"/>
  <c r="N5" i="49"/>
  <c r="S4" i="47"/>
  <c r="S5"/>
  <c r="B174" i="49"/>
  <c r="A11" i="46"/>
  <c r="K17" i="3"/>
  <c r="A13" i="53"/>
  <c r="A14"/>
  <c r="A15"/>
  <c r="A16"/>
  <c r="D13"/>
  <c r="D14"/>
  <c r="D15"/>
  <c r="D16"/>
  <c r="D17"/>
  <c r="D18"/>
  <c r="D19"/>
  <c r="D20"/>
  <c r="D21"/>
  <c r="D22"/>
  <c r="D23"/>
  <c r="D24"/>
  <c r="D25"/>
  <c r="D26"/>
  <c r="D27"/>
  <c r="D28"/>
  <c r="D29"/>
  <c r="D30"/>
  <c r="D31"/>
  <c r="G6"/>
  <c r="H6"/>
  <c r="I6"/>
  <c r="A42" i="52"/>
  <c r="B42"/>
  <c r="C42" s="1"/>
  <c r="A43"/>
  <c r="B43"/>
  <c r="C76"/>
  <c r="C77"/>
  <c r="C81"/>
  <c r="AG74"/>
  <c r="AG73"/>
  <c r="AG72"/>
  <c r="AG71"/>
  <c r="AG70"/>
  <c r="AE74"/>
  <c r="AE73"/>
  <c r="AE72"/>
  <c r="AE71"/>
  <c r="AE70"/>
  <c r="AC74"/>
  <c r="AC73"/>
  <c r="AC72"/>
  <c r="AC71"/>
  <c r="AC70"/>
  <c r="AA74"/>
  <c r="AA73"/>
  <c r="AA72"/>
  <c r="AA71"/>
  <c r="AA70"/>
  <c r="Y74"/>
  <c r="Y73"/>
  <c r="Y72"/>
  <c r="Y71"/>
  <c r="Y70"/>
  <c r="W74"/>
  <c r="W73"/>
  <c r="W72"/>
  <c r="W71"/>
  <c r="W70"/>
  <c r="U74"/>
  <c r="U73"/>
  <c r="U72"/>
  <c r="U71"/>
  <c r="U70"/>
  <c r="S74"/>
  <c r="S73"/>
  <c r="S72"/>
  <c r="S71"/>
  <c r="S70"/>
  <c r="R11"/>
  <c r="T11"/>
  <c r="V11"/>
  <c r="X11"/>
  <c r="Q74"/>
  <c r="Q73"/>
  <c r="Q72"/>
  <c r="Q71"/>
  <c r="Q70"/>
  <c r="B55" i="53"/>
  <c r="B54"/>
  <c r="B53"/>
  <c r="B52"/>
  <c r="B51"/>
  <c r="R22"/>
  <c r="R23"/>
  <c r="R24"/>
  <c r="R25"/>
  <c r="R26"/>
  <c r="R27"/>
  <c r="R28"/>
  <c r="R29"/>
  <c r="R30"/>
  <c r="R31"/>
  <c r="O2" i="26"/>
  <c r="S2"/>
  <c r="W2"/>
  <c r="AA2"/>
  <c r="AE2"/>
  <c r="D16" i="52"/>
  <c r="D17"/>
  <c r="C83"/>
  <c r="C82"/>
  <c r="A46"/>
  <c r="B46"/>
  <c r="A47"/>
  <c r="B47"/>
  <c r="C47"/>
  <c r="C80"/>
  <c r="A10" i="54"/>
  <c r="C1" i="53"/>
  <c r="C1" i="54"/>
  <c r="C2" i="53"/>
  <c r="C2" i="54"/>
  <c r="C3" i="53"/>
  <c r="C3" i="54"/>
  <c r="C4" i="53"/>
  <c r="C4" i="54"/>
  <c r="B2"/>
  <c r="B3"/>
  <c r="B4"/>
  <c r="B1"/>
  <c r="O74" i="52"/>
  <c r="O73"/>
  <c r="O72"/>
  <c r="O71"/>
  <c r="O70"/>
  <c r="M74"/>
  <c r="M73"/>
  <c r="M72"/>
  <c r="M71"/>
  <c r="M70"/>
  <c r="R56" i="53"/>
  <c r="R55"/>
  <c r="R54"/>
  <c r="R53"/>
  <c r="R52"/>
  <c r="R51"/>
  <c r="R50"/>
  <c r="R49"/>
  <c r="R48"/>
  <c r="R47"/>
  <c r="R46"/>
  <c r="R45"/>
  <c r="R44"/>
  <c r="R43"/>
  <c r="R42"/>
  <c r="R41"/>
  <c r="R40"/>
  <c r="R39"/>
  <c r="R38"/>
  <c r="R37"/>
  <c r="R36"/>
  <c r="R35"/>
  <c r="R34"/>
  <c r="R33"/>
  <c r="R21"/>
  <c r="R20"/>
  <c r="R19"/>
  <c r="R18"/>
  <c r="R17"/>
  <c r="R16"/>
  <c r="R15"/>
  <c r="R14"/>
  <c r="R13"/>
  <c r="R12"/>
  <c r="R11"/>
  <c r="R10"/>
  <c r="R9"/>
  <c r="R8"/>
  <c r="AJ14" i="52"/>
  <c r="AJ94"/>
  <c r="AJ88"/>
  <c r="AJ87"/>
  <c r="AJ85"/>
  <c r="AJ79"/>
  <c r="AJ75"/>
  <c r="AJ68"/>
  <c r="AJ67"/>
  <c r="AJ60"/>
  <c r="AJ59"/>
  <c r="AJ52"/>
  <c r="AJ51"/>
  <c r="AJ49"/>
  <c r="AJ45"/>
  <c r="AJ41"/>
  <c r="AJ40"/>
  <c r="AJ36"/>
  <c r="AJ15"/>
  <c r="AJ13"/>
  <c r="B13" i="53"/>
  <c r="B12"/>
  <c r="F1" i="52"/>
  <c r="F2"/>
  <c r="F3"/>
  <c r="F4"/>
  <c r="C4" i="46"/>
  <c r="C3"/>
  <c r="C2"/>
  <c r="W30"/>
  <c r="V30"/>
  <c r="V43"/>
  <c r="W42"/>
  <c r="V42"/>
  <c r="V41"/>
  <c r="W40"/>
  <c r="V40"/>
  <c r="V39"/>
  <c r="W38"/>
  <c r="V38"/>
  <c r="V37"/>
  <c r="W36"/>
  <c r="V36"/>
  <c r="V35"/>
  <c r="W34"/>
  <c r="V34"/>
  <c r="V33"/>
  <c r="W32"/>
  <c r="V32"/>
  <c r="V31"/>
  <c r="IJ28"/>
  <c r="II28"/>
  <c r="IH28"/>
  <c r="IG28"/>
  <c r="IF28"/>
  <c r="IE28"/>
  <c r="ID28"/>
  <c r="IC28"/>
  <c r="IB28"/>
  <c r="IA28"/>
  <c r="HZ28"/>
  <c r="HY28"/>
  <c r="HX28"/>
  <c r="HW28"/>
  <c r="HV28"/>
  <c r="W23"/>
  <c r="AM23"/>
  <c r="BC23"/>
  <c r="BS23"/>
  <c r="CI23"/>
  <c r="CY23"/>
  <c r="DO23"/>
  <c r="EE23"/>
  <c r="EU23"/>
  <c r="FK23"/>
  <c r="GA23"/>
  <c r="GQ23"/>
  <c r="HG23"/>
  <c r="HW23"/>
  <c r="V23"/>
  <c r="AL23"/>
  <c r="BB23"/>
  <c r="BR23"/>
  <c r="CH23"/>
  <c r="CX23"/>
  <c r="DN23"/>
  <c r="ED23"/>
  <c r="ET23"/>
  <c r="FJ23"/>
  <c r="FZ23"/>
  <c r="GP23"/>
  <c r="HF23"/>
  <c r="HV23"/>
  <c r="W22"/>
  <c r="AM22"/>
  <c r="V22"/>
  <c r="AL22"/>
  <c r="W21"/>
  <c r="AM21"/>
  <c r="V21"/>
  <c r="AL21"/>
  <c r="W20"/>
  <c r="AM20"/>
  <c r="V20"/>
  <c r="AL20"/>
  <c r="W19"/>
  <c r="AM19"/>
  <c r="W18"/>
  <c r="AM18"/>
  <c r="W17"/>
  <c r="AM17"/>
  <c r="W16"/>
  <c r="AM16"/>
  <c r="W15"/>
  <c r="AM15"/>
  <c r="V15"/>
  <c r="AL15"/>
  <c r="W14"/>
  <c r="AM14"/>
  <c r="V14"/>
  <c r="AL14"/>
  <c r="W13"/>
  <c r="AM13" s="1"/>
  <c r="BC13" s="1"/>
  <c r="BS13" s="1"/>
  <c r="CI13" s="1"/>
  <c r="CY13" s="1"/>
  <c r="DO13" s="1"/>
  <c r="EE13" s="1"/>
  <c r="EU13" s="1"/>
  <c r="FK13" s="1"/>
  <c r="GA13" s="1"/>
  <c r="GQ13" s="1"/>
  <c r="HG13" s="1"/>
  <c r="HW13" s="1"/>
  <c r="V13"/>
  <c r="AL13"/>
  <c r="V12"/>
  <c r="AL12"/>
  <c r="V11"/>
  <c r="AL11"/>
  <c r="W10"/>
  <c r="AM10"/>
  <c r="V10"/>
  <c r="AL10"/>
  <c r="HT28"/>
  <c r="HR28"/>
  <c r="HP28"/>
  <c r="HN28"/>
  <c r="HL28"/>
  <c r="HJ28"/>
  <c r="HH28"/>
  <c r="HG28"/>
  <c r="HF28"/>
  <c r="HD28"/>
  <c r="HC28"/>
  <c r="HB28"/>
  <c r="HA28"/>
  <c r="GZ28"/>
  <c r="GY28"/>
  <c r="GX28"/>
  <c r="GW28"/>
  <c r="GV28"/>
  <c r="GU28"/>
  <c r="GT28"/>
  <c r="GS28"/>
  <c r="GR28"/>
  <c r="GQ28"/>
  <c r="GP28"/>
  <c r="GN28"/>
  <c r="GL28"/>
  <c r="GJ28"/>
  <c r="GH28"/>
  <c r="GF28"/>
  <c r="GD28"/>
  <c r="GB28"/>
  <c r="GA28"/>
  <c r="FZ28"/>
  <c r="FX28"/>
  <c r="FW28"/>
  <c r="FV28"/>
  <c r="FU28"/>
  <c r="FT28"/>
  <c r="FS28"/>
  <c r="FR28"/>
  <c r="FQ28"/>
  <c r="FP28"/>
  <c r="FO28"/>
  <c r="FN28"/>
  <c r="FM28"/>
  <c r="FL28"/>
  <c r="FK28"/>
  <c r="FJ28"/>
  <c r="FH28"/>
  <c r="FF28"/>
  <c r="FD28"/>
  <c r="FB28"/>
  <c r="EZ28"/>
  <c r="EX28"/>
  <c r="EV28"/>
  <c r="EU28"/>
  <c r="ET28"/>
  <c r="ER28"/>
  <c r="EQ28"/>
  <c r="EP28"/>
  <c r="EO28"/>
  <c r="EN28"/>
  <c r="EM28"/>
  <c r="EL28"/>
  <c r="EK28"/>
  <c r="EJ28"/>
  <c r="EI28"/>
  <c r="EH28"/>
  <c r="EG28"/>
  <c r="EF28"/>
  <c r="EE28"/>
  <c r="ED28"/>
  <c r="EB28"/>
  <c r="DZ28"/>
  <c r="DX28"/>
  <c r="DV28"/>
  <c r="DT28"/>
  <c r="DR28"/>
  <c r="DP28"/>
  <c r="DO28"/>
  <c r="DN28"/>
  <c r="DL28"/>
  <c r="DK28"/>
  <c r="DJ28"/>
  <c r="DI28"/>
  <c r="DH28"/>
  <c r="DG28"/>
  <c r="DF28"/>
  <c r="DE28"/>
  <c r="DD28"/>
  <c r="DC28"/>
  <c r="DB28"/>
  <c r="DA28"/>
  <c r="CZ28"/>
  <c r="CY28"/>
  <c r="CX28"/>
  <c r="AD76" i="3"/>
  <c r="AB76" s="1"/>
  <c r="AD78"/>
  <c r="AB78" s="1"/>
  <c r="AD80"/>
  <c r="AD82"/>
  <c r="AD84"/>
  <c r="AB84" s="1"/>
  <c r="AD86"/>
  <c r="AB86" s="1"/>
  <c r="AD88"/>
  <c r="AA75"/>
  <c r="G8" i="46"/>
  <c r="J44" i="49"/>
  <c r="J52"/>
  <c r="G88"/>
  <c r="G89"/>
  <c r="G90"/>
  <c r="G91"/>
  <c r="I91"/>
  <c r="J91"/>
  <c r="G92"/>
  <c r="AO7" i="50"/>
  <c r="AO8"/>
  <c r="AO9"/>
  <c r="AI53" i="26"/>
  <c r="AI54"/>
  <c r="AI55"/>
  <c r="AI56"/>
  <c r="AE31"/>
  <c r="D10"/>
  <c r="AB36"/>
  <c r="AE64"/>
  <c r="AB66"/>
  <c r="AB67"/>
  <c r="AD31"/>
  <c r="AA31"/>
  <c r="X36" s="1"/>
  <c r="AA64"/>
  <c r="X66"/>
  <c r="X67"/>
  <c r="Z31"/>
  <c r="W31"/>
  <c r="T36" s="1"/>
  <c r="W64"/>
  <c r="T66"/>
  <c r="T67"/>
  <c r="V31"/>
  <c r="R31"/>
  <c r="S31"/>
  <c r="P36"/>
  <c r="S64"/>
  <c r="P66"/>
  <c r="P67"/>
  <c r="O56"/>
  <c r="AP543" i="50"/>
  <c r="AP542"/>
  <c r="AP541"/>
  <c r="AP540"/>
  <c r="AP531"/>
  <c r="AP530"/>
  <c r="AP529"/>
  <c r="AP528"/>
  <c r="AP519"/>
  <c r="AP518"/>
  <c r="AP517"/>
  <c r="AP516"/>
  <c r="AP507"/>
  <c r="AP506"/>
  <c r="AP505"/>
  <c r="AP504"/>
  <c r="AP495"/>
  <c r="AP494"/>
  <c r="AP493"/>
  <c r="AP492"/>
  <c r="AP483"/>
  <c r="AP482"/>
  <c r="AP481"/>
  <c r="AP480"/>
  <c r="AP471"/>
  <c r="AP470"/>
  <c r="AP469"/>
  <c r="AP468"/>
  <c r="AP459"/>
  <c r="AP458"/>
  <c r="AP457"/>
  <c r="AP456"/>
  <c r="AP447"/>
  <c r="AP446"/>
  <c r="AP445"/>
  <c r="AP444"/>
  <c r="AP435"/>
  <c r="AP434"/>
  <c r="AP433"/>
  <c r="AP432"/>
  <c r="AP423"/>
  <c r="AP422"/>
  <c r="AP421"/>
  <c r="AP420"/>
  <c r="AP411"/>
  <c r="AP410"/>
  <c r="AP409"/>
  <c r="AP408"/>
  <c r="AP399"/>
  <c r="AP398"/>
  <c r="AP397"/>
  <c r="AP396"/>
  <c r="AP387"/>
  <c r="AP386"/>
  <c r="AP385"/>
  <c r="AP384"/>
  <c r="AP375"/>
  <c r="AP374"/>
  <c r="AP373"/>
  <c r="AP372"/>
  <c r="AP371"/>
  <c r="AP370"/>
  <c r="AP361"/>
  <c r="AP360"/>
  <c r="AP359"/>
  <c r="AP358"/>
  <c r="AP349"/>
  <c r="AP348"/>
  <c r="AP347"/>
  <c r="AP346"/>
  <c r="AP337"/>
  <c r="AP336"/>
  <c r="AP335"/>
  <c r="AP334"/>
  <c r="AP325"/>
  <c r="AP324"/>
  <c r="AP323"/>
  <c r="AP322"/>
  <c r="AP313"/>
  <c r="AP312"/>
  <c r="AP311"/>
  <c r="AP310"/>
  <c r="AP301"/>
  <c r="AP300"/>
  <c r="AP299"/>
  <c r="AP298"/>
  <c r="AP289"/>
  <c r="AP288"/>
  <c r="AP287"/>
  <c r="AP286"/>
  <c r="AP277"/>
  <c r="AP276"/>
  <c r="AP275"/>
  <c r="AP274"/>
  <c r="AP265"/>
  <c r="AP264"/>
  <c r="AP263"/>
  <c r="AP262"/>
  <c r="AP253"/>
  <c r="AP252"/>
  <c r="AP251"/>
  <c r="AP250"/>
  <c r="AP241"/>
  <c r="AP240"/>
  <c r="AP239"/>
  <c r="AP238"/>
  <c r="AP229"/>
  <c r="AP228"/>
  <c r="AP227"/>
  <c r="AP226"/>
  <c r="AP217"/>
  <c r="AP216"/>
  <c r="AP215"/>
  <c r="AP214"/>
  <c r="AP205"/>
  <c r="AP204"/>
  <c r="AP203"/>
  <c r="AP202"/>
  <c r="AP193"/>
  <c r="AP192"/>
  <c r="AP191"/>
  <c r="AP190"/>
  <c r="AP189"/>
  <c r="AP188"/>
  <c r="AP179"/>
  <c r="AP178"/>
  <c r="AP177"/>
  <c r="AP176"/>
  <c r="AP167"/>
  <c r="AP166"/>
  <c r="AP165"/>
  <c r="AP164"/>
  <c r="AP155"/>
  <c r="AP154"/>
  <c r="AP153"/>
  <c r="AP152"/>
  <c r="AP143"/>
  <c r="AP142"/>
  <c r="AP141"/>
  <c r="AP140"/>
  <c r="AP131"/>
  <c r="AP130"/>
  <c r="AP129"/>
  <c r="AP128"/>
  <c r="AP119"/>
  <c r="AP118"/>
  <c r="AP117"/>
  <c r="AP116"/>
  <c r="AP107"/>
  <c r="AP106"/>
  <c r="AP105"/>
  <c r="AP104"/>
  <c r="AP95"/>
  <c r="AP94"/>
  <c r="AP93"/>
  <c r="AP92"/>
  <c r="AP83"/>
  <c r="AP82"/>
  <c r="AP81"/>
  <c r="AP80"/>
  <c r="AP71"/>
  <c r="AP70"/>
  <c r="AP69"/>
  <c r="AP68"/>
  <c r="AP59"/>
  <c r="AP58"/>
  <c r="AP57"/>
  <c r="AP56"/>
  <c r="AP47"/>
  <c r="AP46"/>
  <c r="AP45"/>
  <c r="AP44"/>
  <c r="AP35"/>
  <c r="AP34"/>
  <c r="AP33"/>
  <c r="AP32"/>
  <c r="AP23"/>
  <c r="AP22"/>
  <c r="AP21"/>
  <c r="AP20"/>
  <c r="AO3"/>
  <c r="AO4"/>
  <c r="AO5"/>
  <c r="AO6"/>
  <c r="AO2"/>
  <c r="R375"/>
  <c r="AG375"/>
  <c r="AG387"/>
  <c r="AG399"/>
  <c r="AF375"/>
  <c r="AF387"/>
  <c r="AF399"/>
  <c r="AE375"/>
  <c r="AE387"/>
  <c r="AE399"/>
  <c r="AD375"/>
  <c r="AD387"/>
  <c r="AD399"/>
  <c r="AC375"/>
  <c r="AC387"/>
  <c r="AC399"/>
  <c r="AB375"/>
  <c r="AB387"/>
  <c r="AB399"/>
  <c r="AA375"/>
  <c r="AA387"/>
  <c r="AA399"/>
  <c r="Z375"/>
  <c r="Z387"/>
  <c r="Z399"/>
  <c r="Y375"/>
  <c r="Y387"/>
  <c r="Y399"/>
  <c r="X375"/>
  <c r="X387"/>
  <c r="X399"/>
  <c r="W375"/>
  <c r="W387"/>
  <c r="W399"/>
  <c r="V375"/>
  <c r="V387"/>
  <c r="V399"/>
  <c r="U375"/>
  <c r="U387"/>
  <c r="U399"/>
  <c r="T375"/>
  <c r="T387"/>
  <c r="T399"/>
  <c r="R387"/>
  <c r="R399"/>
  <c r="R411"/>
  <c r="R423"/>
  <c r="R435"/>
  <c r="R447"/>
  <c r="R459"/>
  <c r="R471"/>
  <c r="R483"/>
  <c r="R495"/>
  <c r="R507"/>
  <c r="R519"/>
  <c r="R531"/>
  <c r="R543"/>
  <c r="G93" i="49"/>
  <c r="G94"/>
  <c r="G95"/>
  <c r="P387" i="50"/>
  <c r="P399"/>
  <c r="O387"/>
  <c r="O399"/>
  <c r="N387"/>
  <c r="N399"/>
  <c r="M387"/>
  <c r="M399"/>
  <c r="L387"/>
  <c r="L399"/>
  <c r="K387"/>
  <c r="K399"/>
  <c r="J387"/>
  <c r="J399"/>
  <c r="I387"/>
  <c r="I399"/>
  <c r="H387"/>
  <c r="H399"/>
  <c r="G387"/>
  <c r="G399"/>
  <c r="F387"/>
  <c r="F399"/>
  <c r="E387"/>
  <c r="E399"/>
  <c r="AI543"/>
  <c r="AI531"/>
  <c r="AI519"/>
  <c r="AI507"/>
  <c r="AI495"/>
  <c r="AI483"/>
  <c r="AI471"/>
  <c r="AI459"/>
  <c r="AI447"/>
  <c r="AI435"/>
  <c r="AI423"/>
  <c r="AI411"/>
  <c r="AI399"/>
  <c r="R11"/>
  <c r="AG11"/>
  <c r="AG23"/>
  <c r="AF11"/>
  <c r="AF23"/>
  <c r="AE11"/>
  <c r="AE23"/>
  <c r="AD11"/>
  <c r="AD23"/>
  <c r="AC11"/>
  <c r="AC23"/>
  <c r="AB11"/>
  <c r="AB23"/>
  <c r="AA11"/>
  <c r="AA23"/>
  <c r="Z11"/>
  <c r="Z23"/>
  <c r="Y11"/>
  <c r="Y23"/>
  <c r="X11"/>
  <c r="X23"/>
  <c r="W11"/>
  <c r="W23"/>
  <c r="V11"/>
  <c r="V23"/>
  <c r="U11"/>
  <c r="U23"/>
  <c r="T11"/>
  <c r="T23"/>
  <c r="AI387"/>
  <c r="AI375"/>
  <c r="R193"/>
  <c r="AG193"/>
  <c r="AG205"/>
  <c r="AG217"/>
  <c r="AF193"/>
  <c r="AF205"/>
  <c r="AF217"/>
  <c r="AE193"/>
  <c r="AE205"/>
  <c r="AE217"/>
  <c r="AD193"/>
  <c r="AD205"/>
  <c r="AD217"/>
  <c r="AC193"/>
  <c r="AC205"/>
  <c r="AC217"/>
  <c r="AB193"/>
  <c r="AB205"/>
  <c r="AB217"/>
  <c r="AA193"/>
  <c r="AA205"/>
  <c r="AA217"/>
  <c r="Z193"/>
  <c r="Z205"/>
  <c r="Z217"/>
  <c r="Y193"/>
  <c r="Y205"/>
  <c r="Y217"/>
  <c r="X193"/>
  <c r="X205"/>
  <c r="X217"/>
  <c r="W193"/>
  <c r="W205"/>
  <c r="W217"/>
  <c r="V193"/>
  <c r="V205"/>
  <c r="V217"/>
  <c r="U193"/>
  <c r="U205"/>
  <c r="U217"/>
  <c r="T193"/>
  <c r="T205"/>
  <c r="T217"/>
  <c r="R205"/>
  <c r="R217"/>
  <c r="R229"/>
  <c r="R241"/>
  <c r="R253"/>
  <c r="R265"/>
  <c r="R277"/>
  <c r="R289"/>
  <c r="R301"/>
  <c r="R313"/>
  <c r="R325"/>
  <c r="R337"/>
  <c r="R349"/>
  <c r="R361"/>
  <c r="P205"/>
  <c r="P217"/>
  <c r="P229"/>
  <c r="O205"/>
  <c r="O217"/>
  <c r="N205"/>
  <c r="N217"/>
  <c r="N229"/>
  <c r="M205"/>
  <c r="M217"/>
  <c r="M229"/>
  <c r="L205"/>
  <c r="L217"/>
  <c r="L229"/>
  <c r="K205"/>
  <c r="K217"/>
  <c r="K229"/>
  <c r="J205"/>
  <c r="J217"/>
  <c r="J229"/>
  <c r="I205"/>
  <c r="I217"/>
  <c r="I229"/>
  <c r="H205"/>
  <c r="H217"/>
  <c r="H229"/>
  <c r="G205"/>
  <c r="G217"/>
  <c r="G229"/>
  <c r="F205"/>
  <c r="F217"/>
  <c r="F229"/>
  <c r="E217"/>
  <c r="E229"/>
  <c r="AI361"/>
  <c r="AI349"/>
  <c r="AI337"/>
  <c r="AI325"/>
  <c r="AI313"/>
  <c r="AI301"/>
  <c r="AI289"/>
  <c r="AI277"/>
  <c r="AI265"/>
  <c r="AI253"/>
  <c r="AI241"/>
  <c r="AI229"/>
  <c r="AI217"/>
  <c r="AI205"/>
  <c r="AI193"/>
  <c r="AG35"/>
  <c r="AG47"/>
  <c r="AF35"/>
  <c r="AF47"/>
  <c r="AF59"/>
  <c r="AE35"/>
  <c r="AE47"/>
  <c r="AD35"/>
  <c r="AD47"/>
  <c r="AD59"/>
  <c r="AC35"/>
  <c r="AC47"/>
  <c r="AB35"/>
  <c r="AB47"/>
  <c r="AB59"/>
  <c r="AA35"/>
  <c r="AA47"/>
  <c r="Z35"/>
  <c r="Z47"/>
  <c r="Z59"/>
  <c r="Y35"/>
  <c r="Y47"/>
  <c r="X35"/>
  <c r="X47"/>
  <c r="X59"/>
  <c r="W35"/>
  <c r="W47"/>
  <c r="V35"/>
  <c r="V47"/>
  <c r="V59"/>
  <c r="U35"/>
  <c r="U47"/>
  <c r="T35"/>
  <c r="T47"/>
  <c r="T59"/>
  <c r="R23"/>
  <c r="R35"/>
  <c r="R47"/>
  <c r="R59"/>
  <c r="R71"/>
  <c r="R83"/>
  <c r="R95"/>
  <c r="R107"/>
  <c r="R119"/>
  <c r="R131"/>
  <c r="R143"/>
  <c r="R155"/>
  <c r="R167"/>
  <c r="R179"/>
  <c r="P23"/>
  <c r="P35"/>
  <c r="O23"/>
  <c r="O35"/>
  <c r="N23"/>
  <c r="N35"/>
  <c r="M23"/>
  <c r="M35"/>
  <c r="L23"/>
  <c r="L35"/>
  <c r="K23"/>
  <c r="K35"/>
  <c r="J23"/>
  <c r="J35"/>
  <c r="I23"/>
  <c r="I35"/>
  <c r="H23"/>
  <c r="H35"/>
  <c r="G23"/>
  <c r="G35"/>
  <c r="F23"/>
  <c r="F35"/>
  <c r="E23"/>
  <c r="E35"/>
  <c r="AI179"/>
  <c r="AI167"/>
  <c r="AI155"/>
  <c r="G8" i="3"/>
  <c r="AI31" i="26"/>
  <c r="AN31" s="1"/>
  <c r="F6"/>
  <c r="C36" s="1"/>
  <c r="A37"/>
  <c r="B37"/>
  <c r="O31"/>
  <c r="L36" s="1"/>
  <c r="A36"/>
  <c r="B36"/>
  <c r="A41"/>
  <c r="B41"/>
  <c r="C41"/>
  <c r="A40"/>
  <c r="B40"/>
  <c r="L66"/>
  <c r="M79"/>
  <c r="Q79" s="1"/>
  <c r="U79" s="1"/>
  <c r="Y79" s="1"/>
  <c r="AC79" s="1"/>
  <c r="M80"/>
  <c r="Q80"/>
  <c r="M81"/>
  <c r="Q81"/>
  <c r="U81" s="1"/>
  <c r="Y81" s="1"/>
  <c r="AC81" s="1"/>
  <c r="AN84"/>
  <c r="AN78"/>
  <c r="AN77"/>
  <c r="AN75"/>
  <c r="AN69"/>
  <c r="AN65"/>
  <c r="AN58"/>
  <c r="AN57"/>
  <c r="AN56"/>
  <c r="AN55"/>
  <c r="AN54"/>
  <c r="AN53"/>
  <c r="AN52"/>
  <c r="AN51"/>
  <c r="AN49"/>
  <c r="AN48"/>
  <c r="AN46"/>
  <c r="AN45"/>
  <c r="AN43"/>
  <c r="AN39"/>
  <c r="AN35"/>
  <c r="AN34"/>
  <c r="AN30"/>
  <c r="AN9"/>
  <c r="AH31"/>
  <c r="N31"/>
  <c r="J17" i="3"/>
  <c r="W114" i="49"/>
  <c r="V114"/>
  <c r="U114"/>
  <c r="T114"/>
  <c r="S114"/>
  <c r="R114"/>
  <c r="Q114"/>
  <c r="P114"/>
  <c r="O114"/>
  <c r="N114"/>
  <c r="M114"/>
  <c r="L114"/>
  <c r="K114"/>
  <c r="J114"/>
  <c r="I114"/>
  <c r="K67"/>
  <c r="J67"/>
  <c r="I67"/>
  <c r="K20"/>
  <c r="J20"/>
  <c r="I20"/>
  <c r="AF24" i="3"/>
  <c r="AF23"/>
  <c r="AF22"/>
  <c r="AF21"/>
  <c r="AF20"/>
  <c r="AF19"/>
  <c r="AF18"/>
  <c r="AF14"/>
  <c r="AF13"/>
  <c r="AF12"/>
  <c r="AF11"/>
  <c r="AF10"/>
  <c r="J22"/>
  <c r="J21"/>
  <c r="J20"/>
  <c r="N22"/>
  <c r="K19"/>
  <c r="K14"/>
  <c r="K13"/>
  <c r="K12"/>
  <c r="K11"/>
  <c r="M6"/>
  <c r="L6"/>
  <c r="N2"/>
  <c r="N1"/>
  <c r="F2"/>
  <c r="F1"/>
  <c r="J40" i="49"/>
  <c r="J134"/>
  <c r="J87"/>
  <c r="E13" i="50"/>
  <c r="C1" i="46"/>
  <c r="F4" i="26"/>
  <c r="F3"/>
  <c r="F2"/>
  <c r="F1"/>
  <c r="O3"/>
  <c r="AI3" s="1"/>
  <c r="O4"/>
  <c r="F8" i="3"/>
  <c r="C4" i="50"/>
  <c r="C3"/>
  <c r="C2"/>
  <c r="C1"/>
  <c r="AI11"/>
  <c r="E17"/>
  <c r="G19"/>
  <c r="AI23"/>
  <c r="AI35"/>
  <c r="AI47"/>
  <c r="AI59"/>
  <c r="AI71"/>
  <c r="AI83"/>
  <c r="AI95"/>
  <c r="AI107"/>
  <c r="AI119"/>
  <c r="AI131"/>
  <c r="AI143"/>
  <c r="I30" i="46"/>
  <c r="H30"/>
  <c r="G30"/>
  <c r="F30"/>
  <c r="H8"/>
  <c r="H29" s="1"/>
  <c r="J8"/>
  <c r="J29" s="1"/>
  <c r="K8"/>
  <c r="K29" s="1"/>
  <c r="L8"/>
  <c r="M8"/>
  <c r="M29"/>
  <c r="N8"/>
  <c r="N29"/>
  <c r="P8"/>
  <c r="P29"/>
  <c r="R8"/>
  <c r="R29"/>
  <c r="S29"/>
  <c r="T8"/>
  <c r="T29" s="1"/>
  <c r="F28"/>
  <c r="G28"/>
  <c r="H28"/>
  <c r="I28"/>
  <c r="J28"/>
  <c r="K28"/>
  <c r="L28"/>
  <c r="M28"/>
  <c r="N28"/>
  <c r="O28"/>
  <c r="P28"/>
  <c r="Q28"/>
  <c r="R28"/>
  <c r="S28"/>
  <c r="T28"/>
  <c r="V28"/>
  <c r="W28"/>
  <c r="X28"/>
  <c r="Z28"/>
  <c r="AB28"/>
  <c r="AD28"/>
  <c r="AF28"/>
  <c r="AH28"/>
  <c r="AJ28"/>
  <c r="AL28"/>
  <c r="AM28"/>
  <c r="AN28"/>
  <c r="AO28"/>
  <c r="AP28"/>
  <c r="AQ28"/>
  <c r="AR28"/>
  <c r="AS28"/>
  <c r="AT28"/>
  <c r="AU28"/>
  <c r="AV28"/>
  <c r="AW28"/>
  <c r="AX28"/>
  <c r="AY28"/>
  <c r="AZ28"/>
  <c r="BB28"/>
  <c r="BC28"/>
  <c r="BD28"/>
  <c r="BF28"/>
  <c r="BH28"/>
  <c r="BJ28"/>
  <c r="BL28"/>
  <c r="BN28"/>
  <c r="BP28"/>
  <c r="BR28"/>
  <c r="BS28"/>
  <c r="BT28"/>
  <c r="BU28"/>
  <c r="BV28"/>
  <c r="BW28"/>
  <c r="BX28"/>
  <c r="BY28"/>
  <c r="BZ28"/>
  <c r="CA28"/>
  <c r="CB28"/>
  <c r="CC28"/>
  <c r="CD28"/>
  <c r="CE28"/>
  <c r="CF28"/>
  <c r="CH28"/>
  <c r="CI28"/>
  <c r="CJ28"/>
  <c r="CL28"/>
  <c r="CN28"/>
  <c r="CP28"/>
  <c r="CR28"/>
  <c r="CT28"/>
  <c r="CV28"/>
  <c r="G29"/>
  <c r="L29"/>
  <c r="AF82" i="3"/>
  <c r="AF70"/>
  <c r="AF72"/>
  <c r="AF74"/>
  <c r="AF76"/>
  <c r="AF78"/>
  <c r="AF80"/>
  <c r="AF84"/>
  <c r="AF86"/>
  <c r="AF88"/>
  <c r="AF89"/>
  <c r="AF90"/>
  <c r="AB5"/>
  <c r="AB26"/>
  <c r="Z5"/>
  <c r="Z26"/>
  <c r="R5"/>
  <c r="R26"/>
  <c r="Q5"/>
  <c r="Q26"/>
  <c r="N5"/>
  <c r="N26"/>
  <c r="C43" i="52"/>
  <c r="AH8" i="46"/>
  <c r="AH29"/>
  <c r="AX8"/>
  <c r="AX29"/>
  <c r="BN8"/>
  <c r="BN29"/>
  <c r="CD8"/>
  <c r="CD29"/>
  <c r="FH8"/>
  <c r="FH29"/>
  <c r="FX8"/>
  <c r="FX29"/>
  <c r="GN8"/>
  <c r="GN29"/>
  <c r="HD8"/>
  <c r="HD29"/>
  <c r="HT8"/>
  <c r="HT29"/>
  <c r="IJ8"/>
  <c r="IJ29"/>
  <c r="F10" i="52"/>
  <c r="E204" i="50"/>
  <c r="E252"/>
  <c r="E300"/>
  <c r="E348"/>
  <c r="E386"/>
  <c r="E434"/>
  <c r="E482"/>
  <c r="E530"/>
  <c r="B405"/>
  <c r="B417" s="1"/>
  <c r="Z78" i="3"/>
  <c r="CT8" i="46"/>
  <c r="CT29"/>
  <c r="DJ8"/>
  <c r="DJ29"/>
  <c r="DZ8"/>
  <c r="DZ29"/>
  <c r="EP8"/>
  <c r="EP29"/>
  <c r="I65" i="49"/>
  <c r="E192" i="50"/>
  <c r="E216"/>
  <c r="E240"/>
  <c r="E264"/>
  <c r="E288"/>
  <c r="E312"/>
  <c r="E336"/>
  <c r="E374"/>
  <c r="E398"/>
  <c r="E422"/>
  <c r="E446"/>
  <c r="E470"/>
  <c r="E494"/>
  <c r="E518"/>
  <c r="C37" i="26"/>
  <c r="C46" i="52"/>
  <c r="V8" i="46"/>
  <c r="V29" s="1"/>
  <c r="Z8"/>
  <c r="Z29" s="1"/>
  <c r="AD8"/>
  <c r="AD29" s="1"/>
  <c r="AL8"/>
  <c r="AL29" s="1"/>
  <c r="AP8"/>
  <c r="AP29" s="1"/>
  <c r="AT8"/>
  <c r="AT29" s="1"/>
  <c r="BB8"/>
  <c r="BB29" s="1"/>
  <c r="BF8"/>
  <c r="BF29" s="1"/>
  <c r="BJ8"/>
  <c r="BJ29" s="1"/>
  <c r="BR8"/>
  <c r="BR29" s="1"/>
  <c r="BV8"/>
  <c r="BV29" s="1"/>
  <c r="BZ8"/>
  <c r="BZ29" s="1"/>
  <c r="CN8"/>
  <c r="CN29" s="1"/>
  <c r="DD8"/>
  <c r="DD29" s="1"/>
  <c r="DT8"/>
  <c r="DT29" s="1"/>
  <c r="EJ8"/>
  <c r="EJ29" s="1"/>
  <c r="FF8"/>
  <c r="FF29" s="1"/>
  <c r="FV8"/>
  <c r="FV29" s="1"/>
  <c r="GL8"/>
  <c r="GL29" s="1"/>
  <c r="HC29"/>
  <c r="II29"/>
  <c r="J23" i="3"/>
  <c r="C67" i="26"/>
  <c r="C72"/>
  <c r="C70"/>
  <c r="C73"/>
  <c r="C66"/>
  <c r="C71"/>
  <c r="C40"/>
  <c r="F19" i="50"/>
  <c r="E18"/>
  <c r="E16"/>
  <c r="J11" i="3"/>
  <c r="J12"/>
  <c r="J19"/>
  <c r="AF9"/>
  <c r="J18"/>
  <c r="M17"/>
  <c r="AF17" s="1"/>
  <c r="CJ8" i="46"/>
  <c r="CJ29" s="1"/>
  <c r="CR8"/>
  <c r="CR29" s="1"/>
  <c r="CZ8"/>
  <c r="CZ29" s="1"/>
  <c r="DH8"/>
  <c r="DH29" s="1"/>
  <c r="DP8"/>
  <c r="DP29" s="1"/>
  <c r="DX8"/>
  <c r="DX29" s="1"/>
  <c r="EF8"/>
  <c r="EF29" s="1"/>
  <c r="EN8"/>
  <c r="EN29" s="1"/>
  <c r="FD8"/>
  <c r="FD29" s="1"/>
  <c r="A352" i="50"/>
  <c r="A353" s="1"/>
  <c r="AL351"/>
  <c r="A328"/>
  <c r="A329"/>
  <c r="AL327"/>
  <c r="A304"/>
  <c r="A305" s="1"/>
  <c r="AL303"/>
  <c r="A280"/>
  <c r="A281"/>
  <c r="AL279"/>
  <c r="A256"/>
  <c r="A257" s="1"/>
  <c r="AL255"/>
  <c r="A364"/>
  <c r="A365"/>
  <c r="AL363"/>
  <c r="A340"/>
  <c r="A341" s="1"/>
  <c r="AL339"/>
  <c r="A316"/>
  <c r="A317"/>
  <c r="AL315"/>
  <c r="A292"/>
  <c r="A293" s="1"/>
  <c r="AL291"/>
  <c r="A268"/>
  <c r="A269"/>
  <c r="AL267"/>
  <c r="CH8" i="46"/>
  <c r="CH29" s="1"/>
  <c r="CL8"/>
  <c r="CL29" s="1"/>
  <c r="CP8"/>
  <c r="CP29" s="1"/>
  <c r="CX8"/>
  <c r="CX29" s="1"/>
  <c r="DB8"/>
  <c r="DB29" s="1"/>
  <c r="DF8"/>
  <c r="DF29" s="1"/>
  <c r="DN8"/>
  <c r="DN29" s="1"/>
  <c r="DR8"/>
  <c r="DR29" s="1"/>
  <c r="DV8"/>
  <c r="DV29" s="1"/>
  <c r="ED8"/>
  <c r="ED29" s="1"/>
  <c r="EH8"/>
  <c r="EH29" s="1"/>
  <c r="EL8"/>
  <c r="EL29" s="1"/>
  <c r="ET8"/>
  <c r="ET29" s="1"/>
  <c r="EX8"/>
  <c r="EX29" s="1"/>
  <c r="FB8"/>
  <c r="FB29" s="1"/>
  <c r="FJ8"/>
  <c r="FJ29" s="1"/>
  <c r="FN8"/>
  <c r="FN29" s="1"/>
  <c r="FR8"/>
  <c r="FR29" s="1"/>
  <c r="FZ8"/>
  <c r="FZ29" s="1"/>
  <c r="GD8"/>
  <c r="GD29" s="1"/>
  <c r="GH8"/>
  <c r="GH29" s="1"/>
  <c r="GP8"/>
  <c r="GP29" s="1"/>
  <c r="GT8"/>
  <c r="GT29" s="1"/>
  <c r="GX8"/>
  <c r="GX29" s="1"/>
  <c r="HB8"/>
  <c r="HB29" s="1"/>
  <c r="HF8"/>
  <c r="HF29" s="1"/>
  <c r="HJ8"/>
  <c r="HJ29" s="1"/>
  <c r="HN8"/>
  <c r="HN29" s="1"/>
  <c r="HR8"/>
  <c r="HR29" s="1"/>
  <c r="HV8"/>
  <c r="HV29" s="1"/>
  <c r="HZ8"/>
  <c r="HZ29" s="1"/>
  <c r="ID8"/>
  <c r="ID29" s="1"/>
  <c r="IH8"/>
  <c r="IH29" s="1"/>
  <c r="J65" i="49"/>
  <c r="K65" s="1"/>
  <c r="J51"/>
  <c r="F47" i="50"/>
  <c r="H47"/>
  <c r="J47"/>
  <c r="L47"/>
  <c r="N47"/>
  <c r="P47"/>
  <c r="T71"/>
  <c r="U59"/>
  <c r="X71"/>
  <c r="Y59"/>
  <c r="AB71"/>
  <c r="AC59"/>
  <c r="AF71"/>
  <c r="AG59"/>
  <c r="E47"/>
  <c r="G47"/>
  <c r="I47"/>
  <c r="K47"/>
  <c r="M47"/>
  <c r="O47"/>
  <c r="V71"/>
  <c r="W59"/>
  <c r="Z71"/>
  <c r="AA59"/>
  <c r="AD71"/>
  <c r="AE59"/>
  <c r="F241"/>
  <c r="H241"/>
  <c r="J241"/>
  <c r="L241"/>
  <c r="N241"/>
  <c r="P241"/>
  <c r="T229"/>
  <c r="U229"/>
  <c r="X229"/>
  <c r="Y229"/>
  <c r="AB229"/>
  <c r="AC229"/>
  <c r="AF229"/>
  <c r="AG229"/>
  <c r="F411"/>
  <c r="H411"/>
  <c r="J411"/>
  <c r="L411"/>
  <c r="N411"/>
  <c r="P411"/>
  <c r="T411"/>
  <c r="W411"/>
  <c r="X411"/>
  <c r="AA411"/>
  <c r="AB411"/>
  <c r="AE411"/>
  <c r="AF411"/>
  <c r="E241"/>
  <c r="G241"/>
  <c r="I241"/>
  <c r="K241"/>
  <c r="M241"/>
  <c r="O229"/>
  <c r="V229"/>
  <c r="W229"/>
  <c r="Z229"/>
  <c r="AA229"/>
  <c r="AD229"/>
  <c r="AE229"/>
  <c r="E411"/>
  <c r="G411"/>
  <c r="I411"/>
  <c r="K411"/>
  <c r="M411"/>
  <c r="O411"/>
  <c r="U411"/>
  <c r="V411"/>
  <c r="Y411"/>
  <c r="Z411"/>
  <c r="AC411"/>
  <c r="AD411"/>
  <c r="AG411"/>
  <c r="A94" i="49"/>
  <c r="G141"/>
  <c r="A141"/>
  <c r="G10" i="26"/>
  <c r="E10"/>
  <c r="D11"/>
  <c r="L10"/>
  <c r="G137" i="49"/>
  <c r="A137"/>
  <c r="J90"/>
  <c r="I90"/>
  <c r="A90"/>
  <c r="J88"/>
  <c r="I88"/>
  <c r="G135"/>
  <c r="A88"/>
  <c r="A95"/>
  <c r="G142"/>
  <c r="A142"/>
  <c r="A93"/>
  <c r="G140"/>
  <c r="A140"/>
  <c r="G139"/>
  <c r="J92"/>
  <c r="I92"/>
  <c r="I99"/>
  <c r="A92"/>
  <c r="G138"/>
  <c r="A91"/>
  <c r="J89"/>
  <c r="I89"/>
  <c r="G136"/>
  <c r="A136"/>
  <c r="A89"/>
  <c r="G17" i="52"/>
  <c r="U17"/>
  <c r="F17"/>
  <c r="E17"/>
  <c r="K17"/>
  <c r="S17"/>
  <c r="Q17"/>
  <c r="D18"/>
  <c r="O17"/>
  <c r="Q23" i="50"/>
  <c r="Q387"/>
  <c r="A11" i="54"/>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F7" i="53"/>
  <c r="O12" i="52"/>
  <c r="F8" i="53"/>
  <c r="O13" i="52"/>
  <c r="F16"/>
  <c r="E16"/>
  <c r="U16"/>
  <c r="G16"/>
  <c r="K16"/>
  <c r="Z11"/>
  <c r="J6" i="53"/>
  <c r="I7"/>
  <c r="U12" i="52" s="1"/>
  <c r="Q205" i="50"/>
  <c r="J9" i="46"/>
  <c r="Y9"/>
  <c r="O16" i="52"/>
  <c r="G8" i="53"/>
  <c r="Q13" i="52" s="1"/>
  <c r="Q16"/>
  <c r="H7" i="53"/>
  <c r="S12" i="52"/>
  <c r="S16"/>
  <c r="C39" i="58"/>
  <c r="E13"/>
  <c r="G13"/>
  <c r="I13" s="1"/>
  <c r="C13"/>
  <c r="E39"/>
  <c r="M33" i="3"/>
  <c r="AG8" i="46"/>
  <c r="AG29"/>
  <c r="AC8"/>
  <c r="AC29"/>
  <c r="Y8"/>
  <c r="Y29"/>
  <c r="W8"/>
  <c r="W29"/>
  <c r="BO8"/>
  <c r="BO29"/>
  <c r="BK8"/>
  <c r="BK29"/>
  <c r="BG8"/>
  <c r="BG29"/>
  <c r="BC8"/>
  <c r="BC29"/>
  <c r="CS8"/>
  <c r="CS29"/>
  <c r="CO8"/>
  <c r="CO29"/>
  <c r="CK8"/>
  <c r="CK29"/>
  <c r="CI8"/>
  <c r="CI29"/>
  <c r="EA8"/>
  <c r="EA29"/>
  <c r="DW8"/>
  <c r="DW29"/>
  <c r="DS8"/>
  <c r="DS29"/>
  <c r="DO8"/>
  <c r="DO29"/>
  <c r="FE8"/>
  <c r="FE29"/>
  <c r="FA8"/>
  <c r="FA29"/>
  <c r="EW8"/>
  <c r="EW29"/>
  <c r="EU8"/>
  <c r="EU29"/>
  <c r="GM8"/>
  <c r="GM29"/>
  <c r="GI8"/>
  <c r="GI29"/>
  <c r="GE8"/>
  <c r="GE29"/>
  <c r="GA8"/>
  <c r="GA29"/>
  <c r="A133" i="50"/>
  <c r="AL132"/>
  <c r="A181"/>
  <c r="AL180"/>
  <c r="E32" i="53"/>
  <c r="R32"/>
  <c r="F29" i="55"/>
  <c r="F27"/>
  <c r="F25"/>
  <c r="F23"/>
  <c r="F21"/>
  <c r="F19"/>
  <c r="F17"/>
  <c r="F15"/>
  <c r="F13"/>
  <c r="F11"/>
  <c r="B11" i="46"/>
  <c r="E11"/>
  <c r="A12"/>
  <c r="A13"/>
  <c r="A12" i="57"/>
  <c r="B11"/>
  <c r="AW8" i="46"/>
  <c r="AW29"/>
  <c r="AS8"/>
  <c r="AS29"/>
  <c r="AO8"/>
  <c r="AO29"/>
  <c r="AM8"/>
  <c r="AM29"/>
  <c r="CE8"/>
  <c r="CE29"/>
  <c r="CA8"/>
  <c r="CA29"/>
  <c r="BW8"/>
  <c r="BW29"/>
  <c r="BS8"/>
  <c r="BS29"/>
  <c r="DI8"/>
  <c r="DI29"/>
  <c r="DE8"/>
  <c r="DE29"/>
  <c r="DA8"/>
  <c r="DA29"/>
  <c r="CY8"/>
  <c r="CY29"/>
  <c r="EQ8"/>
  <c r="EQ29"/>
  <c r="EM8"/>
  <c r="EM29"/>
  <c r="EI8"/>
  <c r="EI29"/>
  <c r="EE8"/>
  <c r="EE29"/>
  <c r="FU8"/>
  <c r="FU29"/>
  <c r="FQ8"/>
  <c r="FQ29"/>
  <c r="FM8"/>
  <c r="FM29"/>
  <c r="FK8"/>
  <c r="FK29"/>
  <c r="F10" i="55"/>
  <c r="A37" i="50"/>
  <c r="AL37" s="1"/>
  <c r="AL36"/>
  <c r="AL60"/>
  <c r="A109"/>
  <c r="AL108"/>
  <c r="A157"/>
  <c r="AL156"/>
  <c r="E33" i="3"/>
  <c r="B175" i="49"/>
  <c r="F28" i="55"/>
  <c r="F26"/>
  <c r="F24"/>
  <c r="F22"/>
  <c r="F20"/>
  <c r="F18"/>
  <c r="F16"/>
  <c r="F14"/>
  <c r="F12"/>
  <c r="A97" i="50"/>
  <c r="AL96"/>
  <c r="A121"/>
  <c r="AL120"/>
  <c r="A145"/>
  <c r="AL144"/>
  <c r="A169"/>
  <c r="AL168"/>
  <c r="C130" i="49"/>
  <c r="A130"/>
  <c r="A83"/>
  <c r="C128"/>
  <c r="A128"/>
  <c r="A81"/>
  <c r="C126"/>
  <c r="A126"/>
  <c r="A79"/>
  <c r="C124"/>
  <c r="A124"/>
  <c r="A77"/>
  <c r="A545" i="50"/>
  <c r="AL544"/>
  <c r="A521"/>
  <c r="AL520"/>
  <c r="A497"/>
  <c r="AL496"/>
  <c r="A473"/>
  <c r="AL472"/>
  <c r="A449"/>
  <c r="AL448"/>
  <c r="AL424"/>
  <c r="A401"/>
  <c r="AL400"/>
  <c r="K106" i="49"/>
  <c r="J109"/>
  <c r="A533" i="50"/>
  <c r="AL532"/>
  <c r="A509"/>
  <c r="AL508"/>
  <c r="A485"/>
  <c r="AL484"/>
  <c r="A461"/>
  <c r="AL460"/>
  <c r="A437"/>
  <c r="AL436"/>
  <c r="A389"/>
  <c r="AL388"/>
  <c r="M12" i="49"/>
  <c r="L15"/>
  <c r="GQ8" i="46"/>
  <c r="GQ29"/>
  <c r="GS29"/>
  <c r="GW29"/>
  <c r="HA29"/>
  <c r="HG8"/>
  <c r="HG29" s="1"/>
  <c r="HW8"/>
  <c r="HW29" s="1"/>
  <c r="HY29"/>
  <c r="IA29"/>
  <c r="IC29"/>
  <c r="IE29"/>
  <c r="IG29"/>
  <c r="M60" i="51"/>
  <c r="M58"/>
  <c r="H9" i="47"/>
  <c r="L19" i="49"/>
  <c r="L66"/>
  <c r="A75"/>
  <c r="A73"/>
  <c r="A71"/>
  <c r="A69"/>
  <c r="E382" i="50" s="1"/>
  <c r="K15" i="49"/>
  <c r="AL364" i="50"/>
  <c r="AL362"/>
  <c r="AL352"/>
  <c r="AL350"/>
  <c r="AL340"/>
  <c r="AL338"/>
  <c r="AL328"/>
  <c r="AL326"/>
  <c r="AL316"/>
  <c r="AL314"/>
  <c r="AL304"/>
  <c r="AL302"/>
  <c r="AL292"/>
  <c r="AL290"/>
  <c r="AL280"/>
  <c r="AL278"/>
  <c r="AL268"/>
  <c r="AL266"/>
  <c r="AL256"/>
  <c r="AL254"/>
  <c r="AL242"/>
  <c r="I68" i="49"/>
  <c r="A219" i="50"/>
  <c r="AL218"/>
  <c r="A207"/>
  <c r="AL206"/>
  <c r="L60" i="51"/>
  <c r="L66"/>
  <c r="L57"/>
  <c r="L58"/>
  <c r="M66"/>
  <c r="J135" i="49"/>
  <c r="F22"/>
  <c r="M57" i="51"/>
  <c r="K39" i="49"/>
  <c r="J137"/>
  <c r="J136"/>
  <c r="J59"/>
  <c r="B15" i="58"/>
  <c r="E14"/>
  <c r="F14" s="1"/>
  <c r="H14" s="1"/>
  <c r="B42"/>
  <c r="I136" i="49"/>
  <c r="I137"/>
  <c r="B32" i="46"/>
  <c r="E32" s="1"/>
  <c r="A33"/>
  <c r="J68" i="49"/>
  <c r="L39"/>
  <c r="K137"/>
  <c r="K136"/>
  <c r="K88"/>
  <c r="K92"/>
  <c r="K139"/>
  <c r="K90"/>
  <c r="K89"/>
  <c r="K43"/>
  <c r="K135"/>
  <c r="K145"/>
  <c r="K41"/>
  <c r="K45"/>
  <c r="K42"/>
  <c r="K44"/>
  <c r="K52" s="1"/>
  <c r="K91"/>
  <c r="K99" s="1"/>
  <c r="K138"/>
  <c r="K146" s="1"/>
  <c r="A220" i="50"/>
  <c r="AL219"/>
  <c r="I8" i="47"/>
  <c r="L67" i="49"/>
  <c r="L20"/>
  <c r="B176"/>
  <c r="A182" i="50"/>
  <c r="AL181"/>
  <c r="A134"/>
  <c r="AL133"/>
  <c r="K9" i="46"/>
  <c r="Z9"/>
  <c r="J30"/>
  <c r="K6" i="53"/>
  <c r="J8"/>
  <c r="W13" i="52" s="1"/>
  <c r="J7" i="53"/>
  <c r="Q35" i="50"/>
  <c r="I135" i="49"/>
  <c r="A135"/>
  <c r="J98"/>
  <c r="G11" i="26"/>
  <c r="E11"/>
  <c r="D12"/>
  <c r="L11"/>
  <c r="O423" i="50"/>
  <c r="K423"/>
  <c r="G423"/>
  <c r="G419"/>
  <c r="M253"/>
  <c r="I253"/>
  <c r="E253"/>
  <c r="P423"/>
  <c r="L423"/>
  <c r="H423"/>
  <c r="H419"/>
  <c r="P253"/>
  <c r="L253"/>
  <c r="H253"/>
  <c r="O59"/>
  <c r="K59"/>
  <c r="G59"/>
  <c r="AG71"/>
  <c r="AF83"/>
  <c r="AC71"/>
  <c r="AB83"/>
  <c r="Y71"/>
  <c r="X83"/>
  <c r="U71"/>
  <c r="T83"/>
  <c r="N59"/>
  <c r="J59"/>
  <c r="F59"/>
  <c r="L65" i="51"/>
  <c r="W16" i="52"/>
  <c r="Y16"/>
  <c r="W17"/>
  <c r="A34" i="46"/>
  <c r="B43" i="58"/>
  <c r="G14"/>
  <c r="I14"/>
  <c r="A208" i="50"/>
  <c r="AL207"/>
  <c r="B16" i="58"/>
  <c r="E15"/>
  <c r="F15" s="1"/>
  <c r="H15" s="1"/>
  <c r="K59" i="49"/>
  <c r="J62"/>
  <c r="N12"/>
  <c r="M15"/>
  <c r="I393" i="50"/>
  <c r="H382"/>
  <c r="H395"/>
  <c r="H393"/>
  <c r="I382"/>
  <c r="I201"/>
  <c r="I199"/>
  <c r="H18"/>
  <c r="I211"/>
  <c r="H200"/>
  <c r="H17"/>
  <c r="H19"/>
  <c r="A390"/>
  <c r="AL389"/>
  <c r="A438"/>
  <c r="AL437"/>
  <c r="A462"/>
  <c r="AL461"/>
  <c r="A486"/>
  <c r="AL485"/>
  <c r="A510"/>
  <c r="AL509"/>
  <c r="A534"/>
  <c r="AL533"/>
  <c r="L106" i="49"/>
  <c r="K109"/>
  <c r="A402" i="50"/>
  <c r="AL401"/>
  <c r="A426"/>
  <c r="AL425"/>
  <c r="A450"/>
  <c r="AL449"/>
  <c r="A474"/>
  <c r="AL473"/>
  <c r="A498"/>
  <c r="AL497"/>
  <c r="A522"/>
  <c r="AL521"/>
  <c r="A546"/>
  <c r="AL545"/>
  <c r="A170"/>
  <c r="AL169"/>
  <c r="A146"/>
  <c r="AL145"/>
  <c r="A122"/>
  <c r="AL121"/>
  <c r="A98"/>
  <c r="AL97"/>
  <c r="A158"/>
  <c r="AL157"/>
  <c r="A110"/>
  <c r="AL109"/>
  <c r="A62"/>
  <c r="AL61"/>
  <c r="A38"/>
  <c r="AL38"/>
  <c r="A13" i="57"/>
  <c r="F13" i="58"/>
  <c r="H13" s="1"/>
  <c r="AO9" i="46"/>
  <c r="AO30"/>
  <c r="Y30"/>
  <c r="Y23"/>
  <c r="Y22"/>
  <c r="Y21"/>
  <c r="AO21"/>
  <c r="Y20"/>
  <c r="Y19"/>
  <c r="AO19"/>
  <c r="Y18"/>
  <c r="Y17"/>
  <c r="AO17"/>
  <c r="BE17"/>
  <c r="BU17"/>
  <c r="CK17"/>
  <c r="DA17"/>
  <c r="DQ17"/>
  <c r="Y16"/>
  <c r="Y15"/>
  <c r="Y14"/>
  <c r="Y13"/>
  <c r="AO13"/>
  <c r="Y12"/>
  <c r="Y11"/>
  <c r="AO11"/>
  <c r="Y10"/>
  <c r="Q217" i="50"/>
  <c r="AB11" i="52"/>
  <c r="Q399" i="50"/>
  <c r="F18" i="52"/>
  <c r="Y18"/>
  <c r="U18"/>
  <c r="G18"/>
  <c r="K18"/>
  <c r="W18"/>
  <c r="S18"/>
  <c r="Q18"/>
  <c r="O18"/>
  <c r="D19"/>
  <c r="A138" i="49"/>
  <c r="J138"/>
  <c r="I138"/>
  <c r="J139"/>
  <c r="J145"/>
  <c r="I139"/>
  <c r="I145"/>
  <c r="A139"/>
  <c r="I98"/>
  <c r="X10" i="26"/>
  <c r="AG423" i="50"/>
  <c r="AD423"/>
  <c r="AC423"/>
  <c r="Z423"/>
  <c r="Y423"/>
  <c r="V423"/>
  <c r="U423"/>
  <c r="M423"/>
  <c r="I423"/>
  <c r="I419"/>
  <c r="E423"/>
  <c r="E419"/>
  <c r="AE241"/>
  <c r="AD241"/>
  <c r="AA241"/>
  <c r="Z241"/>
  <c r="W241"/>
  <c r="V241"/>
  <c r="O241"/>
  <c r="K253"/>
  <c r="G253"/>
  <c r="AF423"/>
  <c r="AE423"/>
  <c r="AB423"/>
  <c r="AA423"/>
  <c r="X423"/>
  <c r="W423"/>
  <c r="T423"/>
  <c r="N423"/>
  <c r="J423"/>
  <c r="F423"/>
  <c r="F419"/>
  <c r="AG241"/>
  <c r="AF241"/>
  <c r="AC241"/>
  <c r="AB241"/>
  <c r="Y241"/>
  <c r="X241"/>
  <c r="U241"/>
  <c r="T241"/>
  <c r="N253"/>
  <c r="J253"/>
  <c r="F253"/>
  <c r="AE71"/>
  <c r="AD83"/>
  <c r="AA71"/>
  <c r="Z83"/>
  <c r="W71"/>
  <c r="V83"/>
  <c r="M59"/>
  <c r="I59"/>
  <c r="E59"/>
  <c r="P59"/>
  <c r="L59"/>
  <c r="H59"/>
  <c r="E40" i="58"/>
  <c r="G7" i="53"/>
  <c r="Q12" i="52" s="1"/>
  <c r="I8" i="53"/>
  <c r="U13" i="52" s="1"/>
  <c r="W12"/>
  <c r="Y17"/>
  <c r="H8" i="53"/>
  <c r="S13" i="52" s="1"/>
  <c r="I405" i="50"/>
  <c r="H405"/>
  <c r="L71"/>
  <c r="E71"/>
  <c r="M71"/>
  <c r="V95"/>
  <c r="W83"/>
  <c r="Z95"/>
  <c r="AA83"/>
  <c r="F265"/>
  <c r="N265"/>
  <c r="U253"/>
  <c r="Y253"/>
  <c r="AC253"/>
  <c r="AG253"/>
  <c r="J435"/>
  <c r="T435"/>
  <c r="X435"/>
  <c r="AB435"/>
  <c r="AF435"/>
  <c r="K265"/>
  <c r="V253"/>
  <c r="Z253"/>
  <c r="AD253"/>
  <c r="E435"/>
  <c r="M435"/>
  <c r="U435"/>
  <c r="Y435"/>
  <c r="AC435"/>
  <c r="AG435"/>
  <c r="Q411"/>
  <c r="Q229"/>
  <c r="BE9" i="46"/>
  <c r="A14" i="57"/>
  <c r="O12" i="49"/>
  <c r="N15"/>
  <c r="L59"/>
  <c r="K62"/>
  <c r="G15" i="58"/>
  <c r="I15" s="1"/>
  <c r="B44"/>
  <c r="J71" i="50"/>
  <c r="N71"/>
  <c r="AC83"/>
  <c r="AF95"/>
  <c r="AG83"/>
  <c r="G71"/>
  <c r="H265"/>
  <c r="P265"/>
  <c r="L435"/>
  <c r="E265"/>
  <c r="M265"/>
  <c r="K435"/>
  <c r="T11" i="26"/>
  <c r="L6" i="53"/>
  <c r="K8"/>
  <c r="Y13" i="52"/>
  <c r="K7" i="53"/>
  <c r="Y12" i="52"/>
  <c r="AP9" i="46"/>
  <c r="Z30"/>
  <c r="Z23"/>
  <c r="AP23"/>
  <c r="BF23"/>
  <c r="BV23"/>
  <c r="CL23"/>
  <c r="DB23"/>
  <c r="DR23"/>
  <c r="EH23"/>
  <c r="EX23"/>
  <c r="FN23"/>
  <c r="GD23"/>
  <c r="GT23"/>
  <c r="HJ23"/>
  <c r="HZ23"/>
  <c r="Z22"/>
  <c r="Z21"/>
  <c r="AP21"/>
  <c r="Z20"/>
  <c r="Z19"/>
  <c r="AP19"/>
  <c r="BF19"/>
  <c r="BV19"/>
  <c r="CL19"/>
  <c r="DB19"/>
  <c r="Z18"/>
  <c r="Z17"/>
  <c r="Z16"/>
  <c r="Z15"/>
  <c r="AP15"/>
  <c r="Z14"/>
  <c r="Z13"/>
  <c r="AP13"/>
  <c r="Z12"/>
  <c r="Z11"/>
  <c r="AP11"/>
  <c r="BF11"/>
  <c r="BV11"/>
  <c r="CL11"/>
  <c r="DB11"/>
  <c r="DR11"/>
  <c r="Z10"/>
  <c r="A135" i="50"/>
  <c r="AL134"/>
  <c r="A183"/>
  <c r="AL182"/>
  <c r="B177" i="49"/>
  <c r="E41" i="58"/>
  <c r="A221" i="50"/>
  <c r="AL220"/>
  <c r="F391"/>
  <c r="F392"/>
  <c r="F198"/>
  <c r="F404"/>
  <c r="K144" i="49"/>
  <c r="K97"/>
  <c r="BE13" i="46"/>
  <c r="BU13"/>
  <c r="CK13"/>
  <c r="DA13"/>
  <c r="DQ13"/>
  <c r="BE21"/>
  <c r="BU21"/>
  <c r="CK21"/>
  <c r="DA21"/>
  <c r="J405" i="50"/>
  <c r="H71"/>
  <c r="P71"/>
  <c r="I71"/>
  <c r="AD95"/>
  <c r="AE83"/>
  <c r="J265"/>
  <c r="T253"/>
  <c r="X253"/>
  <c r="AB253"/>
  <c r="AF253"/>
  <c r="F435"/>
  <c r="N435"/>
  <c r="W435"/>
  <c r="AA435"/>
  <c r="AE435"/>
  <c r="G265"/>
  <c r="O253"/>
  <c r="W253"/>
  <c r="AA253"/>
  <c r="AE253"/>
  <c r="I435"/>
  <c r="V435"/>
  <c r="Z435"/>
  <c r="AD435"/>
  <c r="G19" i="52"/>
  <c r="Y19"/>
  <c r="U19"/>
  <c r="F19"/>
  <c r="K19"/>
  <c r="AA19"/>
  <c r="W19"/>
  <c r="S19"/>
  <c r="Q19"/>
  <c r="D20"/>
  <c r="O19"/>
  <c r="AD11"/>
  <c r="AA17"/>
  <c r="AA16"/>
  <c r="Y43" i="46"/>
  <c r="Y42"/>
  <c r="Y41"/>
  <c r="Y40"/>
  <c r="Y39"/>
  <c r="Y38"/>
  <c r="Y37"/>
  <c r="Y36"/>
  <c r="Y35"/>
  <c r="Y34"/>
  <c r="Y33"/>
  <c r="Y32"/>
  <c r="Y31"/>
  <c r="A39" i="50"/>
  <c r="AL39"/>
  <c r="A63"/>
  <c r="AL62"/>
  <c r="A111"/>
  <c r="AL110"/>
  <c r="A159"/>
  <c r="AL158"/>
  <c r="A99"/>
  <c r="AL98"/>
  <c r="A123"/>
  <c r="AL122"/>
  <c r="A147"/>
  <c r="AL146"/>
  <c r="A171"/>
  <c r="AL170"/>
  <c r="A547"/>
  <c r="AL546"/>
  <c r="A523"/>
  <c r="AL522"/>
  <c r="A499"/>
  <c r="AL498"/>
  <c r="A475"/>
  <c r="AL474"/>
  <c r="A451"/>
  <c r="AL450"/>
  <c r="A427"/>
  <c r="AL426"/>
  <c r="A403"/>
  <c r="AL402"/>
  <c r="M106" i="49"/>
  <c r="L109"/>
  <c r="A535" i="50"/>
  <c r="AL534"/>
  <c r="A511"/>
  <c r="AL510"/>
  <c r="A487"/>
  <c r="AL486"/>
  <c r="A463"/>
  <c r="AL462"/>
  <c r="A439"/>
  <c r="AL438"/>
  <c r="A391"/>
  <c r="AL390"/>
  <c r="B17" i="58"/>
  <c r="E16"/>
  <c r="A209" i="50"/>
  <c r="AL208"/>
  <c r="A35" i="46"/>
  <c r="A36"/>
  <c r="F71" i="50"/>
  <c r="T95"/>
  <c r="U83"/>
  <c r="X95"/>
  <c r="Y83"/>
  <c r="AB95"/>
  <c r="K71"/>
  <c r="O71"/>
  <c r="L265"/>
  <c r="H435"/>
  <c r="P435"/>
  <c r="I265"/>
  <c r="G435"/>
  <c r="O435"/>
  <c r="G12" i="26"/>
  <c r="D13"/>
  <c r="L12"/>
  <c r="X12"/>
  <c r="Q47" i="50"/>
  <c r="L9" i="46"/>
  <c r="AB9"/>
  <c r="AA9"/>
  <c r="K30"/>
  <c r="I9" i="47"/>
  <c r="M19" i="49"/>
  <c r="M66"/>
  <c r="F13" i="50"/>
  <c r="K50" i="49"/>
  <c r="F12" i="50"/>
  <c r="F390"/>
  <c r="F196"/>
  <c r="L137" i="49"/>
  <c r="L136"/>
  <c r="L88"/>
  <c r="L92"/>
  <c r="L97"/>
  <c r="L139"/>
  <c r="L90"/>
  <c r="L89"/>
  <c r="L43"/>
  <c r="M39"/>
  <c r="L135"/>
  <c r="L145" s="1"/>
  <c r="L41"/>
  <c r="L45"/>
  <c r="L42"/>
  <c r="L44"/>
  <c r="L52"/>
  <c r="L91"/>
  <c r="L138"/>
  <c r="L146" s="1"/>
  <c r="AO10" i="46"/>
  <c r="BE10"/>
  <c r="BU10"/>
  <c r="CK10"/>
  <c r="DA10"/>
  <c r="DQ10"/>
  <c r="AO12"/>
  <c r="BE12"/>
  <c r="BU12"/>
  <c r="CK12"/>
  <c r="AO14"/>
  <c r="BE14"/>
  <c r="BU14"/>
  <c r="CK14"/>
  <c r="DA14"/>
  <c r="DQ14"/>
  <c r="AO16"/>
  <c r="BE16"/>
  <c r="BU16"/>
  <c r="CK16"/>
  <c r="DA16"/>
  <c r="DQ16"/>
  <c r="AO18"/>
  <c r="BE18"/>
  <c r="BU18"/>
  <c r="CK18"/>
  <c r="DA18"/>
  <c r="DQ18"/>
  <c r="AO20"/>
  <c r="BE20"/>
  <c r="BU20"/>
  <c r="CK20"/>
  <c r="DA20"/>
  <c r="DQ20"/>
  <c r="AO22"/>
  <c r="BE22"/>
  <c r="BU22"/>
  <c r="CK22"/>
  <c r="DA22"/>
  <c r="J407" i="50"/>
  <c r="F25" i="49"/>
  <c r="AA3" i="26"/>
  <c r="D72" i="49"/>
  <c r="B229" i="50"/>
  <c r="G377"/>
  <c r="G195"/>
  <c r="L51" i="49"/>
  <c r="G12" i="50"/>
  <c r="N39" i="49"/>
  <c r="M137"/>
  <c r="M136"/>
  <c r="M88"/>
  <c r="M92"/>
  <c r="H380" i="50"/>
  <c r="M139" i="49"/>
  <c r="M90"/>
  <c r="M89"/>
  <c r="M43"/>
  <c r="H14" i="50" s="1"/>
  <c r="M135" i="49"/>
  <c r="M41"/>
  <c r="M45"/>
  <c r="M42"/>
  <c r="H13" i="50"/>
  <c r="M44" i="49"/>
  <c r="M91"/>
  <c r="H379" i="50"/>
  <c r="M138" i="49"/>
  <c r="M146"/>
  <c r="L98"/>
  <c r="J8" i="47"/>
  <c r="M67" i="49"/>
  <c r="M20"/>
  <c r="M9" i="46"/>
  <c r="L30"/>
  <c r="AB12" i="26"/>
  <c r="AF12"/>
  <c r="G447" i="50"/>
  <c r="P447"/>
  <c r="L277"/>
  <c r="K83"/>
  <c r="AB107"/>
  <c r="Y95"/>
  <c r="X107"/>
  <c r="U95"/>
  <c r="T107"/>
  <c r="A392"/>
  <c r="AL391"/>
  <c r="A440"/>
  <c r="AL439"/>
  <c r="A464"/>
  <c r="AL463"/>
  <c r="A488"/>
  <c r="AL487"/>
  <c r="A512"/>
  <c r="AL511"/>
  <c r="A536"/>
  <c r="AL535"/>
  <c r="N106" i="49"/>
  <c r="M109"/>
  <c r="A404" i="50"/>
  <c r="AL403"/>
  <c r="A428"/>
  <c r="AL427"/>
  <c r="A452"/>
  <c r="AL451"/>
  <c r="A476"/>
  <c r="AL475"/>
  <c r="A500"/>
  <c r="AL499"/>
  <c r="A524"/>
  <c r="AL523"/>
  <c r="A548"/>
  <c r="AL547"/>
  <c r="A172"/>
  <c r="AL171"/>
  <c r="A148"/>
  <c r="AL147"/>
  <c r="A124"/>
  <c r="AL123"/>
  <c r="A100"/>
  <c r="AL99"/>
  <c r="A160"/>
  <c r="AL159"/>
  <c r="A112"/>
  <c r="AL111"/>
  <c r="A64"/>
  <c r="AL63"/>
  <c r="A40"/>
  <c r="AL40"/>
  <c r="AD447"/>
  <c r="Z447"/>
  <c r="V447"/>
  <c r="O265"/>
  <c r="N447"/>
  <c r="J277"/>
  <c r="AE95"/>
  <c r="AD107"/>
  <c r="P83"/>
  <c r="A222"/>
  <c r="AL221"/>
  <c r="Z43" i="46"/>
  <c r="Z42"/>
  <c r="Z41"/>
  <c r="Z40"/>
  <c r="Z39"/>
  <c r="Z38"/>
  <c r="Z37"/>
  <c r="Z36"/>
  <c r="Z35"/>
  <c r="Z34"/>
  <c r="Z33"/>
  <c r="Z32"/>
  <c r="Z31"/>
  <c r="M6" i="53"/>
  <c r="L8"/>
  <c r="AA13" i="52" s="1"/>
  <c r="L7" i="53"/>
  <c r="AA12" i="52" s="1"/>
  <c r="AA18"/>
  <c r="M277" i="50"/>
  <c r="L447"/>
  <c r="H277"/>
  <c r="N83"/>
  <c r="B45" i="58"/>
  <c r="A15" i="57"/>
  <c r="BU9" i="46"/>
  <c r="BE30"/>
  <c r="Q423" i="50"/>
  <c r="AG447"/>
  <c r="AC447"/>
  <c r="Y447"/>
  <c r="U447"/>
  <c r="E447"/>
  <c r="AD265"/>
  <c r="Z265"/>
  <c r="V265"/>
  <c r="J447"/>
  <c r="AG265"/>
  <c r="AC265"/>
  <c r="Y265"/>
  <c r="U265"/>
  <c r="F277"/>
  <c r="AA95"/>
  <c r="Z107"/>
  <c r="W95"/>
  <c r="V107"/>
  <c r="E83"/>
  <c r="AP10" i="46"/>
  <c r="AP12"/>
  <c r="AP14"/>
  <c r="AP16"/>
  <c r="AP18"/>
  <c r="AP20"/>
  <c r="AP22"/>
  <c r="G379" i="50"/>
  <c r="G197"/>
  <c r="G15"/>
  <c r="G198"/>
  <c r="G404"/>
  <c r="L144" i="49"/>
  <c r="G14" i="50"/>
  <c r="AQ9" i="46"/>
  <c r="AA30"/>
  <c r="AA23"/>
  <c r="AQ23"/>
  <c r="BG23"/>
  <c r="BW23"/>
  <c r="CM23"/>
  <c r="DC23"/>
  <c r="DS23"/>
  <c r="EI23"/>
  <c r="EY23"/>
  <c r="FO23"/>
  <c r="GE23"/>
  <c r="GU23"/>
  <c r="HK23"/>
  <c r="IA23"/>
  <c r="AA22"/>
  <c r="AQ22"/>
  <c r="BG22"/>
  <c r="BW22"/>
  <c r="CM22"/>
  <c r="DC22"/>
  <c r="AA21"/>
  <c r="AQ21"/>
  <c r="AA20"/>
  <c r="AA19"/>
  <c r="AQ19"/>
  <c r="AA18"/>
  <c r="AA17"/>
  <c r="AQ17"/>
  <c r="AA16"/>
  <c r="AA15"/>
  <c r="AQ15"/>
  <c r="BG15"/>
  <c r="BW15"/>
  <c r="CM15"/>
  <c r="AA14"/>
  <c r="AQ14"/>
  <c r="BG14"/>
  <c r="BW14"/>
  <c r="CM14"/>
  <c r="DC14"/>
  <c r="AA13"/>
  <c r="AQ13"/>
  <c r="AA12"/>
  <c r="AA11"/>
  <c r="AQ11"/>
  <c r="AA10"/>
  <c r="Q59" i="50"/>
  <c r="G13" i="26"/>
  <c r="D14"/>
  <c r="L13"/>
  <c r="O447" i="50"/>
  <c r="I277"/>
  <c r="H447"/>
  <c r="O83"/>
  <c r="F83"/>
  <c r="A210"/>
  <c r="AL209"/>
  <c r="B18" i="58"/>
  <c r="AF11" i="52"/>
  <c r="AC16"/>
  <c r="AC17"/>
  <c r="AC18"/>
  <c r="F20"/>
  <c r="AC20"/>
  <c r="U20"/>
  <c r="K20"/>
  <c r="W20"/>
  <c r="Q20"/>
  <c r="D21"/>
  <c r="I447" i="50"/>
  <c r="AE265"/>
  <c r="AA265"/>
  <c r="W265"/>
  <c r="G277"/>
  <c r="AE447"/>
  <c r="AA447"/>
  <c r="W447"/>
  <c r="F447"/>
  <c r="AF265"/>
  <c r="AB265"/>
  <c r="X265"/>
  <c r="T265"/>
  <c r="I83"/>
  <c r="H83"/>
  <c r="G41" i="58"/>
  <c r="I41"/>
  <c r="F41"/>
  <c r="H41"/>
  <c r="B178" i="49"/>
  <c r="E42" i="58"/>
  <c r="A184" i="50"/>
  <c r="AL183"/>
  <c r="A136"/>
  <c r="AL135"/>
  <c r="BF9" i="46"/>
  <c r="BF15"/>
  <c r="BV15"/>
  <c r="CL15"/>
  <c r="DB15"/>
  <c r="AP30"/>
  <c r="K447" i="50"/>
  <c r="E277"/>
  <c r="P277"/>
  <c r="G83"/>
  <c r="AG95"/>
  <c r="AF107"/>
  <c r="AC95"/>
  <c r="J83"/>
  <c r="M59" i="49"/>
  <c r="L62"/>
  <c r="P12"/>
  <c r="O15"/>
  <c r="J383" i="50"/>
  <c r="J395"/>
  <c r="K17"/>
  <c r="J199"/>
  <c r="J419"/>
  <c r="K394"/>
  <c r="J382"/>
  <c r="K383"/>
  <c r="K381"/>
  <c r="K200"/>
  <c r="J18"/>
  <c r="K211"/>
  <c r="J17"/>
  <c r="Q241"/>
  <c r="M447"/>
  <c r="K277"/>
  <c r="AF447"/>
  <c r="AB447"/>
  <c r="X447"/>
  <c r="T447"/>
  <c r="N277"/>
  <c r="M83"/>
  <c r="L83"/>
  <c r="E43" i="58"/>
  <c r="D119" i="49"/>
  <c r="E72"/>
  <c r="C229" i="50"/>
  <c r="AA4" i="26"/>
  <c r="L95" i="50"/>
  <c r="T459"/>
  <c r="X459"/>
  <c r="AB459"/>
  <c r="AF459"/>
  <c r="K289"/>
  <c r="Q253"/>
  <c r="N59" i="49"/>
  <c r="M62"/>
  <c r="J95" i="50"/>
  <c r="E289"/>
  <c r="I95"/>
  <c r="T277"/>
  <c r="X277"/>
  <c r="AB277"/>
  <c r="AF277"/>
  <c r="F459"/>
  <c r="W459"/>
  <c r="AA459"/>
  <c r="AE459"/>
  <c r="I459"/>
  <c r="B19" i="58"/>
  <c r="A211" i="50"/>
  <c r="AL210"/>
  <c r="F95"/>
  <c r="O95"/>
  <c r="I289"/>
  <c r="AA43" i="46"/>
  <c r="AA41"/>
  <c r="AA39"/>
  <c r="AA37"/>
  <c r="AA35"/>
  <c r="AA33"/>
  <c r="AA31"/>
  <c r="E95" i="50"/>
  <c r="V119"/>
  <c r="W107"/>
  <c r="Z119"/>
  <c r="AA107"/>
  <c r="F289"/>
  <c r="U277"/>
  <c r="Y277"/>
  <c r="AC277"/>
  <c r="AG277"/>
  <c r="V277"/>
  <c r="Z277"/>
  <c r="AD277"/>
  <c r="E459"/>
  <c r="U459"/>
  <c r="Y459"/>
  <c r="AC459"/>
  <c r="AG459"/>
  <c r="N95"/>
  <c r="L459"/>
  <c r="A223"/>
  <c r="AL222"/>
  <c r="P95"/>
  <c r="J289"/>
  <c r="O277"/>
  <c r="A41"/>
  <c r="AL41" s="1"/>
  <c r="A65"/>
  <c r="AL64"/>
  <c r="A113"/>
  <c r="AL112"/>
  <c r="A161"/>
  <c r="AL160"/>
  <c r="A101"/>
  <c r="AL100"/>
  <c r="A125"/>
  <c r="AL124"/>
  <c r="A149"/>
  <c r="AL148"/>
  <c r="A173"/>
  <c r="AL172"/>
  <c r="A549"/>
  <c r="AL548"/>
  <c r="A525"/>
  <c r="AL524"/>
  <c r="A501"/>
  <c r="AL500"/>
  <c r="A477"/>
  <c r="AL476"/>
  <c r="A453"/>
  <c r="AL452"/>
  <c r="A429"/>
  <c r="AL428"/>
  <c r="A405"/>
  <c r="AL404"/>
  <c r="O106" i="49"/>
  <c r="N109"/>
  <c r="A537" i="50"/>
  <c r="AL536"/>
  <c r="A513"/>
  <c r="AL512"/>
  <c r="A489"/>
  <c r="AL488"/>
  <c r="A465"/>
  <c r="AL464"/>
  <c r="A441"/>
  <c r="AL440"/>
  <c r="A393"/>
  <c r="AL392"/>
  <c r="T119"/>
  <c r="U107"/>
  <c r="X119"/>
  <c r="Y107"/>
  <c r="AB119"/>
  <c r="P459"/>
  <c r="N9" i="46"/>
  <c r="AC9"/>
  <c r="M30"/>
  <c r="M52" i="49"/>
  <c r="H15" i="50"/>
  <c r="H391"/>
  <c r="H392"/>
  <c r="H198"/>
  <c r="H16"/>
  <c r="H404"/>
  <c r="M145" i="49"/>
  <c r="M98"/>
  <c r="AQ10" i="46"/>
  <c r="AQ12"/>
  <c r="AQ16"/>
  <c r="AQ18"/>
  <c r="AQ20"/>
  <c r="BF16"/>
  <c r="AP31"/>
  <c r="AP33"/>
  <c r="AP35"/>
  <c r="AP37"/>
  <c r="AP39"/>
  <c r="AP41"/>
  <c r="AP43"/>
  <c r="M95" i="50"/>
  <c r="N289"/>
  <c r="M459"/>
  <c r="Q12" i="49"/>
  <c r="P15"/>
  <c r="K407" i="50"/>
  <c r="K405"/>
  <c r="L419"/>
  <c r="K419"/>
  <c r="AC107"/>
  <c r="AF119"/>
  <c r="AG107"/>
  <c r="G95"/>
  <c r="P289"/>
  <c r="K459"/>
  <c r="BV9" i="46"/>
  <c r="A137" i="50"/>
  <c r="AL136"/>
  <c r="A185"/>
  <c r="AL184"/>
  <c r="B179" i="49"/>
  <c r="H95" i="50"/>
  <c r="G289"/>
  <c r="W277"/>
  <c r="AA277"/>
  <c r="AE277"/>
  <c r="F21" i="52"/>
  <c r="K21"/>
  <c r="D22"/>
  <c r="AH11"/>
  <c r="H459" i="50"/>
  <c r="O459"/>
  <c r="G14" i="26"/>
  <c r="D15"/>
  <c r="L14"/>
  <c r="Q71" i="50"/>
  <c r="BG9" i="46"/>
  <c r="AQ30"/>
  <c r="J459" i="50"/>
  <c r="Q435"/>
  <c r="CK9" i="46"/>
  <c r="BU30"/>
  <c r="A16" i="57"/>
  <c r="B46" i="58"/>
  <c r="H289" i="50"/>
  <c r="M289"/>
  <c r="N6" i="53"/>
  <c r="M8"/>
  <c r="AC13" i="52"/>
  <c r="M7" i="53"/>
  <c r="AC12" i="52"/>
  <c r="AD119" i="50"/>
  <c r="AE107"/>
  <c r="N459"/>
  <c r="V459"/>
  <c r="Z459"/>
  <c r="AD459"/>
  <c r="K95"/>
  <c r="L289"/>
  <c r="G459"/>
  <c r="J9" i="47"/>
  <c r="N19" i="49"/>
  <c r="N66"/>
  <c r="H377" i="50"/>
  <c r="H207"/>
  <c r="H195"/>
  <c r="M50" i="49"/>
  <c r="H376" i="50"/>
  <c r="H194"/>
  <c r="H12"/>
  <c r="H378"/>
  <c r="H196"/>
  <c r="N137" i="49"/>
  <c r="N136"/>
  <c r="N88"/>
  <c r="N92"/>
  <c r="I380" i="50" s="1"/>
  <c r="O39" i="49"/>
  <c r="N139"/>
  <c r="N90"/>
  <c r="N89"/>
  <c r="N43"/>
  <c r="N135"/>
  <c r="N41"/>
  <c r="N45"/>
  <c r="I16" i="50"/>
  <c r="N42" i="49"/>
  <c r="N44"/>
  <c r="I15" i="50" s="1"/>
  <c r="N91" i="49"/>
  <c r="I391" i="50" s="1"/>
  <c r="N138" i="49"/>
  <c r="N146" s="1"/>
  <c r="E17" i="58"/>
  <c r="G17" s="1"/>
  <c r="I17" s="1"/>
  <c r="BG11" i="46"/>
  <c r="BG19"/>
  <c r="BF22"/>
  <c r="BF18"/>
  <c r="BV18"/>
  <c r="BF14"/>
  <c r="BF10"/>
  <c r="BV10"/>
  <c r="AP32"/>
  <c r="AP34"/>
  <c r="AP36"/>
  <c r="AP38"/>
  <c r="AP40"/>
  <c r="AP42"/>
  <c r="AC19" i="52"/>
  <c r="E119" i="49"/>
  <c r="I72"/>
  <c r="J72"/>
  <c r="F72"/>
  <c r="AD230" i="50"/>
  <c r="AD231" s="1"/>
  <c r="AD232" s="1"/>
  <c r="AD233" s="1"/>
  <c r="AD234" s="1"/>
  <c r="AD235" s="1"/>
  <c r="AD236" s="1"/>
  <c r="AD237" s="1"/>
  <c r="Z230"/>
  <c r="Z231" s="1"/>
  <c r="Z232" s="1"/>
  <c r="Z233" s="1"/>
  <c r="Z234" s="1"/>
  <c r="Z235" s="1"/>
  <c r="Z236" s="1"/>
  <c r="Z237" s="1"/>
  <c r="V230"/>
  <c r="V231" s="1"/>
  <c r="V232" s="1"/>
  <c r="V233" s="1"/>
  <c r="V234" s="1"/>
  <c r="V235" s="1"/>
  <c r="V236" s="1"/>
  <c r="V237" s="1"/>
  <c r="AG230"/>
  <c r="AG231" s="1"/>
  <c r="AG232" s="1"/>
  <c r="AG233" s="1"/>
  <c r="AG234" s="1"/>
  <c r="AG235" s="1"/>
  <c r="AG236" s="1"/>
  <c r="AG237" s="1"/>
  <c r="AC230"/>
  <c r="AC231" s="1"/>
  <c r="AC232" s="1"/>
  <c r="AC233" s="1"/>
  <c r="AC234" s="1"/>
  <c r="AC235" s="1"/>
  <c r="AC236" s="1"/>
  <c r="AC237" s="1"/>
  <c r="Y230"/>
  <c r="Y231" s="1"/>
  <c r="Y232" s="1"/>
  <c r="Y233" s="1"/>
  <c r="Y234" s="1"/>
  <c r="Y235" s="1"/>
  <c r="Y236" s="1"/>
  <c r="Y237" s="1"/>
  <c r="U230"/>
  <c r="U231" s="1"/>
  <c r="U232" s="1"/>
  <c r="U233" s="1"/>
  <c r="U234" s="1"/>
  <c r="U235" s="1"/>
  <c r="U236" s="1"/>
  <c r="U237" s="1"/>
  <c r="AE230"/>
  <c r="AE231" s="1"/>
  <c r="AE232" s="1"/>
  <c r="AE233" s="1"/>
  <c r="AE234" s="1"/>
  <c r="AE235" s="1"/>
  <c r="AE236" s="1"/>
  <c r="AE237" s="1"/>
  <c r="AA230"/>
  <c r="AA231" s="1"/>
  <c r="AA232" s="1"/>
  <c r="AA233" s="1"/>
  <c r="AA234" s="1"/>
  <c r="AA235" s="1"/>
  <c r="AA236" s="1"/>
  <c r="AA237" s="1"/>
  <c r="W230"/>
  <c r="W231" s="1"/>
  <c r="W232" s="1"/>
  <c r="W233" s="1"/>
  <c r="W234" s="1"/>
  <c r="W235" s="1"/>
  <c r="W236" s="1"/>
  <c r="W237" s="1"/>
  <c r="AF230"/>
  <c r="AF231" s="1"/>
  <c r="AF232" s="1"/>
  <c r="AF233" s="1"/>
  <c r="AF234" s="1"/>
  <c r="AF235" s="1"/>
  <c r="AF236" s="1"/>
  <c r="AF237" s="1"/>
  <c r="AB230"/>
  <c r="AB231" s="1"/>
  <c r="AB232" s="1"/>
  <c r="AB233" s="1"/>
  <c r="AB234" s="1"/>
  <c r="AB235" s="1"/>
  <c r="AB236" s="1"/>
  <c r="AB237" s="1"/>
  <c r="X230"/>
  <c r="X231" s="1"/>
  <c r="X232" s="1"/>
  <c r="X233" s="1"/>
  <c r="X234" s="1"/>
  <c r="X235" s="1"/>
  <c r="X236" s="1"/>
  <c r="X237" s="1"/>
  <c r="T230"/>
  <c r="T231" s="1"/>
  <c r="T232" s="1"/>
  <c r="T233" s="1"/>
  <c r="T234" s="1"/>
  <c r="T235" s="1"/>
  <c r="T236" s="1"/>
  <c r="T237" s="1"/>
  <c r="F26" i="49"/>
  <c r="B423" i="50"/>
  <c r="B241"/>
  <c r="B59"/>
  <c r="AE3" i="26"/>
  <c r="D73" i="49"/>
  <c r="F119"/>
  <c r="N52"/>
  <c r="I379" i="50"/>
  <c r="I197"/>
  <c r="I392"/>
  <c r="I198"/>
  <c r="N144" i="49"/>
  <c r="K8" i="47"/>
  <c r="N67" i="49"/>
  <c r="N20"/>
  <c r="L301" i="50"/>
  <c r="N471"/>
  <c r="AE119"/>
  <c r="AD131"/>
  <c r="M301"/>
  <c r="Q447"/>
  <c r="Q83"/>
  <c r="G15" i="26"/>
  <c r="D16"/>
  <c r="L15"/>
  <c r="O471" i="50"/>
  <c r="AE289"/>
  <c r="AA289"/>
  <c r="W289"/>
  <c r="H107"/>
  <c r="B180" i="49"/>
  <c r="K471" i="50"/>
  <c r="G107"/>
  <c r="AG119"/>
  <c r="AF131"/>
  <c r="AC119"/>
  <c r="R12" i="49"/>
  <c r="Q15"/>
  <c r="M393" i="50"/>
  <c r="M383"/>
  <c r="M381"/>
  <c r="M201"/>
  <c r="M199"/>
  <c r="M19"/>
  <c r="M212"/>
  <c r="L200"/>
  <c r="L17"/>
  <c r="L201"/>
  <c r="L199"/>
  <c r="M407"/>
  <c r="L407"/>
  <c r="M382"/>
  <c r="L212"/>
  <c r="M200"/>
  <c r="L18"/>
  <c r="M213"/>
  <c r="M211"/>
  <c r="M18"/>
  <c r="M419"/>
  <c r="M405"/>
  <c r="L405"/>
  <c r="L383"/>
  <c r="L381"/>
  <c r="L395"/>
  <c r="L393"/>
  <c r="L213"/>
  <c r="L211"/>
  <c r="M17"/>
  <c r="L19"/>
  <c r="M431"/>
  <c r="N301"/>
  <c r="O9" i="46"/>
  <c r="AD9"/>
  <c r="N30"/>
  <c r="O289" i="50"/>
  <c r="P107"/>
  <c r="A224"/>
  <c r="AL223"/>
  <c r="L471"/>
  <c r="E471"/>
  <c r="AD289"/>
  <c r="Z289"/>
  <c r="V289"/>
  <c r="AG289"/>
  <c r="AC289"/>
  <c r="Y289"/>
  <c r="U289"/>
  <c r="E107"/>
  <c r="O107"/>
  <c r="A212"/>
  <c r="AL211"/>
  <c r="B20" i="58"/>
  <c r="E19"/>
  <c r="G19" s="1"/>
  <c r="I19" s="1"/>
  <c r="I471" i="50"/>
  <c r="AE471"/>
  <c r="AA471"/>
  <c r="W471"/>
  <c r="I107"/>
  <c r="E301"/>
  <c r="Q265"/>
  <c r="L107"/>
  <c r="AE19" i="52"/>
  <c r="AE16"/>
  <c r="BG20" i="46"/>
  <c r="BG16"/>
  <c r="BG12"/>
  <c r="L382" i="50"/>
  <c r="AQ39" i="46"/>
  <c r="AQ41"/>
  <c r="AQ43"/>
  <c r="I377" i="50"/>
  <c r="I195"/>
  <c r="I207"/>
  <c r="I13"/>
  <c r="N51" i="49"/>
  <c r="I388" i="50"/>
  <c r="I376"/>
  <c r="I194"/>
  <c r="I12"/>
  <c r="I390"/>
  <c r="I378"/>
  <c r="I196"/>
  <c r="I14"/>
  <c r="I208"/>
  <c r="I414"/>
  <c r="I402"/>
  <c r="P39" i="49"/>
  <c r="O137"/>
  <c r="O136"/>
  <c r="O88"/>
  <c r="O92"/>
  <c r="O139"/>
  <c r="O90"/>
  <c r="O89"/>
  <c r="O43"/>
  <c r="O135"/>
  <c r="O145" s="1"/>
  <c r="O41"/>
  <c r="O45"/>
  <c r="O42"/>
  <c r="O44"/>
  <c r="O91"/>
  <c r="O99" s="1"/>
  <c r="O138"/>
  <c r="O146" s="1"/>
  <c r="N97"/>
  <c r="G471" i="50"/>
  <c r="K107"/>
  <c r="AD471"/>
  <c r="Z471"/>
  <c r="V471"/>
  <c r="O6" i="53"/>
  <c r="N8"/>
  <c r="N7"/>
  <c r="AE12" i="52" s="1"/>
  <c r="AE20"/>
  <c r="H301" i="50"/>
  <c r="B47" i="58"/>
  <c r="A17" i="57"/>
  <c r="DA9" i="46"/>
  <c r="CK30"/>
  <c r="J471" i="50"/>
  <c r="BW9" i="46"/>
  <c r="BG30"/>
  <c r="T14" i="26"/>
  <c r="H471" i="50"/>
  <c r="F22" i="52"/>
  <c r="K22"/>
  <c r="D23"/>
  <c r="G301" i="50"/>
  <c r="A186"/>
  <c r="AL185"/>
  <c r="A138"/>
  <c r="AL137"/>
  <c r="CL9" i="46"/>
  <c r="CL30"/>
  <c r="BV30"/>
  <c r="P301" i="50"/>
  <c r="M471"/>
  <c r="M107"/>
  <c r="AS9" i="46"/>
  <c r="AC30"/>
  <c r="AC23"/>
  <c r="AS23"/>
  <c r="BI23"/>
  <c r="BY23"/>
  <c r="CO23"/>
  <c r="DE23"/>
  <c r="DU23"/>
  <c r="EK23"/>
  <c r="FA23"/>
  <c r="FQ23"/>
  <c r="GG23"/>
  <c r="GW23"/>
  <c r="HM23"/>
  <c r="IC23"/>
  <c r="AC22"/>
  <c r="AC21"/>
  <c r="AS21"/>
  <c r="AC20"/>
  <c r="AC19"/>
  <c r="AS19"/>
  <c r="AC18"/>
  <c r="AC17"/>
  <c r="AS17"/>
  <c r="AC16"/>
  <c r="AC15"/>
  <c r="AS15"/>
  <c r="BI15"/>
  <c r="AC14"/>
  <c r="AC13"/>
  <c r="AS13"/>
  <c r="AC12"/>
  <c r="AC11"/>
  <c r="AS11"/>
  <c r="AC10"/>
  <c r="P471" i="50"/>
  <c r="AB131"/>
  <c r="Y119"/>
  <c r="X131"/>
  <c r="U119"/>
  <c r="T131"/>
  <c r="A394"/>
  <c r="AL393"/>
  <c r="A442"/>
  <c r="AL441"/>
  <c r="A466"/>
  <c r="AL465"/>
  <c r="A490"/>
  <c r="AL489"/>
  <c r="A514"/>
  <c r="AL513"/>
  <c r="A538"/>
  <c r="AL537"/>
  <c r="P106" i="49"/>
  <c r="O109"/>
  <c r="A406" i="50"/>
  <c r="AL405"/>
  <c r="A430"/>
  <c r="AL429"/>
  <c r="A454"/>
  <c r="AL453"/>
  <c r="A478"/>
  <c r="AL477"/>
  <c r="A502"/>
  <c r="AL501"/>
  <c r="A526"/>
  <c r="AL525"/>
  <c r="A550"/>
  <c r="AL549"/>
  <c r="A174"/>
  <c r="AL173"/>
  <c r="A150"/>
  <c r="AL149"/>
  <c r="A126"/>
  <c r="AL125"/>
  <c r="A102"/>
  <c r="AL101"/>
  <c r="A162"/>
  <c r="AL161"/>
  <c r="A114"/>
  <c r="AL113"/>
  <c r="A66"/>
  <c r="AL65"/>
  <c r="A42"/>
  <c r="AL42"/>
  <c r="J301"/>
  <c r="N107"/>
  <c r="AG471"/>
  <c r="AC471"/>
  <c r="Y471"/>
  <c r="U471"/>
  <c r="F301"/>
  <c r="AA119"/>
  <c r="Z131"/>
  <c r="W119"/>
  <c r="V131"/>
  <c r="I301"/>
  <c r="F107"/>
  <c r="F471"/>
  <c r="AF289"/>
  <c r="AB289"/>
  <c r="X289"/>
  <c r="T289"/>
  <c r="J107"/>
  <c r="O59" i="49"/>
  <c r="N62"/>
  <c r="K301" i="50"/>
  <c r="AF471"/>
  <c r="AB471"/>
  <c r="X471"/>
  <c r="T471"/>
  <c r="BW19" i="46"/>
  <c r="BW11"/>
  <c r="N99" i="49"/>
  <c r="AE18" i="52"/>
  <c r="AE17"/>
  <c r="AE13"/>
  <c r="BV16" i="46"/>
  <c r="BG18"/>
  <c r="BW18"/>
  <c r="CM18"/>
  <c r="BG10"/>
  <c r="BW10"/>
  <c r="CM10"/>
  <c r="DC10"/>
  <c r="L394" i="50"/>
  <c r="AQ31" i="46"/>
  <c r="BG31"/>
  <c r="BW31"/>
  <c r="AQ33"/>
  <c r="AQ35"/>
  <c r="BG35"/>
  <c r="BW35"/>
  <c r="AQ37"/>
  <c r="E18" i="58"/>
  <c r="E44"/>
  <c r="D120" i="49"/>
  <c r="D27"/>
  <c r="E73"/>
  <c r="C423" i="50"/>
  <c r="C241"/>
  <c r="C59"/>
  <c r="AE4" i="26"/>
  <c r="AI4" s="1"/>
  <c r="V143" i="50"/>
  <c r="W131"/>
  <c r="Z143"/>
  <c r="AA131"/>
  <c r="F313"/>
  <c r="U483"/>
  <c r="Y483"/>
  <c r="AC483"/>
  <c r="AG483"/>
  <c r="J313"/>
  <c r="A43"/>
  <c r="AL43" s="1"/>
  <c r="A67"/>
  <c r="AL67" s="1"/>
  <c r="AL66"/>
  <c r="A115"/>
  <c r="AL115"/>
  <c r="AL114"/>
  <c r="A163"/>
  <c r="AL163" s="1"/>
  <c r="AL162"/>
  <c r="A103"/>
  <c r="AL103"/>
  <c r="AL102"/>
  <c r="A127"/>
  <c r="AL127" s="1"/>
  <c r="AL126"/>
  <c r="A151"/>
  <c r="AL151"/>
  <c r="AL150"/>
  <c r="A175"/>
  <c r="AL175" s="1"/>
  <c r="AL174"/>
  <c r="A551"/>
  <c r="AL551"/>
  <c r="AL550"/>
  <c r="A527"/>
  <c r="AL527" s="1"/>
  <c r="AL526"/>
  <c r="A503"/>
  <c r="AL503"/>
  <c r="AL502"/>
  <c r="A479"/>
  <c r="AL479" s="1"/>
  <c r="AL478"/>
  <c r="A455"/>
  <c r="AL455"/>
  <c r="AL454"/>
  <c r="A431"/>
  <c r="AL431" s="1"/>
  <c r="AL430"/>
  <c r="A407"/>
  <c r="AL407"/>
  <c r="AL406"/>
  <c r="Q106" i="49"/>
  <c r="P109"/>
  <c r="A539" i="50"/>
  <c r="AL539" s="1"/>
  <c r="AL538"/>
  <c r="A515"/>
  <c r="AL515"/>
  <c r="AL514"/>
  <c r="A491"/>
  <c r="AL491" s="1"/>
  <c r="AL490"/>
  <c r="A467"/>
  <c r="AL467"/>
  <c r="AL466"/>
  <c r="A443"/>
  <c r="AL443" s="1"/>
  <c r="AL442"/>
  <c r="A395"/>
  <c r="AL395"/>
  <c r="AL394"/>
  <c r="AC43" i="46"/>
  <c r="AC41"/>
  <c r="AC39"/>
  <c r="AC37"/>
  <c r="AC35"/>
  <c r="AC33"/>
  <c r="AC31"/>
  <c r="P313" i="50"/>
  <c r="DB9" i="46"/>
  <c r="A139" i="50"/>
  <c r="AL139"/>
  <c r="AL138"/>
  <c r="A187"/>
  <c r="AL187" s="1"/>
  <c r="AL186"/>
  <c r="G313"/>
  <c r="H483"/>
  <c r="CM9" i="46"/>
  <c r="CM19"/>
  <c r="DC19"/>
  <c r="BW30"/>
  <c r="H313" i="50"/>
  <c r="O8" i="53"/>
  <c r="O7"/>
  <c r="K119" i="50"/>
  <c r="G483"/>
  <c r="J195"/>
  <c r="J13"/>
  <c r="J377"/>
  <c r="J207"/>
  <c r="O50" i="49"/>
  <c r="J12" i="50"/>
  <c r="J194"/>
  <c r="J376"/>
  <c r="J388"/>
  <c r="J196"/>
  <c r="J14"/>
  <c r="J414"/>
  <c r="J378"/>
  <c r="J390"/>
  <c r="J208"/>
  <c r="J402"/>
  <c r="P137" i="49"/>
  <c r="P136"/>
  <c r="P88"/>
  <c r="P92"/>
  <c r="P139"/>
  <c r="P90"/>
  <c r="P89"/>
  <c r="P43"/>
  <c r="K14" i="50"/>
  <c r="Q39" i="49"/>
  <c r="P135"/>
  <c r="P41"/>
  <c r="P45"/>
  <c r="K16" i="50" s="1"/>
  <c r="P42" i="49"/>
  <c r="P44"/>
  <c r="K15" i="50"/>
  <c r="P91" i="49"/>
  <c r="P138"/>
  <c r="E313" i="50"/>
  <c r="I119"/>
  <c r="I483"/>
  <c r="F19" i="58"/>
  <c r="H19" s="1"/>
  <c r="O119" i="50"/>
  <c r="U301"/>
  <c r="Y301"/>
  <c r="AC301"/>
  <c r="AG301"/>
  <c r="L483"/>
  <c r="A225"/>
  <c r="AL225" s="1"/>
  <c r="AL224"/>
  <c r="P119"/>
  <c r="O301"/>
  <c r="AT9" i="46"/>
  <c r="AD30"/>
  <c r="AD23"/>
  <c r="AT23"/>
  <c r="BJ23"/>
  <c r="BZ23"/>
  <c r="CP23"/>
  <c r="DF23"/>
  <c r="DV23"/>
  <c r="EL23"/>
  <c r="FB23"/>
  <c r="FR23"/>
  <c r="GH23"/>
  <c r="GX23"/>
  <c r="HN23"/>
  <c r="ID23"/>
  <c r="AD22"/>
  <c r="AD21"/>
  <c r="AT21"/>
  <c r="AD20"/>
  <c r="AD19"/>
  <c r="AT19"/>
  <c r="BJ19"/>
  <c r="AD18"/>
  <c r="AD17"/>
  <c r="AD16"/>
  <c r="AD15"/>
  <c r="AT15"/>
  <c r="AD14"/>
  <c r="AD13"/>
  <c r="AT13"/>
  <c r="AD12"/>
  <c r="AD11"/>
  <c r="AT11"/>
  <c r="BJ11"/>
  <c r="AD10"/>
  <c r="S12" i="49"/>
  <c r="R15"/>
  <c r="M394" i="50"/>
  <c r="N407"/>
  <c r="M395"/>
  <c r="N405"/>
  <c r="AC131"/>
  <c r="AF143"/>
  <c r="AG131"/>
  <c r="G119"/>
  <c r="K483"/>
  <c r="W301"/>
  <c r="AA301"/>
  <c r="AE301"/>
  <c r="O483"/>
  <c r="G16" i="26"/>
  <c r="D17"/>
  <c r="L16"/>
  <c r="Q95" i="50"/>
  <c r="M313"/>
  <c r="AD143"/>
  <c r="AE131"/>
  <c r="L313"/>
  <c r="CM11" i="46"/>
  <c r="AS10"/>
  <c r="AS12"/>
  <c r="AS14"/>
  <c r="AS16"/>
  <c r="AS18"/>
  <c r="AS20"/>
  <c r="AS22"/>
  <c r="BG43"/>
  <c r="BW43"/>
  <c r="CM43"/>
  <c r="DC43"/>
  <c r="DS43"/>
  <c r="EI43"/>
  <c r="EY43"/>
  <c r="FO43"/>
  <c r="GE43"/>
  <c r="GU43"/>
  <c r="HK43"/>
  <c r="IA43"/>
  <c r="BG39"/>
  <c r="BW39"/>
  <c r="BW12"/>
  <c r="BW20"/>
  <c r="CM20"/>
  <c r="AG19" i="52"/>
  <c r="AG16"/>
  <c r="M16" s="1"/>
  <c r="AG12"/>
  <c r="T483" i="50"/>
  <c r="X483"/>
  <c r="AB483"/>
  <c r="AF483"/>
  <c r="K313"/>
  <c r="P59" i="49"/>
  <c r="O62"/>
  <c r="J119" i="50"/>
  <c r="T301"/>
  <c r="X301"/>
  <c r="AB301"/>
  <c r="AF301"/>
  <c r="F483"/>
  <c r="F119"/>
  <c r="I313"/>
  <c r="N119"/>
  <c r="T143"/>
  <c r="U131"/>
  <c r="X143"/>
  <c r="Y131"/>
  <c r="AB143"/>
  <c r="P483"/>
  <c r="BI9" i="46"/>
  <c r="AS30"/>
  <c r="M119" i="50"/>
  <c r="M483"/>
  <c r="F23" i="52"/>
  <c r="K23"/>
  <c r="D24"/>
  <c r="J483" i="50"/>
  <c r="DQ9" i="46"/>
  <c r="DA30"/>
  <c r="A18" i="57"/>
  <c r="B48" i="58"/>
  <c r="V483" i="50"/>
  <c r="Z483"/>
  <c r="AD483"/>
  <c r="O52" i="49"/>
  <c r="J197" i="50"/>
  <c r="J15"/>
  <c r="J379"/>
  <c r="J391"/>
  <c r="J209"/>
  <c r="J198"/>
  <c r="J404"/>
  <c r="J392"/>
  <c r="O144" i="49"/>
  <c r="O97"/>
  <c r="L119" i="50"/>
  <c r="Q277"/>
  <c r="W483"/>
  <c r="AA483"/>
  <c r="AE483"/>
  <c r="B21" i="58"/>
  <c r="A213" i="50"/>
  <c r="AL213"/>
  <c r="AL212"/>
  <c r="E119"/>
  <c r="V301"/>
  <c r="Z301"/>
  <c r="AD301"/>
  <c r="E483"/>
  <c r="P9" i="46"/>
  <c r="Q9"/>
  <c r="AE9"/>
  <c r="O30"/>
  <c r="N313" i="50"/>
  <c r="B181" i="49"/>
  <c r="E45" i="58"/>
  <c r="H119" i="50"/>
  <c r="Q459"/>
  <c r="N483"/>
  <c r="K9" i="47"/>
  <c r="O19" i="49"/>
  <c r="O66"/>
  <c r="BI11" i="46"/>
  <c r="BI19"/>
  <c r="BG41"/>
  <c r="BW41"/>
  <c r="CM41"/>
  <c r="BW16"/>
  <c r="CM16"/>
  <c r="DC16"/>
  <c r="AG18" i="52"/>
  <c r="AG17"/>
  <c r="AG13"/>
  <c r="U242" i="50"/>
  <c r="U243"/>
  <c r="U244" s="1"/>
  <c r="U245" s="1"/>
  <c r="U246" s="1"/>
  <c r="U247" s="1"/>
  <c r="U248" s="1"/>
  <c r="U249" s="1"/>
  <c r="Y242"/>
  <c r="Y243"/>
  <c r="Y244" s="1"/>
  <c r="Y245" s="1"/>
  <c r="Y246" s="1"/>
  <c r="Y247" s="1"/>
  <c r="Y248" s="1"/>
  <c r="Y249" s="1"/>
  <c r="AC242"/>
  <c r="AC243"/>
  <c r="AC244" s="1"/>
  <c r="AC245" s="1"/>
  <c r="AC246" s="1"/>
  <c r="AC247" s="1"/>
  <c r="AC248" s="1"/>
  <c r="AC249" s="1"/>
  <c r="AG242"/>
  <c r="AG243"/>
  <c r="AG244" s="1"/>
  <c r="AG245" s="1"/>
  <c r="AG246" s="1"/>
  <c r="AG247" s="1"/>
  <c r="AG248" s="1"/>
  <c r="AG249" s="1"/>
  <c r="V242"/>
  <c r="V243"/>
  <c r="V244" s="1"/>
  <c r="V245" s="1"/>
  <c r="V246" s="1"/>
  <c r="V247" s="1"/>
  <c r="V248" s="1"/>
  <c r="V249" s="1"/>
  <c r="Z242"/>
  <c r="Z243"/>
  <c r="Z244" s="1"/>
  <c r="Z245" s="1"/>
  <c r="Z246" s="1"/>
  <c r="Z247" s="1"/>
  <c r="Z248" s="1"/>
  <c r="Z249" s="1"/>
  <c r="AD242"/>
  <c r="AD243"/>
  <c r="AD244" s="1"/>
  <c r="AD245" s="1"/>
  <c r="AD246" s="1"/>
  <c r="AD247" s="1"/>
  <c r="AD248" s="1"/>
  <c r="AD249" s="1"/>
  <c r="T242"/>
  <c r="T243"/>
  <c r="T244" s="1"/>
  <c r="T245" s="1"/>
  <c r="T246" s="1"/>
  <c r="T247" s="1"/>
  <c r="T248" s="1"/>
  <c r="T249" s="1"/>
  <c r="X242"/>
  <c r="X243"/>
  <c r="X244" s="1"/>
  <c r="X245" s="1"/>
  <c r="X246" s="1"/>
  <c r="X247" s="1"/>
  <c r="X248" s="1"/>
  <c r="X249" s="1"/>
  <c r="AB242"/>
  <c r="AB243"/>
  <c r="AB244" s="1"/>
  <c r="AB245" s="1"/>
  <c r="AB246" s="1"/>
  <c r="AB247" s="1"/>
  <c r="AB248" s="1"/>
  <c r="AB249" s="1"/>
  <c r="AF242"/>
  <c r="AF243"/>
  <c r="AF244" s="1"/>
  <c r="AF245" s="1"/>
  <c r="AF246" s="1"/>
  <c r="AF247" s="1"/>
  <c r="AF248" s="1"/>
  <c r="AF249" s="1"/>
  <c r="W242"/>
  <c r="W243"/>
  <c r="W244" s="1"/>
  <c r="W245" s="1"/>
  <c r="W246" s="1"/>
  <c r="W247" s="1"/>
  <c r="W248" s="1"/>
  <c r="W249" s="1"/>
  <c r="AA242"/>
  <c r="AA243"/>
  <c r="AA244" s="1"/>
  <c r="AA245" s="1"/>
  <c r="AA246" s="1"/>
  <c r="AA247" s="1"/>
  <c r="AA248" s="1"/>
  <c r="AA249" s="1"/>
  <c r="AE242"/>
  <c r="AE243"/>
  <c r="AE244" s="1"/>
  <c r="AE245" s="1"/>
  <c r="AE246" s="1"/>
  <c r="AE247" s="1"/>
  <c r="AE248" s="1"/>
  <c r="AE249" s="1"/>
  <c r="E120" i="49"/>
  <c r="I73"/>
  <c r="J73"/>
  <c r="F73"/>
  <c r="V60" i="50"/>
  <c r="V61"/>
  <c r="V62" s="1"/>
  <c r="V63" s="1"/>
  <c r="V64" s="1"/>
  <c r="V65" s="1"/>
  <c r="V66" s="1"/>
  <c r="V67" s="1"/>
  <c r="Z60"/>
  <c r="Z61"/>
  <c r="Z62" s="1"/>
  <c r="Z63" s="1"/>
  <c r="Z64" s="1"/>
  <c r="Z65" s="1"/>
  <c r="Z66" s="1"/>
  <c r="Z67" s="1"/>
  <c r="AD60"/>
  <c r="AD61"/>
  <c r="AD62" s="1"/>
  <c r="AD63" s="1"/>
  <c r="AD64" s="1"/>
  <c r="AD65" s="1"/>
  <c r="AD66" s="1"/>
  <c r="AD67" s="1"/>
  <c r="T60"/>
  <c r="T61"/>
  <c r="T62" s="1"/>
  <c r="T63" s="1"/>
  <c r="T64" s="1"/>
  <c r="T65" s="1"/>
  <c r="X60"/>
  <c r="X61"/>
  <c r="X62" s="1"/>
  <c r="X63" s="1"/>
  <c r="X64" s="1"/>
  <c r="X65" s="1"/>
  <c r="X66" s="1"/>
  <c r="X67" s="1"/>
  <c r="AB60"/>
  <c r="AB61"/>
  <c r="AB62" s="1"/>
  <c r="AB63" s="1"/>
  <c r="AB64" s="1"/>
  <c r="AB65" s="1"/>
  <c r="AB66" s="1"/>
  <c r="AB67" s="1"/>
  <c r="AF60"/>
  <c r="AF61"/>
  <c r="AF62" s="1"/>
  <c r="AF63" s="1"/>
  <c r="AF64" s="1"/>
  <c r="AF65" s="1"/>
  <c r="AF66" s="1"/>
  <c r="AF67" s="1"/>
  <c r="AG60"/>
  <c r="AG61"/>
  <c r="AG62" s="1"/>
  <c r="AG63" s="1"/>
  <c r="AG64" s="1"/>
  <c r="AG65" s="1"/>
  <c r="AG66" s="1"/>
  <c r="AG67" s="1"/>
  <c r="AC60"/>
  <c r="AC61"/>
  <c r="AC62" s="1"/>
  <c r="AC63" s="1"/>
  <c r="AC64" s="1"/>
  <c r="AC65" s="1"/>
  <c r="AC66" s="1"/>
  <c r="AC67" s="1"/>
  <c r="AE60"/>
  <c r="AE61"/>
  <c r="AE62" s="1"/>
  <c r="AE63" s="1"/>
  <c r="AE64" s="1"/>
  <c r="AE65" s="1"/>
  <c r="AE66" s="1"/>
  <c r="AE67" s="1"/>
  <c r="Y60"/>
  <c r="Y61"/>
  <c r="Y62" s="1"/>
  <c r="Y63" s="1"/>
  <c r="Y64" s="1"/>
  <c r="Y65" s="1"/>
  <c r="Y66" s="1"/>
  <c r="Y67" s="1"/>
  <c r="U60"/>
  <c r="U61"/>
  <c r="U62" s="1"/>
  <c r="U63" s="1"/>
  <c r="U64" s="1"/>
  <c r="U65" s="1"/>
  <c r="U66" s="1"/>
  <c r="U67" s="1"/>
  <c r="AA60"/>
  <c r="AA61"/>
  <c r="AA62" s="1"/>
  <c r="AA63" s="1"/>
  <c r="AA64" s="1"/>
  <c r="AA65" s="1"/>
  <c r="AA66" s="1"/>
  <c r="AA67" s="1"/>
  <c r="W60"/>
  <c r="W61"/>
  <c r="W62" s="1"/>
  <c r="W63" s="1"/>
  <c r="W64" s="1"/>
  <c r="W65" s="1"/>
  <c r="W66" s="1"/>
  <c r="W67" s="1"/>
  <c r="U424"/>
  <c r="U425"/>
  <c r="U426" s="1"/>
  <c r="U427" s="1"/>
  <c r="U428" s="1"/>
  <c r="U429" s="1"/>
  <c r="U430" s="1"/>
  <c r="U431" s="1"/>
  <c r="Y424"/>
  <c r="Y425" s="1"/>
  <c r="Y426" s="1"/>
  <c r="Y427" s="1"/>
  <c r="Y428"/>
  <c r="Y429" s="1"/>
  <c r="Y430" s="1"/>
  <c r="Y431" s="1"/>
  <c r="AC424"/>
  <c r="AC425" s="1"/>
  <c r="AC426" s="1"/>
  <c r="AC427" s="1"/>
  <c r="AC428" s="1"/>
  <c r="AC429" s="1"/>
  <c r="AC430" s="1"/>
  <c r="AC431" s="1"/>
  <c r="AG424"/>
  <c r="AG425"/>
  <c r="AG426" s="1"/>
  <c r="AG427" s="1"/>
  <c r="AG428" s="1"/>
  <c r="AG429" s="1"/>
  <c r="AG430" s="1"/>
  <c r="AG431" s="1"/>
  <c r="W424"/>
  <c r="W425"/>
  <c r="W426" s="1"/>
  <c r="W427" s="1"/>
  <c r="W428" s="1"/>
  <c r="W429" s="1"/>
  <c r="W430" s="1"/>
  <c r="W431" s="1"/>
  <c r="AA424"/>
  <c r="AA425"/>
  <c r="AA426" s="1"/>
  <c r="AA427" s="1"/>
  <c r="AA428" s="1"/>
  <c r="AA429" s="1"/>
  <c r="AA430" s="1"/>
  <c r="AA431" s="1"/>
  <c r="AE424"/>
  <c r="AE425"/>
  <c r="AE426" s="1"/>
  <c r="AE427" s="1"/>
  <c r="AE428" s="1"/>
  <c r="AE429" s="1"/>
  <c r="AE430" s="1"/>
  <c r="AE431" s="1"/>
  <c r="T424"/>
  <c r="T425"/>
  <c r="T426" s="1"/>
  <c r="T427" s="1"/>
  <c r="T428" s="1"/>
  <c r="T429" s="1"/>
  <c r="X424"/>
  <c r="X425"/>
  <c r="X426" s="1"/>
  <c r="X427" s="1"/>
  <c r="X428" s="1"/>
  <c r="X429" s="1"/>
  <c r="X430" s="1"/>
  <c r="X431" s="1"/>
  <c r="AB424"/>
  <c r="AB425"/>
  <c r="AB426" s="1"/>
  <c r="AB427" s="1"/>
  <c r="AB428" s="1"/>
  <c r="AB429" s="1"/>
  <c r="AB430" s="1"/>
  <c r="AB431" s="1"/>
  <c r="AF424"/>
  <c r="AF425"/>
  <c r="AF426" s="1"/>
  <c r="AF427" s="1"/>
  <c r="AF428" s="1"/>
  <c r="AF429" s="1"/>
  <c r="AF430" s="1"/>
  <c r="AF431" s="1"/>
  <c r="V424"/>
  <c r="V425"/>
  <c r="V426" s="1"/>
  <c r="V427" s="1"/>
  <c r="V428" s="1"/>
  <c r="V429" s="1"/>
  <c r="V430" s="1"/>
  <c r="V431" s="1"/>
  <c r="Z424"/>
  <c r="Z425" s="1"/>
  <c r="Z426" s="1"/>
  <c r="Z427" s="1"/>
  <c r="Z428" s="1"/>
  <c r="Z429" s="1"/>
  <c r="Z430" s="1"/>
  <c r="Z431" s="1"/>
  <c r="AD424"/>
  <c r="AD425" s="1"/>
  <c r="AD426" s="1"/>
  <c r="AD427" s="1"/>
  <c r="AD428" s="1"/>
  <c r="AD429" s="1"/>
  <c r="AD430" s="1"/>
  <c r="AD431" s="1"/>
  <c r="E27" i="49"/>
  <c r="F27"/>
  <c r="B71" i="50"/>
  <c r="D74" i="49"/>
  <c r="B435" i="50"/>
  <c r="B253"/>
  <c r="F120" i="49"/>
  <c r="N495" i="50"/>
  <c r="H131"/>
  <c r="B182" i="49"/>
  <c r="E46" i="58"/>
  <c r="AF9" i="46"/>
  <c r="E131" i="50"/>
  <c r="B22" i="58"/>
  <c r="E21"/>
  <c r="G21" s="1"/>
  <c r="I21" s="1"/>
  <c r="Q289" i="50"/>
  <c r="J495"/>
  <c r="F24" i="52"/>
  <c r="K24"/>
  <c r="D25"/>
  <c r="M495" i="50"/>
  <c r="BY9" i="46"/>
  <c r="BI30"/>
  <c r="N131" i="50"/>
  <c r="I325"/>
  <c r="F495"/>
  <c r="AF313"/>
  <c r="AB313"/>
  <c r="X313"/>
  <c r="T313"/>
  <c r="K325"/>
  <c r="AF495"/>
  <c r="AB495"/>
  <c r="X495"/>
  <c r="T495"/>
  <c r="L325"/>
  <c r="AE143"/>
  <c r="AD155"/>
  <c r="Q107"/>
  <c r="G17" i="26"/>
  <c r="D18"/>
  <c r="L17"/>
  <c r="O495" i="50"/>
  <c r="AE313"/>
  <c r="AA313"/>
  <c r="W313"/>
  <c r="K495"/>
  <c r="T12" i="49"/>
  <c r="S15"/>
  <c r="N383" i="50"/>
  <c r="N381"/>
  <c r="N395"/>
  <c r="N393"/>
  <c r="N213"/>
  <c r="N211"/>
  <c r="O395"/>
  <c r="O393"/>
  <c r="O383"/>
  <c r="O381"/>
  <c r="O223"/>
  <c r="O201"/>
  <c r="O199"/>
  <c r="O30"/>
  <c r="N30"/>
  <c r="N419"/>
  <c r="O17"/>
  <c r="N17"/>
  <c r="O213"/>
  <c r="O211"/>
  <c r="O31"/>
  <c r="N31"/>
  <c r="N417"/>
  <c r="N431"/>
  <c r="O394"/>
  <c r="N382"/>
  <c r="N394"/>
  <c r="O382"/>
  <c r="N212"/>
  <c r="O200"/>
  <c r="O18"/>
  <c r="N18"/>
  <c r="N223"/>
  <c r="N201"/>
  <c r="N199"/>
  <c r="O29"/>
  <c r="N29"/>
  <c r="O212"/>
  <c r="N200"/>
  <c r="O19"/>
  <c r="N19"/>
  <c r="BJ9" i="46"/>
  <c r="BJ13"/>
  <c r="AT30"/>
  <c r="P131" i="50"/>
  <c r="O131"/>
  <c r="I131"/>
  <c r="P52" i="49"/>
  <c r="K209" i="50"/>
  <c r="K391"/>
  <c r="K379"/>
  <c r="K197"/>
  <c r="K210"/>
  <c r="K392"/>
  <c r="K28"/>
  <c r="K416"/>
  <c r="P145" i="49"/>
  <c r="K26" i="50"/>
  <c r="K208"/>
  <c r="K378"/>
  <c r="K402"/>
  <c r="G495"/>
  <c r="H325"/>
  <c r="DC9" i="46"/>
  <c r="DC20"/>
  <c r="CM30"/>
  <c r="G325" i="50"/>
  <c r="DR9" i="46"/>
  <c r="DB30"/>
  <c r="J325" i="50"/>
  <c r="AG495"/>
  <c r="AC495"/>
  <c r="Y495"/>
  <c r="U495"/>
  <c r="CM31" i="46"/>
  <c r="E47" i="58"/>
  <c r="BI22" i="46"/>
  <c r="BY22"/>
  <c r="BI18"/>
  <c r="BY18"/>
  <c r="BI14"/>
  <c r="BY14"/>
  <c r="BI10"/>
  <c r="BY10"/>
  <c r="BJ15"/>
  <c r="AS31"/>
  <c r="BI31"/>
  <c r="AS33"/>
  <c r="AS35"/>
  <c r="BI35"/>
  <c r="AS37"/>
  <c r="L8" i="47"/>
  <c r="O67" i="49"/>
  <c r="O20"/>
  <c r="Q471" i="50"/>
  <c r="N325"/>
  <c r="AU9" i="46"/>
  <c r="AE30"/>
  <c r="AE23"/>
  <c r="AU23"/>
  <c r="BK23"/>
  <c r="CA23"/>
  <c r="CQ23"/>
  <c r="DG23"/>
  <c r="DW23"/>
  <c r="EM23"/>
  <c r="FC23"/>
  <c r="FS23"/>
  <c r="GI23"/>
  <c r="GY23"/>
  <c r="HO23"/>
  <c r="IE23"/>
  <c r="AE22"/>
  <c r="AE21"/>
  <c r="AU21"/>
  <c r="AE20"/>
  <c r="AE19"/>
  <c r="AU19"/>
  <c r="AE18"/>
  <c r="AE17"/>
  <c r="AU17"/>
  <c r="AE16"/>
  <c r="AE15"/>
  <c r="AU15"/>
  <c r="AE14"/>
  <c r="AE13"/>
  <c r="AU13"/>
  <c r="AE12"/>
  <c r="AU12"/>
  <c r="AE11"/>
  <c r="AU11"/>
  <c r="AE10"/>
  <c r="AU10"/>
  <c r="E495" i="50"/>
  <c r="AD313"/>
  <c r="Z313"/>
  <c r="V313"/>
  <c r="AE495"/>
  <c r="AA495"/>
  <c r="W495"/>
  <c r="L131"/>
  <c r="AD495"/>
  <c r="Z495"/>
  <c r="V495"/>
  <c r="B49" i="58"/>
  <c r="A19" i="57"/>
  <c r="EG9" i="46"/>
  <c r="DQ30"/>
  <c r="M131" i="50"/>
  <c r="P495"/>
  <c r="AB155"/>
  <c r="Y143"/>
  <c r="X155"/>
  <c r="U143"/>
  <c r="T155"/>
  <c r="F131"/>
  <c r="J131"/>
  <c r="Q59" i="49"/>
  <c r="P62"/>
  <c r="M325" i="50"/>
  <c r="T16" i="26"/>
  <c r="G131" i="50"/>
  <c r="AG143"/>
  <c r="AF155"/>
  <c r="AC143"/>
  <c r="AD43" i="46"/>
  <c r="AT43"/>
  <c r="BJ43"/>
  <c r="BZ43"/>
  <c r="CP43"/>
  <c r="DF43"/>
  <c r="DV43"/>
  <c r="EL43"/>
  <c r="FB43"/>
  <c r="FR43"/>
  <c r="GH43"/>
  <c r="GX43"/>
  <c r="HN43"/>
  <c r="ID43"/>
  <c r="AD42"/>
  <c r="AT42"/>
  <c r="AD41"/>
  <c r="AT41"/>
  <c r="AD40"/>
  <c r="AT40"/>
  <c r="AD39"/>
  <c r="AT39"/>
  <c r="AD38"/>
  <c r="AT38"/>
  <c r="AD37"/>
  <c r="AT37"/>
  <c r="AD36"/>
  <c r="AT36"/>
  <c r="AD35"/>
  <c r="AT35"/>
  <c r="AD34"/>
  <c r="AT34"/>
  <c r="AD33"/>
  <c r="AT33"/>
  <c r="AD32"/>
  <c r="AT32"/>
  <c r="AD31"/>
  <c r="AT31"/>
  <c r="O313" i="50"/>
  <c r="L495"/>
  <c r="AG313"/>
  <c r="AC313"/>
  <c r="Y313"/>
  <c r="U313"/>
  <c r="I495"/>
  <c r="E325"/>
  <c r="K13"/>
  <c r="K25"/>
  <c r="K207"/>
  <c r="K389"/>
  <c r="K377"/>
  <c r="K219"/>
  <c r="K195"/>
  <c r="P51" i="49"/>
  <c r="K206" i="50"/>
  <c r="K24"/>
  <c r="K12"/>
  <c r="K388"/>
  <c r="K376"/>
  <c r="K194"/>
  <c r="Q43" i="49"/>
  <c r="Q41"/>
  <c r="R39"/>
  <c r="Q137"/>
  <c r="Q136"/>
  <c r="Q88"/>
  <c r="Q92"/>
  <c r="Q44"/>
  <c r="Q139"/>
  <c r="Q90"/>
  <c r="Q89"/>
  <c r="L219" i="50"/>
  <c r="Q45" i="49"/>
  <c r="R45" s="1"/>
  <c r="Q42"/>
  <c r="R42" s="1"/>
  <c r="Q135"/>
  <c r="Q91"/>
  <c r="Q99"/>
  <c r="Q138"/>
  <c r="P98"/>
  <c r="K131" i="50"/>
  <c r="H495"/>
  <c r="P325"/>
  <c r="R106" i="49"/>
  <c r="Q109"/>
  <c r="F325" i="50"/>
  <c r="AA143"/>
  <c r="Z155"/>
  <c r="W143"/>
  <c r="V155"/>
  <c r="BY19" i="46"/>
  <c r="BY15"/>
  <c r="BY11"/>
  <c r="DC15"/>
  <c r="DR19"/>
  <c r="EG16"/>
  <c r="CM35"/>
  <c r="E20" i="58"/>
  <c r="DR15" i="46"/>
  <c r="DQ21"/>
  <c r="EG21"/>
  <c r="EW21"/>
  <c r="FM21"/>
  <c r="GC21"/>
  <c r="GS21"/>
  <c r="CM39"/>
  <c r="BI20"/>
  <c r="BY20"/>
  <c r="BI16"/>
  <c r="BY16"/>
  <c r="BI12"/>
  <c r="BY12"/>
  <c r="DC11"/>
  <c r="DC18"/>
  <c r="DQ22"/>
  <c r="EG22"/>
  <c r="AT10"/>
  <c r="BJ10"/>
  <c r="AT12"/>
  <c r="BJ12"/>
  <c r="AT14"/>
  <c r="BJ14"/>
  <c r="AT16"/>
  <c r="BJ16"/>
  <c r="AT18"/>
  <c r="BJ18"/>
  <c r="AT20"/>
  <c r="BJ20"/>
  <c r="AT22"/>
  <c r="BJ22"/>
  <c r="AS39"/>
  <c r="BI39"/>
  <c r="BY39"/>
  <c r="CO39"/>
  <c r="DE39"/>
  <c r="DU39"/>
  <c r="AS41"/>
  <c r="BI41"/>
  <c r="BY41"/>
  <c r="CO41"/>
  <c r="DE41"/>
  <c r="DU41"/>
  <c r="AS43"/>
  <c r="BI43"/>
  <c r="BY43"/>
  <c r="CO43"/>
  <c r="DE43"/>
  <c r="DU43"/>
  <c r="EK43"/>
  <c r="FA43"/>
  <c r="FQ43"/>
  <c r="GG43"/>
  <c r="GW43"/>
  <c r="HM43"/>
  <c r="IC43"/>
  <c r="D121" i="49"/>
  <c r="D28"/>
  <c r="E74"/>
  <c r="C435" i="50"/>
  <c r="C253"/>
  <c r="AG254" s="1"/>
  <c r="AG255" s="1"/>
  <c r="AG256" s="1"/>
  <c r="AG257" s="1"/>
  <c r="AG258" s="1"/>
  <c r="AG259" s="1"/>
  <c r="AG260" s="1"/>
  <c r="AG261" s="1"/>
  <c r="C71"/>
  <c r="AF72"/>
  <c r="AF73" s="1"/>
  <c r="AF74" s="1"/>
  <c r="AF75" s="1"/>
  <c r="AF76" s="1"/>
  <c r="AF77" s="1"/>
  <c r="AF78" s="1"/>
  <c r="AF79" s="1"/>
  <c r="V167"/>
  <c r="W155"/>
  <c r="Z167"/>
  <c r="AA155"/>
  <c r="F337"/>
  <c r="S106" i="49"/>
  <c r="R109"/>
  <c r="H507" i="50"/>
  <c r="K143"/>
  <c r="L404"/>
  <c r="L392"/>
  <c r="L16"/>
  <c r="L198"/>
  <c r="R44" i="49"/>
  <c r="Q52"/>
  <c r="L379" i="50"/>
  <c r="L209"/>
  <c r="L15"/>
  <c r="L27"/>
  <c r="Q97" i="49"/>
  <c r="Q50"/>
  <c r="R41"/>
  <c r="L12" i="50"/>
  <c r="L24"/>
  <c r="L388"/>
  <c r="L206"/>
  <c r="L376"/>
  <c r="L194"/>
  <c r="E337"/>
  <c r="L507"/>
  <c r="R59" i="49"/>
  <c r="Q62"/>
  <c r="J143" i="50"/>
  <c r="V507"/>
  <c r="Z507"/>
  <c r="AD507"/>
  <c r="W507"/>
  <c r="AA507"/>
  <c r="AE507"/>
  <c r="AE43" i="46"/>
  <c r="AE42"/>
  <c r="AE41"/>
  <c r="AE40"/>
  <c r="AE39"/>
  <c r="AE38"/>
  <c r="AE37"/>
  <c r="AE36"/>
  <c r="AE35"/>
  <c r="AE34"/>
  <c r="AE33"/>
  <c r="AE32"/>
  <c r="AE31"/>
  <c r="N337" i="50"/>
  <c r="L9" i="47"/>
  <c r="P19" i="49"/>
  <c r="P66"/>
  <c r="J337" i="50"/>
  <c r="EH9" i="46"/>
  <c r="DR30"/>
  <c r="H337" i="50"/>
  <c r="BZ9" i="46"/>
  <c r="BJ30"/>
  <c r="U12" i="49"/>
  <c r="T15"/>
  <c r="P417" i="50"/>
  <c r="O417"/>
  <c r="P431"/>
  <c r="O431"/>
  <c r="P419"/>
  <c r="O419"/>
  <c r="O507"/>
  <c r="G18" i="26"/>
  <c r="D19"/>
  <c r="L18"/>
  <c r="Q119" i="50"/>
  <c r="AD167"/>
  <c r="AE155"/>
  <c r="T507"/>
  <c r="X507"/>
  <c r="AB507"/>
  <c r="AF507"/>
  <c r="K337"/>
  <c r="I337"/>
  <c r="M507"/>
  <c r="J507"/>
  <c r="B23" i="58"/>
  <c r="E143" i="50"/>
  <c r="R9" i="46"/>
  <c r="AG9"/>
  <c r="Q30"/>
  <c r="F46" i="58"/>
  <c r="H46" s="1"/>
  <c r="G46"/>
  <c r="I46" s="1"/>
  <c r="EH15" i="46"/>
  <c r="BJ31"/>
  <c r="BJ33"/>
  <c r="BJ35"/>
  <c r="BJ37"/>
  <c r="BJ39"/>
  <c r="BJ41"/>
  <c r="AU14"/>
  <c r="AU16"/>
  <c r="AU18"/>
  <c r="AU20"/>
  <c r="AU22"/>
  <c r="BZ13"/>
  <c r="EG13"/>
  <c r="EH11"/>
  <c r="EG14"/>
  <c r="EG20"/>
  <c r="EG18"/>
  <c r="F20" i="58"/>
  <c r="H20" s="1"/>
  <c r="G20"/>
  <c r="I20" s="1"/>
  <c r="P337" i="50"/>
  <c r="L195"/>
  <c r="L389"/>
  <c r="L25"/>
  <c r="R136" i="49"/>
  <c r="S136" s="1"/>
  <c r="R88"/>
  <c r="R92"/>
  <c r="R135"/>
  <c r="S135" s="1"/>
  <c r="T135" s="1"/>
  <c r="U135" s="1"/>
  <c r="V135" s="1"/>
  <c r="W135" s="1"/>
  <c r="X135" s="1"/>
  <c r="R137"/>
  <c r="S137"/>
  <c r="R139"/>
  <c r="S139" s="1"/>
  <c r="R89"/>
  <c r="S89" s="1"/>
  <c r="R90"/>
  <c r="S90" s="1"/>
  <c r="R138"/>
  <c r="S39"/>
  <c r="T39"/>
  <c r="U39"/>
  <c r="V39"/>
  <c r="W39"/>
  <c r="X39"/>
  <c r="R91"/>
  <c r="L402" i="50"/>
  <c r="L196"/>
  <c r="L390"/>
  <c r="L208"/>
  <c r="L26"/>
  <c r="L414"/>
  <c r="L378"/>
  <c r="I507"/>
  <c r="U325"/>
  <c r="Y325"/>
  <c r="AC325"/>
  <c r="AG325"/>
  <c r="O325"/>
  <c r="AC155"/>
  <c r="AF167"/>
  <c r="AG155"/>
  <c r="G143"/>
  <c r="M337"/>
  <c r="F143"/>
  <c r="T167"/>
  <c r="U155"/>
  <c r="X167"/>
  <c r="Y155"/>
  <c r="AB167"/>
  <c r="P507"/>
  <c r="M143"/>
  <c r="EW9" i="46"/>
  <c r="EG30"/>
  <c r="A20" i="57"/>
  <c r="B50" i="58"/>
  <c r="L143" i="50"/>
  <c r="V325"/>
  <c r="Z325"/>
  <c r="AD325"/>
  <c r="E507"/>
  <c r="BK9" i="46"/>
  <c r="AU30"/>
  <c r="Q483" i="50"/>
  <c r="U507"/>
  <c r="Y507"/>
  <c r="AC507"/>
  <c r="AG507"/>
  <c r="G337"/>
  <c r="DS9" i="46"/>
  <c r="DC30"/>
  <c r="G507" i="50"/>
  <c r="I143"/>
  <c r="O143"/>
  <c r="P143"/>
  <c r="K507"/>
  <c r="W325"/>
  <c r="AA325"/>
  <c r="AE325"/>
  <c r="T17" i="26"/>
  <c r="L337" i="50"/>
  <c r="T325"/>
  <c r="X325"/>
  <c r="AB325"/>
  <c r="AF325"/>
  <c r="F507"/>
  <c r="N143"/>
  <c r="CO9" i="46"/>
  <c r="BY30"/>
  <c r="F25" i="52"/>
  <c r="K25"/>
  <c r="D26"/>
  <c r="Q301" i="50"/>
  <c r="F21" i="58"/>
  <c r="H21"/>
  <c r="AV9" i="46"/>
  <c r="AF30"/>
  <c r="AF23"/>
  <c r="AV23"/>
  <c r="BL23"/>
  <c r="CB23"/>
  <c r="CR23"/>
  <c r="DH23"/>
  <c r="DX23"/>
  <c r="EN23"/>
  <c r="FD23"/>
  <c r="FT23"/>
  <c r="GJ23"/>
  <c r="GZ23"/>
  <c r="HP23"/>
  <c r="IF23"/>
  <c r="AF22"/>
  <c r="AF21"/>
  <c r="AV21"/>
  <c r="AF20"/>
  <c r="AF19"/>
  <c r="AV19"/>
  <c r="BL19"/>
  <c r="CB19"/>
  <c r="CR19"/>
  <c r="AF18"/>
  <c r="AF17"/>
  <c r="AV17"/>
  <c r="AF16"/>
  <c r="AF15"/>
  <c r="AV15"/>
  <c r="AF14"/>
  <c r="AF13"/>
  <c r="AV13"/>
  <c r="AF12"/>
  <c r="AF11"/>
  <c r="AV11"/>
  <c r="BL11"/>
  <c r="CB11"/>
  <c r="CR11"/>
  <c r="AF10"/>
  <c r="H143" i="50"/>
  <c r="N507"/>
  <c r="EW22" i="46"/>
  <c r="DS11"/>
  <c r="CO16"/>
  <c r="DC35"/>
  <c r="DS22"/>
  <c r="EW16"/>
  <c r="EH19"/>
  <c r="DS15"/>
  <c r="CO15"/>
  <c r="BJ32"/>
  <c r="BJ34"/>
  <c r="BJ36"/>
  <c r="BJ38"/>
  <c r="BJ40"/>
  <c r="BJ42"/>
  <c r="BK15"/>
  <c r="BK19"/>
  <c r="BZ19"/>
  <c r="BZ15"/>
  <c r="BZ11"/>
  <c r="EG10"/>
  <c r="EW10"/>
  <c r="FM10"/>
  <c r="GC10"/>
  <c r="GS10"/>
  <c r="DS20"/>
  <c r="EG17"/>
  <c r="EW17"/>
  <c r="FM17"/>
  <c r="GC17"/>
  <c r="GS17"/>
  <c r="HI17"/>
  <c r="DS14"/>
  <c r="DS16"/>
  <c r="AD72" i="50"/>
  <c r="AD73" s="1"/>
  <c r="AD74" s="1"/>
  <c r="AD75" s="1"/>
  <c r="AD76" s="1"/>
  <c r="AD77" s="1"/>
  <c r="AD78" s="1"/>
  <c r="AD79" s="1"/>
  <c r="X72"/>
  <c r="X73" s="1"/>
  <c r="X74" s="1"/>
  <c r="X75" s="1"/>
  <c r="X76" s="1"/>
  <c r="X77" s="1"/>
  <c r="X78" s="1"/>
  <c r="X79" s="1"/>
  <c r="Z72"/>
  <c r="Z73" s="1"/>
  <c r="Z74" s="1"/>
  <c r="Z75" s="1"/>
  <c r="Z76" s="1"/>
  <c r="Z77" s="1"/>
  <c r="Z78" s="1"/>
  <c r="Z79" s="1"/>
  <c r="W72"/>
  <c r="W73" s="1"/>
  <c r="W74" s="1"/>
  <c r="W75" s="1"/>
  <c r="W76" s="1"/>
  <c r="W77" s="1"/>
  <c r="W78" s="1"/>
  <c r="W79" s="1"/>
  <c r="U72"/>
  <c r="U73" s="1"/>
  <c r="U74" s="1"/>
  <c r="U75" s="1"/>
  <c r="U76" s="1"/>
  <c r="U77" s="1"/>
  <c r="U78" s="1"/>
  <c r="U79" s="1"/>
  <c r="AC72"/>
  <c r="AC73" s="1"/>
  <c r="AC74" s="1"/>
  <c r="AC75" s="1"/>
  <c r="AC76" s="1"/>
  <c r="AC77" s="1"/>
  <c r="AC78" s="1"/>
  <c r="AC79" s="1"/>
  <c r="AE72"/>
  <c r="AE73" s="1"/>
  <c r="AE74" s="1"/>
  <c r="AE75" s="1"/>
  <c r="AE76" s="1"/>
  <c r="AE77" s="1"/>
  <c r="AE78" s="1"/>
  <c r="AE79" s="1"/>
  <c r="AC254"/>
  <c r="AC255" s="1"/>
  <c r="AC256" s="1"/>
  <c r="AC257" s="1"/>
  <c r="AC258" s="1"/>
  <c r="AC259" s="1"/>
  <c r="AC260" s="1"/>
  <c r="AC261" s="1"/>
  <c r="U254"/>
  <c r="U255" s="1"/>
  <c r="U256" s="1"/>
  <c r="U257" s="1"/>
  <c r="U258" s="1"/>
  <c r="U259" s="1"/>
  <c r="U260" s="1"/>
  <c r="U261" s="1"/>
  <c r="AA254"/>
  <c r="AA255" s="1"/>
  <c r="AA256" s="1"/>
  <c r="AA257" s="1"/>
  <c r="AA258" s="1"/>
  <c r="AA259" s="1"/>
  <c r="AA260" s="1"/>
  <c r="AA261" s="1"/>
  <c r="AD254"/>
  <c r="AD255" s="1"/>
  <c r="AD256" s="1"/>
  <c r="AD257" s="1"/>
  <c r="AD258" s="1"/>
  <c r="AD259" s="1"/>
  <c r="AD260" s="1"/>
  <c r="AD261" s="1"/>
  <c r="V254"/>
  <c r="V255" s="1"/>
  <c r="V256" s="1"/>
  <c r="V257" s="1"/>
  <c r="V258" s="1"/>
  <c r="V259" s="1"/>
  <c r="V260" s="1"/>
  <c r="V261" s="1"/>
  <c r="AB254"/>
  <c r="AB255" s="1"/>
  <c r="AB256" s="1"/>
  <c r="AB257" s="1"/>
  <c r="AB258" s="1"/>
  <c r="AB259" s="1"/>
  <c r="AB260" s="1"/>
  <c r="AB261" s="1"/>
  <c r="T254"/>
  <c r="T255" s="1"/>
  <c r="T256" s="1"/>
  <c r="T257" s="1"/>
  <c r="T258" s="1"/>
  <c r="T259" s="1"/>
  <c r="E121" i="49"/>
  <c r="I74"/>
  <c r="J74"/>
  <c r="F74"/>
  <c r="Z436" i="50"/>
  <c r="Z437" s="1"/>
  <c r="Z438" s="1"/>
  <c r="Z439" s="1"/>
  <c r="Z440" s="1"/>
  <c r="Z441" s="1"/>
  <c r="Z442" s="1"/>
  <c r="Z443" s="1"/>
  <c r="AG436"/>
  <c r="AG437" s="1"/>
  <c r="AG438" s="1"/>
  <c r="AG439" s="1"/>
  <c r="AG440" s="1"/>
  <c r="AG441" s="1"/>
  <c r="AG442" s="1"/>
  <c r="AG443" s="1"/>
  <c r="Y436"/>
  <c r="Y437" s="1"/>
  <c r="Y438" s="1"/>
  <c r="Y439" s="1"/>
  <c r="Y440" s="1"/>
  <c r="Y441" s="1"/>
  <c r="Y442" s="1"/>
  <c r="Y443" s="1"/>
  <c r="AE436"/>
  <c r="AE437" s="1"/>
  <c r="AE438" s="1"/>
  <c r="AE439" s="1"/>
  <c r="AE440" s="1"/>
  <c r="AE441" s="1"/>
  <c r="AE442" s="1"/>
  <c r="AE443" s="1"/>
  <c r="W436"/>
  <c r="W437" s="1"/>
  <c r="W438" s="1"/>
  <c r="W439" s="1"/>
  <c r="W440" s="1"/>
  <c r="W441" s="1"/>
  <c r="W442" s="1"/>
  <c r="W443" s="1"/>
  <c r="AB436"/>
  <c r="AB437" s="1"/>
  <c r="AB438" s="1"/>
  <c r="AB439" s="1"/>
  <c r="AB440" s="1"/>
  <c r="AB441" s="1"/>
  <c r="AB442" s="1"/>
  <c r="AB443" s="1"/>
  <c r="T436"/>
  <c r="T437" s="1"/>
  <c r="T438" s="1"/>
  <c r="T439" s="1"/>
  <c r="T440" s="1"/>
  <c r="T441" s="1"/>
  <c r="E28" i="49"/>
  <c r="B447" i="50"/>
  <c r="B265"/>
  <c r="B83"/>
  <c r="F28" i="49"/>
  <c r="D75"/>
  <c r="F121"/>
  <c r="N519" i="50"/>
  <c r="BL9" i="46"/>
  <c r="AV30"/>
  <c r="F26" i="52"/>
  <c r="K26"/>
  <c r="D27"/>
  <c r="DE9" i="46"/>
  <c r="CO30"/>
  <c r="F519" i="50"/>
  <c r="AF337"/>
  <c r="AB337"/>
  <c r="X337"/>
  <c r="T337"/>
  <c r="K519"/>
  <c r="O155"/>
  <c r="G519"/>
  <c r="EI9" i="46"/>
  <c r="DS30"/>
  <c r="CA9"/>
  <c r="BK30"/>
  <c r="L155" i="50"/>
  <c r="B51" i="58"/>
  <c r="A21" i="57"/>
  <c r="FM9" i="46"/>
  <c r="EW30"/>
  <c r="P519" i="50"/>
  <c r="AB179"/>
  <c r="Y167"/>
  <c r="X179"/>
  <c r="U167"/>
  <c r="T179"/>
  <c r="M349"/>
  <c r="O337"/>
  <c r="AG337"/>
  <c r="AC337"/>
  <c r="Y337"/>
  <c r="U337"/>
  <c r="M208"/>
  <c r="M390"/>
  <c r="M414"/>
  <c r="M378"/>
  <c r="M196"/>
  <c r="M402"/>
  <c r="R145" i="49"/>
  <c r="S88"/>
  <c r="R97"/>
  <c r="M207" i="50"/>
  <c r="M389"/>
  <c r="M377"/>
  <c r="M219"/>
  <c r="M195"/>
  <c r="E48" i="58"/>
  <c r="G48" s="1"/>
  <c r="I48" s="1"/>
  <c r="AW9" i="46"/>
  <c r="AG30"/>
  <c r="AG23"/>
  <c r="AW23"/>
  <c r="BM23"/>
  <c r="CC23"/>
  <c r="CS23"/>
  <c r="DI23"/>
  <c r="DY23"/>
  <c r="EO23"/>
  <c r="FE23"/>
  <c r="FU23"/>
  <c r="GK23"/>
  <c r="HA23"/>
  <c r="HQ23"/>
  <c r="IG23"/>
  <c r="AG22"/>
  <c r="AG21"/>
  <c r="AW21"/>
  <c r="AG20"/>
  <c r="AG19"/>
  <c r="AW19"/>
  <c r="BM19"/>
  <c r="AG18"/>
  <c r="AG17"/>
  <c r="AW17"/>
  <c r="AG16"/>
  <c r="AG15"/>
  <c r="AW15"/>
  <c r="AG14"/>
  <c r="AG13"/>
  <c r="AW13"/>
  <c r="AG12"/>
  <c r="AG11"/>
  <c r="AW11"/>
  <c r="BM11"/>
  <c r="AG10"/>
  <c r="E155" i="50"/>
  <c r="B24" i="58"/>
  <c r="J519" i="50"/>
  <c r="I349"/>
  <c r="Q131"/>
  <c r="G19" i="26"/>
  <c r="D20"/>
  <c r="L19"/>
  <c r="O519" i="50"/>
  <c r="H349"/>
  <c r="EX9" i="46"/>
  <c r="EH30"/>
  <c r="M8" i="47"/>
  <c r="P67" i="49"/>
  <c r="P20"/>
  <c r="J155" i="50"/>
  <c r="S59" i="49"/>
  <c r="R62"/>
  <c r="E349" i="50"/>
  <c r="M380"/>
  <c r="M198"/>
  <c r="M416"/>
  <c r="M392"/>
  <c r="M210"/>
  <c r="M404"/>
  <c r="H519"/>
  <c r="T106" i="49"/>
  <c r="S109"/>
  <c r="EI14" i="46"/>
  <c r="EI20"/>
  <c r="DE15"/>
  <c r="EX19"/>
  <c r="FM16"/>
  <c r="DS35"/>
  <c r="DE16"/>
  <c r="BL15"/>
  <c r="DC41"/>
  <c r="DS41"/>
  <c r="DC31"/>
  <c r="DS31"/>
  <c r="DS19"/>
  <c r="EI19"/>
  <c r="EW13"/>
  <c r="FM13"/>
  <c r="BK22"/>
  <c r="CA22"/>
  <c r="BK18"/>
  <c r="CA18"/>
  <c r="BK14"/>
  <c r="CA14"/>
  <c r="CO19"/>
  <c r="DE19"/>
  <c r="DC39"/>
  <c r="DS39"/>
  <c r="CO12"/>
  <c r="DE12"/>
  <c r="DS18"/>
  <c r="EI18"/>
  <c r="EY18"/>
  <c r="AU31"/>
  <c r="BK31"/>
  <c r="AU33"/>
  <c r="BK33"/>
  <c r="AU35"/>
  <c r="BK35"/>
  <c r="AU37"/>
  <c r="BK37"/>
  <c r="AU38"/>
  <c r="BK38"/>
  <c r="AU40"/>
  <c r="BK40"/>
  <c r="AU42"/>
  <c r="BK42"/>
  <c r="H155" i="50"/>
  <c r="AF43" i="46"/>
  <c r="AV43"/>
  <c r="BL43"/>
  <c r="CB43"/>
  <c r="CR43"/>
  <c r="DH43"/>
  <c r="DX43"/>
  <c r="EN43"/>
  <c r="FD43"/>
  <c r="FT43"/>
  <c r="GJ43"/>
  <c r="GZ43"/>
  <c r="HP43"/>
  <c r="IF43"/>
  <c r="AF42"/>
  <c r="AV42"/>
  <c r="AF41"/>
  <c r="AV41"/>
  <c r="AF40"/>
  <c r="AV40"/>
  <c r="AF39"/>
  <c r="AV39"/>
  <c r="AF38"/>
  <c r="AV38"/>
  <c r="AF37"/>
  <c r="AV37"/>
  <c r="AF36"/>
  <c r="AV36"/>
  <c r="AF35"/>
  <c r="AV35"/>
  <c r="AF34"/>
  <c r="AV34"/>
  <c r="AF33"/>
  <c r="AV33"/>
  <c r="AF32"/>
  <c r="AV32"/>
  <c r="AF31"/>
  <c r="AV31"/>
  <c r="Q313" i="50"/>
  <c r="N155"/>
  <c r="L349"/>
  <c r="AE337"/>
  <c r="AA337"/>
  <c r="W337"/>
  <c r="P155"/>
  <c r="I155"/>
  <c r="G349"/>
  <c r="AG519"/>
  <c r="AC519"/>
  <c r="Y519"/>
  <c r="U519"/>
  <c r="Q495"/>
  <c r="E519"/>
  <c r="AD337"/>
  <c r="Z337"/>
  <c r="V337"/>
  <c r="M155"/>
  <c r="F155"/>
  <c r="G155"/>
  <c r="AG167"/>
  <c r="AF179"/>
  <c r="AC167"/>
  <c r="I519"/>
  <c r="S91" i="49"/>
  <c r="N379" i="50" s="1"/>
  <c r="S138" i="49"/>
  <c r="T138" s="1"/>
  <c r="U138" s="1"/>
  <c r="V138" s="1"/>
  <c r="W138" s="1"/>
  <c r="X138" s="1"/>
  <c r="R146"/>
  <c r="P349" i="50"/>
  <c r="S9" i="46"/>
  <c r="AH9"/>
  <c r="R30"/>
  <c r="M519" i="50"/>
  <c r="K349"/>
  <c r="AF519"/>
  <c r="AB519"/>
  <c r="X519"/>
  <c r="T519"/>
  <c r="AE167"/>
  <c r="AD179"/>
  <c r="AB18" i="26"/>
  <c r="T18"/>
  <c r="AF18"/>
  <c r="V12" i="49"/>
  <c r="U15"/>
  <c r="P29" i="50"/>
  <c r="P381"/>
  <c r="P393"/>
  <c r="P211"/>
  <c r="Q394"/>
  <c r="R394" s="1"/>
  <c r="P30"/>
  <c r="P201"/>
  <c r="P17"/>
  <c r="Q405"/>
  <c r="R405"/>
  <c r="Q407"/>
  <c r="R407"/>
  <c r="Q211"/>
  <c r="R211"/>
  <c r="P383"/>
  <c r="P395"/>
  <c r="P213"/>
  <c r="Q212"/>
  <c r="R212" s="1"/>
  <c r="P200"/>
  <c r="P19"/>
  <c r="Q213"/>
  <c r="R213" s="1"/>
  <c r="P223"/>
  <c r="P199"/>
  <c r="P382"/>
  <c r="P394"/>
  <c r="P212"/>
  <c r="P18"/>
  <c r="P31"/>
  <c r="Q223"/>
  <c r="R223"/>
  <c r="CP9" i="46"/>
  <c r="BZ30"/>
  <c r="J349" i="50"/>
  <c r="N349"/>
  <c r="AE519"/>
  <c r="AA519"/>
  <c r="W519"/>
  <c r="AD519"/>
  <c r="Z519"/>
  <c r="V519"/>
  <c r="L519"/>
  <c r="S41" i="49"/>
  <c r="N12" i="50" s="1"/>
  <c r="M376"/>
  <c r="M24"/>
  <c r="M12"/>
  <c r="M206"/>
  <c r="S44" i="49"/>
  <c r="T44" s="1"/>
  <c r="M391" i="50"/>
  <c r="M197"/>
  <c r="M27"/>
  <c r="M209"/>
  <c r="M15"/>
  <c r="K155"/>
  <c r="F349"/>
  <c r="AA167"/>
  <c r="Z179"/>
  <c r="W167"/>
  <c r="V179"/>
  <c r="EI16" i="46"/>
  <c r="CP15"/>
  <c r="CA19"/>
  <c r="CA15"/>
  <c r="BZ42"/>
  <c r="BZ38"/>
  <c r="BZ34"/>
  <c r="EI15"/>
  <c r="EI22"/>
  <c r="EI11"/>
  <c r="FM22"/>
  <c r="AV10"/>
  <c r="BL10"/>
  <c r="AV12"/>
  <c r="BL12"/>
  <c r="AV14"/>
  <c r="BL14"/>
  <c r="AV16"/>
  <c r="BL16"/>
  <c r="AV18"/>
  <c r="BL18"/>
  <c r="AV20"/>
  <c r="BL20"/>
  <c r="AV22"/>
  <c r="BL22"/>
  <c r="EW18"/>
  <c r="FM18"/>
  <c r="EW20"/>
  <c r="FM20"/>
  <c r="EW14"/>
  <c r="FM14"/>
  <c r="EX11"/>
  <c r="DS10"/>
  <c r="EI10"/>
  <c r="EY10"/>
  <c r="FO10"/>
  <c r="GE10"/>
  <c r="BK20"/>
  <c r="CA20"/>
  <c r="BK16"/>
  <c r="CA16"/>
  <c r="BZ39"/>
  <c r="BZ35"/>
  <c r="BZ31"/>
  <c r="CO11"/>
  <c r="DE11"/>
  <c r="EX15"/>
  <c r="CO20"/>
  <c r="DE20"/>
  <c r="E22" i="58"/>
  <c r="F22" s="1"/>
  <c r="H22" s="1"/>
  <c r="AU32" i="46"/>
  <c r="BK32"/>
  <c r="AU34"/>
  <c r="BK34"/>
  <c r="AU36"/>
  <c r="BK36"/>
  <c r="AU39"/>
  <c r="BK39"/>
  <c r="AU41"/>
  <c r="BK41"/>
  <c r="AU43"/>
  <c r="BK43"/>
  <c r="CA43"/>
  <c r="CQ43"/>
  <c r="DG43"/>
  <c r="DW43"/>
  <c r="EM43"/>
  <c r="FC43"/>
  <c r="FS43"/>
  <c r="GI43"/>
  <c r="GY43"/>
  <c r="HO43"/>
  <c r="IE43"/>
  <c r="D29" i="49"/>
  <c r="E75"/>
  <c r="C447" i="50"/>
  <c r="X448" s="1"/>
  <c r="X449" s="1"/>
  <c r="X450" s="1"/>
  <c r="X451" s="1"/>
  <c r="X452" s="1"/>
  <c r="X453" s="1"/>
  <c r="C265"/>
  <c r="C83"/>
  <c r="V84" s="1"/>
  <c r="V85" s="1"/>
  <c r="V86" s="1"/>
  <c r="V87" s="1"/>
  <c r="V88" s="1"/>
  <c r="V89" s="1"/>
  <c r="V90" s="1"/>
  <c r="V91" s="1"/>
  <c r="D122" i="49"/>
  <c r="F75"/>
  <c r="L531" i="50"/>
  <c r="W531"/>
  <c r="AA531"/>
  <c r="AE531"/>
  <c r="J361"/>
  <c r="DF9" i="46"/>
  <c r="CP30"/>
  <c r="AE179" i="50"/>
  <c r="T531"/>
  <c r="X531"/>
  <c r="AB531"/>
  <c r="AF531"/>
  <c r="K361"/>
  <c r="T9" i="46"/>
  <c r="AI9"/>
  <c r="S30"/>
  <c r="I531" i="50"/>
  <c r="G167"/>
  <c r="M167"/>
  <c r="V349"/>
  <c r="Z349"/>
  <c r="AD349"/>
  <c r="E531"/>
  <c r="G361"/>
  <c r="I167"/>
  <c r="W349"/>
  <c r="AA349"/>
  <c r="AE349"/>
  <c r="N167"/>
  <c r="U106" i="49"/>
  <c r="T109"/>
  <c r="E361" i="50"/>
  <c r="T59" i="49"/>
  <c r="S62"/>
  <c r="J167" i="50"/>
  <c r="H361"/>
  <c r="AB19" i="26"/>
  <c r="T19"/>
  <c r="I361" i="50"/>
  <c r="B25" i="58"/>
  <c r="E167" i="50"/>
  <c r="AG43" i="46"/>
  <c r="AG42"/>
  <c r="AG41"/>
  <c r="AG40"/>
  <c r="AG39"/>
  <c r="AG38"/>
  <c r="AG37"/>
  <c r="AG36"/>
  <c r="AG35"/>
  <c r="AG34"/>
  <c r="AG33"/>
  <c r="AG32"/>
  <c r="AG31"/>
  <c r="F48" i="58"/>
  <c r="H48"/>
  <c r="U349" i="50"/>
  <c r="Y349"/>
  <c r="AC349"/>
  <c r="AG349"/>
  <c r="M361"/>
  <c r="CQ9" i="46"/>
  <c r="CA30"/>
  <c r="EY9"/>
  <c r="EI30"/>
  <c r="O167" i="50"/>
  <c r="T349"/>
  <c r="X349"/>
  <c r="AB349"/>
  <c r="AF349"/>
  <c r="F531"/>
  <c r="DU9" i="46"/>
  <c r="DE30"/>
  <c r="N531" i="50"/>
  <c r="CP31" i="46"/>
  <c r="CP39"/>
  <c r="CQ16"/>
  <c r="CP38"/>
  <c r="CQ19"/>
  <c r="EY16"/>
  <c r="DU19"/>
  <c r="BZ37"/>
  <c r="CP37"/>
  <c r="CQ18"/>
  <c r="BZ32"/>
  <c r="CP32"/>
  <c r="BZ40"/>
  <c r="CP40"/>
  <c r="CP19"/>
  <c r="DF19"/>
  <c r="AW10"/>
  <c r="AW12"/>
  <c r="AW14"/>
  <c r="AW16"/>
  <c r="AW18"/>
  <c r="AW20"/>
  <c r="AW22"/>
  <c r="W179" i="50"/>
  <c r="AA179"/>
  <c r="F361"/>
  <c r="K167"/>
  <c r="N197"/>
  <c r="N391"/>
  <c r="T41" i="49"/>
  <c r="U41" s="1"/>
  <c r="N24" i="50"/>
  <c r="N388"/>
  <c r="N194"/>
  <c r="V531"/>
  <c r="Z531"/>
  <c r="AD531"/>
  <c r="N361"/>
  <c r="W12" i="49"/>
  <c r="V15"/>
  <c r="Q419" i="50"/>
  <c r="R419"/>
  <c r="Q417"/>
  <c r="R417"/>
  <c r="Q431"/>
  <c r="R431"/>
  <c r="M531"/>
  <c r="AX9" i="46"/>
  <c r="AH30"/>
  <c r="AH23"/>
  <c r="AX23"/>
  <c r="BN23"/>
  <c r="CD23"/>
  <c r="CT23"/>
  <c r="DJ23"/>
  <c r="DZ23"/>
  <c r="EP23"/>
  <c r="FF23"/>
  <c r="FV23"/>
  <c r="GL23"/>
  <c r="HB23"/>
  <c r="HR23"/>
  <c r="IH23"/>
  <c r="AH22"/>
  <c r="AX22"/>
  <c r="AH21"/>
  <c r="AX21"/>
  <c r="AH20"/>
  <c r="AX20"/>
  <c r="AH19"/>
  <c r="AX19"/>
  <c r="AH18"/>
  <c r="AX18"/>
  <c r="AH17"/>
  <c r="AX17"/>
  <c r="AH16"/>
  <c r="AX16"/>
  <c r="AH15"/>
  <c r="AX15"/>
  <c r="AH14"/>
  <c r="AX14"/>
  <c r="AH13"/>
  <c r="AX13"/>
  <c r="AH12"/>
  <c r="AX12"/>
  <c r="AH11"/>
  <c r="AX11"/>
  <c r="AH10"/>
  <c r="AX10"/>
  <c r="P361" i="50"/>
  <c r="T91" i="49"/>
  <c r="O391" i="50"/>
  <c r="AC179"/>
  <c r="AG179"/>
  <c r="F167"/>
  <c r="Q507"/>
  <c r="U531"/>
  <c r="Y531"/>
  <c r="AC531"/>
  <c r="AG531"/>
  <c r="P167"/>
  <c r="L361"/>
  <c r="Q325"/>
  <c r="H167"/>
  <c r="H531"/>
  <c r="M9" i="47"/>
  <c r="Q19" i="49"/>
  <c r="Q66"/>
  <c r="FN9" i="46"/>
  <c r="EX30"/>
  <c r="O531" i="50"/>
  <c r="G20" i="26"/>
  <c r="L20"/>
  <c r="D21"/>
  <c r="Q143" i="50"/>
  <c r="J531"/>
  <c r="BM9" i="46"/>
  <c r="AW30"/>
  <c r="T88" i="49"/>
  <c r="O349" i="50"/>
  <c r="U179"/>
  <c r="Y179"/>
  <c r="P531"/>
  <c r="GC9" i="46"/>
  <c r="FM30"/>
  <c r="A22" i="57"/>
  <c r="B52" i="58"/>
  <c r="L167" i="50"/>
  <c r="G531"/>
  <c r="K531"/>
  <c r="D28" i="52"/>
  <c r="CB9" i="46"/>
  <c r="BL30"/>
  <c r="CP35"/>
  <c r="CQ20"/>
  <c r="GC14"/>
  <c r="GC18"/>
  <c r="CB20"/>
  <c r="CB16"/>
  <c r="CB12"/>
  <c r="GC22"/>
  <c r="EY11"/>
  <c r="EY22"/>
  <c r="EY15"/>
  <c r="CP34"/>
  <c r="CP42"/>
  <c r="CQ15"/>
  <c r="DF15"/>
  <c r="EI39"/>
  <c r="BZ33"/>
  <c r="CP33"/>
  <c r="BZ41"/>
  <c r="CP41"/>
  <c r="CQ14"/>
  <c r="CQ22"/>
  <c r="CP13"/>
  <c r="DF13"/>
  <c r="EY19"/>
  <c r="CB15"/>
  <c r="DU16"/>
  <c r="EI35"/>
  <c r="FN19"/>
  <c r="DU15"/>
  <c r="BZ36"/>
  <c r="CP36"/>
  <c r="CP11"/>
  <c r="DF11"/>
  <c r="EY20"/>
  <c r="EY14"/>
  <c r="BM15"/>
  <c r="W266" i="50"/>
  <c r="W267"/>
  <c r="W268" s="1"/>
  <c r="W269" s="1"/>
  <c r="W270" s="1"/>
  <c r="W271" s="1"/>
  <c r="W272" s="1"/>
  <c r="W273" s="1"/>
  <c r="AA266"/>
  <c r="AA267"/>
  <c r="AA268" s="1"/>
  <c r="AA269" s="1"/>
  <c r="AA270" s="1"/>
  <c r="AA271" s="1"/>
  <c r="AA272" s="1"/>
  <c r="AA273" s="1"/>
  <c r="AE266"/>
  <c r="AE267"/>
  <c r="AE268" s="1"/>
  <c r="AE269" s="1"/>
  <c r="AE270" s="1"/>
  <c r="AE271" s="1"/>
  <c r="AE272" s="1"/>
  <c r="AE273" s="1"/>
  <c r="T266"/>
  <c r="T267"/>
  <c r="T268" s="1"/>
  <c r="T269" s="1"/>
  <c r="T270" s="1"/>
  <c r="T271" s="1"/>
  <c r="T272" s="1"/>
  <c r="X266"/>
  <c r="X267" s="1"/>
  <c r="X268" s="1"/>
  <c r="X269" s="1"/>
  <c r="X270" s="1"/>
  <c r="X271" s="1"/>
  <c r="X272" s="1"/>
  <c r="X273" s="1"/>
  <c r="AB266"/>
  <c r="AB267" s="1"/>
  <c r="AB268" s="1"/>
  <c r="AB269" s="1"/>
  <c r="AB270" s="1"/>
  <c r="AB271" s="1"/>
  <c r="AB272" s="1"/>
  <c r="AB273" s="1"/>
  <c r="AF266"/>
  <c r="AF267" s="1"/>
  <c r="AF268" s="1"/>
  <c r="AF269" s="1"/>
  <c r="AF270" s="1"/>
  <c r="AF271" s="1"/>
  <c r="AF272" s="1"/>
  <c r="AF273" s="1"/>
  <c r="U266"/>
  <c r="U267" s="1"/>
  <c r="U268" s="1"/>
  <c r="U269" s="1"/>
  <c r="U270" s="1"/>
  <c r="U271" s="1"/>
  <c r="U272" s="1"/>
  <c r="U273" s="1"/>
  <c r="Y266"/>
  <c r="Y267" s="1"/>
  <c r="Y268" s="1"/>
  <c r="Y269" s="1"/>
  <c r="Y270" s="1"/>
  <c r="Y271" s="1"/>
  <c r="Y272" s="1"/>
  <c r="Y273" s="1"/>
  <c r="AC266"/>
  <c r="AC267" s="1"/>
  <c r="AC268" s="1"/>
  <c r="AC269" s="1"/>
  <c r="AC270" s="1"/>
  <c r="AC271" s="1"/>
  <c r="AC272" s="1"/>
  <c r="AC273" s="1"/>
  <c r="AG266"/>
  <c r="AG267" s="1"/>
  <c r="AG268" s="1"/>
  <c r="AG269" s="1"/>
  <c r="AG270" s="1"/>
  <c r="AG271" s="1"/>
  <c r="AG272" s="1"/>
  <c r="AG273" s="1"/>
  <c r="V266"/>
  <c r="V267" s="1"/>
  <c r="V268" s="1"/>
  <c r="V269" s="1"/>
  <c r="V270" s="1"/>
  <c r="V271" s="1"/>
  <c r="V272" s="1"/>
  <c r="V273" s="1"/>
  <c r="Z266"/>
  <c r="Z267" s="1"/>
  <c r="Z268" s="1"/>
  <c r="Z269" s="1"/>
  <c r="Z270" s="1"/>
  <c r="Z271" s="1"/>
  <c r="Z272" s="1"/>
  <c r="Z273" s="1"/>
  <c r="AD266"/>
  <c r="AD267" s="1"/>
  <c r="AD268" s="1"/>
  <c r="AD269" s="1"/>
  <c r="AD270" s="1"/>
  <c r="AD271" s="1"/>
  <c r="AD272" s="1"/>
  <c r="AD273" s="1"/>
  <c r="E29" i="49"/>
  <c r="F29"/>
  <c r="B95" i="50"/>
  <c r="D76" i="49"/>
  <c r="B459" i="50"/>
  <c r="B277"/>
  <c r="T84"/>
  <c r="T85" s="1"/>
  <c r="T86" s="1"/>
  <c r="T87" s="1"/>
  <c r="T88" s="1"/>
  <c r="T89" s="1"/>
  <c r="AD84"/>
  <c r="AD85" s="1"/>
  <c r="AD86" s="1"/>
  <c r="AD87" s="1"/>
  <c r="AD88" s="1"/>
  <c r="AD89" s="1"/>
  <c r="AD90" s="1"/>
  <c r="AD91" s="1"/>
  <c r="Y84"/>
  <c r="Y85" s="1"/>
  <c r="Y86" s="1"/>
  <c r="Y87" s="1"/>
  <c r="Y88" s="1"/>
  <c r="Y89" s="1"/>
  <c r="Y90" s="1"/>
  <c r="Y91" s="1"/>
  <c r="T448"/>
  <c r="T449" s="1"/>
  <c r="T450" s="1"/>
  <c r="T451" s="1"/>
  <c r="T452" s="1"/>
  <c r="T453" s="1"/>
  <c r="T454" s="1"/>
  <c r="T455" s="1"/>
  <c r="AB448"/>
  <c r="AB449" s="1"/>
  <c r="AB450" s="1"/>
  <c r="AB451" s="1"/>
  <c r="AB452" s="1"/>
  <c r="AB453" s="1"/>
  <c r="AB454" s="1"/>
  <c r="AB455" s="1"/>
  <c r="W448"/>
  <c r="W449" s="1"/>
  <c r="W450" s="1"/>
  <c r="W451" s="1"/>
  <c r="W452" s="1"/>
  <c r="W453" s="1"/>
  <c r="W454" s="1"/>
  <c r="W455" s="1"/>
  <c r="AE448"/>
  <c r="AE449" s="1"/>
  <c r="AE450" s="1"/>
  <c r="AE451" s="1"/>
  <c r="AE452" s="1"/>
  <c r="AE453" s="1"/>
  <c r="AE454" s="1"/>
  <c r="AE455" s="1"/>
  <c r="Y448"/>
  <c r="Y449" s="1"/>
  <c r="Y450" s="1"/>
  <c r="Y451" s="1"/>
  <c r="Y452" s="1"/>
  <c r="Y453" s="1"/>
  <c r="Y454" s="1"/>
  <c r="Y455" s="1"/>
  <c r="AG448"/>
  <c r="AG449" s="1"/>
  <c r="AG450" s="1"/>
  <c r="AG451" s="1"/>
  <c r="AG452" s="1"/>
  <c r="AG453" s="1"/>
  <c r="AG454" s="1"/>
  <c r="AG455" s="1"/>
  <c r="Z448"/>
  <c r="Z449" s="1"/>
  <c r="Z450" s="1"/>
  <c r="Z451" s="1"/>
  <c r="Z452" s="1"/>
  <c r="Z453" s="1"/>
  <c r="Z454" s="1"/>
  <c r="Z455" s="1"/>
  <c r="E122" i="49"/>
  <c r="I75"/>
  <c r="J75"/>
  <c r="F122"/>
  <c r="CR9" i="46"/>
  <c r="CB30"/>
  <c r="K543" i="50"/>
  <c r="L179"/>
  <c r="B53" i="58"/>
  <c r="A23" i="57"/>
  <c r="GS9" i="46"/>
  <c r="GC30"/>
  <c r="O361" i="50"/>
  <c r="J543"/>
  <c r="D22" i="26"/>
  <c r="N8" i="47"/>
  <c r="Q67" i="49"/>
  <c r="Q20"/>
  <c r="H179" i="50"/>
  <c r="Q519"/>
  <c r="BN9" i="46"/>
  <c r="AX30"/>
  <c r="AD543" i="50"/>
  <c r="Z543"/>
  <c r="V543"/>
  <c r="O12"/>
  <c r="O388"/>
  <c r="O194"/>
  <c r="O206"/>
  <c r="O209"/>
  <c r="O379"/>
  <c r="F543"/>
  <c r="AF361"/>
  <c r="AB361"/>
  <c r="X361"/>
  <c r="T361"/>
  <c r="AG361"/>
  <c r="AC361"/>
  <c r="Y361"/>
  <c r="U361"/>
  <c r="V106" i="49"/>
  <c r="U109"/>
  <c r="AE361" i="50"/>
  <c r="AA361"/>
  <c r="W361"/>
  <c r="M179"/>
  <c r="I543"/>
  <c r="AY9" i="46"/>
  <c r="AI30"/>
  <c r="AI23"/>
  <c r="AY23"/>
  <c r="BO23"/>
  <c r="CE23"/>
  <c r="CU23"/>
  <c r="DK23"/>
  <c r="EA23"/>
  <c r="EQ23"/>
  <c r="FG23"/>
  <c r="FW23"/>
  <c r="GM23"/>
  <c r="HC23"/>
  <c r="HS23"/>
  <c r="II23"/>
  <c r="AI22"/>
  <c r="AI21"/>
  <c r="AY21"/>
  <c r="AI20"/>
  <c r="AI19"/>
  <c r="AY19"/>
  <c r="AI18"/>
  <c r="AI17"/>
  <c r="AY17"/>
  <c r="AI16"/>
  <c r="AI15"/>
  <c r="AY15"/>
  <c r="AI14"/>
  <c r="AI13"/>
  <c r="AY13"/>
  <c r="AI12"/>
  <c r="AI11"/>
  <c r="AY11"/>
  <c r="AI10"/>
  <c r="AF543" i="50"/>
  <c r="AB543"/>
  <c r="X543"/>
  <c r="T543"/>
  <c r="DV9" i="46"/>
  <c r="DF30"/>
  <c r="AE543" i="50"/>
  <c r="AA543"/>
  <c r="W543"/>
  <c r="CR15" i="46"/>
  <c r="DF34"/>
  <c r="GS22"/>
  <c r="CR12"/>
  <c r="CR20"/>
  <c r="GS14"/>
  <c r="BM22"/>
  <c r="BM18"/>
  <c r="BM14"/>
  <c r="BM10"/>
  <c r="CB14"/>
  <c r="CR14"/>
  <c r="CB22"/>
  <c r="CR22"/>
  <c r="DF31"/>
  <c r="FN15"/>
  <c r="AW32"/>
  <c r="AW34"/>
  <c r="AW36"/>
  <c r="AW39"/>
  <c r="AW41"/>
  <c r="AW43"/>
  <c r="D29" i="52"/>
  <c r="G543" i="50"/>
  <c r="P543"/>
  <c r="CC9" i="46"/>
  <c r="BM30"/>
  <c r="Q155" i="50"/>
  <c r="T20" i="26"/>
  <c r="AF20"/>
  <c r="O543" i="50"/>
  <c r="GD9" i="46"/>
  <c r="FN30"/>
  <c r="H543" i="50"/>
  <c r="Q337"/>
  <c r="P179"/>
  <c r="AG543"/>
  <c r="AC543"/>
  <c r="Y543"/>
  <c r="U543"/>
  <c r="F179"/>
  <c r="AH43" i="46"/>
  <c r="AX43"/>
  <c r="BN43"/>
  <c r="CD43"/>
  <c r="CT43"/>
  <c r="DJ43"/>
  <c r="DZ43"/>
  <c r="EP43"/>
  <c r="FF43"/>
  <c r="FV43"/>
  <c r="GL43"/>
  <c r="HB43"/>
  <c r="HR43"/>
  <c r="IH43"/>
  <c r="AH42"/>
  <c r="AX42"/>
  <c r="AH41"/>
  <c r="AX41"/>
  <c r="AH40"/>
  <c r="AX40"/>
  <c r="AH39"/>
  <c r="AX39"/>
  <c r="AH38"/>
  <c r="AX38"/>
  <c r="AH37"/>
  <c r="AX37"/>
  <c r="AH36"/>
  <c r="AX36"/>
  <c r="AH35"/>
  <c r="AX35"/>
  <c r="AH34"/>
  <c r="AX34"/>
  <c r="AH33"/>
  <c r="AX33"/>
  <c r="AH32"/>
  <c r="AX32"/>
  <c r="AH31"/>
  <c r="AX31"/>
  <c r="M543" i="50"/>
  <c r="X12" i="49"/>
  <c r="W15"/>
  <c r="K179" i="50"/>
  <c r="N543"/>
  <c r="EK9" i="46"/>
  <c r="DU30"/>
  <c r="O179" i="50"/>
  <c r="FO9" i="46"/>
  <c r="EY30"/>
  <c r="DG9"/>
  <c r="CQ30"/>
  <c r="E179" i="50"/>
  <c r="B26" i="58"/>
  <c r="J179" i="50"/>
  <c r="U59" i="49"/>
  <c r="T62"/>
  <c r="N179" i="50"/>
  <c r="I179"/>
  <c r="E543"/>
  <c r="AD361"/>
  <c r="Z361"/>
  <c r="V361"/>
  <c r="G179"/>
  <c r="AJ9" i="46"/>
  <c r="T30"/>
  <c r="L543" i="50"/>
  <c r="FO14" i="46"/>
  <c r="GD19"/>
  <c r="EK16"/>
  <c r="DG22"/>
  <c r="EY39"/>
  <c r="DV15"/>
  <c r="DG15"/>
  <c r="DF42"/>
  <c r="FO22"/>
  <c r="FO11"/>
  <c r="CR16"/>
  <c r="GS18"/>
  <c r="DF35"/>
  <c r="BM20"/>
  <c r="CC20"/>
  <c r="BM16"/>
  <c r="CC16"/>
  <c r="BM12"/>
  <c r="CC12"/>
  <c r="GC16"/>
  <c r="GS16"/>
  <c r="HI16"/>
  <c r="FO16"/>
  <c r="DF38"/>
  <c r="CB10"/>
  <c r="CR10"/>
  <c r="CB18"/>
  <c r="CR18"/>
  <c r="FN11"/>
  <c r="GD11"/>
  <c r="DG16"/>
  <c r="DF39"/>
  <c r="AW31"/>
  <c r="BM31"/>
  <c r="AW33"/>
  <c r="BM33"/>
  <c r="AW35"/>
  <c r="BM35"/>
  <c r="AW37"/>
  <c r="BM37"/>
  <c r="AW38"/>
  <c r="BM38"/>
  <c r="AW40"/>
  <c r="BM40"/>
  <c r="AW42"/>
  <c r="BM42"/>
  <c r="D123" i="49"/>
  <c r="D30"/>
  <c r="E76"/>
  <c r="C459" i="50"/>
  <c r="Z460" s="1"/>
  <c r="Z461" s="1"/>
  <c r="Z462" s="1"/>
  <c r="Z463" s="1"/>
  <c r="Z464" s="1"/>
  <c r="Z465" s="1"/>
  <c r="Z466" s="1"/>
  <c r="Z467" s="1"/>
  <c r="C277"/>
  <c r="C95"/>
  <c r="AD96" s="1"/>
  <c r="AD97" s="1"/>
  <c r="AD98" s="1"/>
  <c r="AD99" s="1"/>
  <c r="AD100" s="1"/>
  <c r="AD101" s="1"/>
  <c r="AD102" s="1"/>
  <c r="AD103" s="1"/>
  <c r="DW9" i="46"/>
  <c r="DG30"/>
  <c r="GE9"/>
  <c r="FO30"/>
  <c r="X15" i="49"/>
  <c r="Q17" i="50"/>
  <c r="R17" s="1"/>
  <c r="Q383"/>
  <c r="R383" s="1"/>
  <c r="O405"/>
  <c r="Q19"/>
  <c r="R19"/>
  <c r="Q200"/>
  <c r="R200"/>
  <c r="O407"/>
  <c r="Q381"/>
  <c r="R381" s="1"/>
  <c r="Q18"/>
  <c r="R18" s="1"/>
  <c r="Q382"/>
  <c r="R382" s="1"/>
  <c r="Q29"/>
  <c r="R29" s="1"/>
  <c r="Q199"/>
  <c r="R199" s="1"/>
  <c r="P407"/>
  <c r="Q201"/>
  <c r="R201"/>
  <c r="P405"/>
  <c r="Q30"/>
  <c r="R30" s="1"/>
  <c r="Q31"/>
  <c r="R31" s="1"/>
  <c r="Q393"/>
  <c r="R393" s="1"/>
  <c r="Q395"/>
  <c r="R395" s="1"/>
  <c r="Q349"/>
  <c r="AI43" i="46"/>
  <c r="AI42"/>
  <c r="AI41"/>
  <c r="AI40"/>
  <c r="AI39"/>
  <c r="AI38"/>
  <c r="AI37"/>
  <c r="AI36"/>
  <c r="AI35"/>
  <c r="AI34"/>
  <c r="AI33"/>
  <c r="AI32"/>
  <c r="AI31"/>
  <c r="CD9"/>
  <c r="BN30"/>
  <c r="D23" i="26"/>
  <c r="HI9" i="46"/>
  <c r="GS30"/>
  <c r="A24" i="57"/>
  <c r="B54" i="58"/>
  <c r="DH9" i="46"/>
  <c r="DH18"/>
  <c r="CR30"/>
  <c r="GE16"/>
  <c r="GE11"/>
  <c r="GE22"/>
  <c r="DW15"/>
  <c r="DW22"/>
  <c r="BM43"/>
  <c r="BM39"/>
  <c r="BM36"/>
  <c r="BM32"/>
  <c r="DG18"/>
  <c r="DW18"/>
  <c r="CC14"/>
  <c r="CC22"/>
  <c r="DH20"/>
  <c r="FO15"/>
  <c r="GE15"/>
  <c r="DG14"/>
  <c r="DW14"/>
  <c r="DV13"/>
  <c r="DH11"/>
  <c r="EY35"/>
  <c r="FO35"/>
  <c r="GE35"/>
  <c r="GU35"/>
  <c r="CC15"/>
  <c r="AY10"/>
  <c r="AY12"/>
  <c r="AY14"/>
  <c r="AY16"/>
  <c r="AY18"/>
  <c r="AY20"/>
  <c r="AY22"/>
  <c r="AZ9"/>
  <c r="AJ30"/>
  <c r="AJ23"/>
  <c r="AZ23"/>
  <c r="BP23"/>
  <c r="CF23"/>
  <c r="CV23"/>
  <c r="DL23"/>
  <c r="EB23"/>
  <c r="ER23"/>
  <c r="FH23"/>
  <c r="FX23"/>
  <c r="GN23"/>
  <c r="HD23"/>
  <c r="HT23"/>
  <c r="IJ23"/>
  <c r="AJ22"/>
  <c r="AJ21"/>
  <c r="AZ21"/>
  <c r="BP21"/>
  <c r="CF21"/>
  <c r="CV21"/>
  <c r="DL21"/>
  <c r="EB21"/>
  <c r="ER21"/>
  <c r="FH21"/>
  <c r="FX21"/>
  <c r="AJ20"/>
  <c r="AJ19"/>
  <c r="AZ19"/>
  <c r="AJ18"/>
  <c r="AJ17"/>
  <c r="AZ17"/>
  <c r="AJ16"/>
  <c r="AJ15"/>
  <c r="AZ15"/>
  <c r="AJ14"/>
  <c r="AJ13"/>
  <c r="AZ13"/>
  <c r="BP13"/>
  <c r="CF13"/>
  <c r="CV13"/>
  <c r="DL13"/>
  <c r="EB13"/>
  <c r="ER13"/>
  <c r="FH13"/>
  <c r="FX13"/>
  <c r="AJ12"/>
  <c r="AJ11"/>
  <c r="AZ11"/>
  <c r="AJ10"/>
  <c r="V59" i="49"/>
  <c r="U62"/>
  <c r="B27" i="58"/>
  <c r="FA9" i="46"/>
  <c r="EK30"/>
  <c r="GT9"/>
  <c r="GD30"/>
  <c r="Q167" i="50"/>
  <c r="CS9" i="46"/>
  <c r="CC30"/>
  <c r="D30" i="52"/>
  <c r="EL9" i="46"/>
  <c r="DV30"/>
  <c r="DV42"/>
  <c r="EL42"/>
  <c r="FB42"/>
  <c r="FR42"/>
  <c r="GH42"/>
  <c r="GX42"/>
  <c r="HN42"/>
  <c r="BO9"/>
  <c r="AY30"/>
  <c r="W106" i="49"/>
  <c r="V109"/>
  <c r="Q531" i="50"/>
  <c r="N9" i="47"/>
  <c r="R19" i="49"/>
  <c r="R66"/>
  <c r="CC40" i="46"/>
  <c r="CC37"/>
  <c r="CC33"/>
  <c r="DW16"/>
  <c r="DH10"/>
  <c r="HI18"/>
  <c r="DH16"/>
  <c r="HI10"/>
  <c r="FO39"/>
  <c r="GT19"/>
  <c r="GE14"/>
  <c r="BM41"/>
  <c r="CC41"/>
  <c r="BM34"/>
  <c r="CC34"/>
  <c r="GD15"/>
  <c r="GT15"/>
  <c r="HI21"/>
  <c r="DG19"/>
  <c r="DW19"/>
  <c r="EK19"/>
  <c r="FA19"/>
  <c r="CC10"/>
  <c r="CS10"/>
  <c r="CC18"/>
  <c r="CS18"/>
  <c r="DG20"/>
  <c r="DW20"/>
  <c r="HI14"/>
  <c r="DH12"/>
  <c r="HI22"/>
  <c r="FO18"/>
  <c r="GE18"/>
  <c r="GU18"/>
  <c r="HK18"/>
  <c r="IA18"/>
  <c r="FO19"/>
  <c r="GE19"/>
  <c r="DH19"/>
  <c r="EK15"/>
  <c r="FA15"/>
  <c r="DH15"/>
  <c r="FO20"/>
  <c r="GE20"/>
  <c r="GU20"/>
  <c r="HK20"/>
  <c r="IA20"/>
  <c r="CC11"/>
  <c r="CS11"/>
  <c r="DI11"/>
  <c r="DY11"/>
  <c r="EO11"/>
  <c r="CC19"/>
  <c r="CS19"/>
  <c r="DI19"/>
  <c r="DY19"/>
  <c r="EO19"/>
  <c r="FE19"/>
  <c r="FU19"/>
  <c r="GK19"/>
  <c r="HA19"/>
  <c r="HQ19"/>
  <c r="IG19"/>
  <c r="BO11"/>
  <c r="BO15"/>
  <c r="BO19"/>
  <c r="E30" i="49"/>
  <c r="B471" i="50"/>
  <c r="B289"/>
  <c r="B107"/>
  <c r="F30" i="49"/>
  <c r="D77"/>
  <c r="AF96" i="50"/>
  <c r="AF97" s="1"/>
  <c r="AF98" s="1"/>
  <c r="AF99" s="1"/>
  <c r="AF100" s="1"/>
  <c r="AF101" s="1"/>
  <c r="AF102" s="1"/>
  <c r="AF103" s="1"/>
  <c r="W96"/>
  <c r="W97" s="1"/>
  <c r="W98" s="1"/>
  <c r="W99" s="1"/>
  <c r="W100" s="1"/>
  <c r="W101" s="1"/>
  <c r="W102" s="1"/>
  <c r="W103" s="1"/>
  <c r="AA96"/>
  <c r="AA97" s="1"/>
  <c r="AA98" s="1"/>
  <c r="AA99" s="1"/>
  <c r="AA100" s="1"/>
  <c r="AA101" s="1"/>
  <c r="AA102" s="1"/>
  <c r="AA103" s="1"/>
  <c r="U96"/>
  <c r="U97" s="1"/>
  <c r="U98" s="1"/>
  <c r="U99" s="1"/>
  <c r="U100" s="1"/>
  <c r="U101" s="1"/>
  <c r="U102" s="1"/>
  <c r="U103" s="1"/>
  <c r="Y96"/>
  <c r="Y97" s="1"/>
  <c r="Y98" s="1"/>
  <c r="Y99" s="1"/>
  <c r="Y100" s="1"/>
  <c r="Y101" s="1"/>
  <c r="Y102" s="1"/>
  <c r="Y103" s="1"/>
  <c r="AC96"/>
  <c r="AC97" s="1"/>
  <c r="AC98" s="1"/>
  <c r="AC99" s="1"/>
  <c r="AC100" s="1"/>
  <c r="AC101" s="1"/>
  <c r="AC102" s="1"/>
  <c r="AC103" s="1"/>
  <c r="AG96"/>
  <c r="AG97" s="1"/>
  <c r="AG98" s="1"/>
  <c r="AG99" s="1"/>
  <c r="AG100" s="1"/>
  <c r="AG101" s="1"/>
  <c r="AG102" s="1"/>
  <c r="AG103" s="1"/>
  <c r="AE96"/>
  <c r="AE97" s="1"/>
  <c r="AE98" s="1"/>
  <c r="AE99" s="1"/>
  <c r="AE100" s="1"/>
  <c r="AE101" s="1"/>
  <c r="AE102" s="1"/>
  <c r="AE103" s="1"/>
  <c r="Z278"/>
  <c r="Z279" s="1"/>
  <c r="Z280" s="1"/>
  <c r="Z281" s="1"/>
  <c r="Z282" s="1"/>
  <c r="Z283" s="1"/>
  <c r="Z284" s="1"/>
  <c r="Z285" s="1"/>
  <c r="AE278"/>
  <c r="AE279" s="1"/>
  <c r="AE280" s="1"/>
  <c r="AE281" s="1"/>
  <c r="AE282" s="1"/>
  <c r="AE283" s="1"/>
  <c r="AE284" s="1"/>
  <c r="AE285" s="1"/>
  <c r="W278"/>
  <c r="W279" s="1"/>
  <c r="W280" s="1"/>
  <c r="W281" s="1"/>
  <c r="W282" s="1"/>
  <c r="W283" s="1"/>
  <c r="W284" s="1"/>
  <c r="W285" s="1"/>
  <c r="AC278"/>
  <c r="AC279" s="1"/>
  <c r="AC280" s="1"/>
  <c r="AC281" s="1"/>
  <c r="AC282" s="1"/>
  <c r="AC283" s="1"/>
  <c r="AC284" s="1"/>
  <c r="AC285" s="1"/>
  <c r="U278"/>
  <c r="U279" s="1"/>
  <c r="U280" s="1"/>
  <c r="U281" s="1"/>
  <c r="U282" s="1"/>
  <c r="U283" s="1"/>
  <c r="U284" s="1"/>
  <c r="U285" s="1"/>
  <c r="AB278"/>
  <c r="AB279" s="1"/>
  <c r="AB280" s="1"/>
  <c r="AB281" s="1"/>
  <c r="AB282" s="1"/>
  <c r="AB283" s="1"/>
  <c r="AB284" s="1"/>
  <c r="AB285" s="1"/>
  <c r="T278"/>
  <c r="T279" s="1"/>
  <c r="T280" s="1"/>
  <c r="T281" s="1"/>
  <c r="T282" s="1"/>
  <c r="T283" s="1"/>
  <c r="E123" i="49"/>
  <c r="F123"/>
  <c r="I76"/>
  <c r="J76"/>
  <c r="F76"/>
  <c r="O8" i="47"/>
  <c r="R67" i="49"/>
  <c r="R20"/>
  <c r="D31" i="52"/>
  <c r="Q179" i="50"/>
  <c r="HJ9" i="46"/>
  <c r="GT30"/>
  <c r="FQ9"/>
  <c r="FA30"/>
  <c r="B28" i="58"/>
  <c r="AJ43" i="46"/>
  <c r="AJ42"/>
  <c r="AJ41"/>
  <c r="AJ40"/>
  <c r="AJ39"/>
  <c r="AJ38"/>
  <c r="AJ37"/>
  <c r="AJ36"/>
  <c r="AJ35"/>
  <c r="AJ34"/>
  <c r="AJ33"/>
  <c r="AJ32"/>
  <c r="AJ31"/>
  <c r="D24" i="26"/>
  <c r="CT9" i="46"/>
  <c r="CD30"/>
  <c r="GU9"/>
  <c r="GE30"/>
  <c r="GE39"/>
  <c r="GU39"/>
  <c r="EM9"/>
  <c r="DW30"/>
  <c r="HJ15"/>
  <c r="FQ19"/>
  <c r="EM19"/>
  <c r="GU14"/>
  <c r="HJ19"/>
  <c r="AZ10"/>
  <c r="AZ12"/>
  <c r="AZ14"/>
  <c r="AZ16"/>
  <c r="AZ18"/>
  <c r="AZ20"/>
  <c r="AZ22"/>
  <c r="BO22"/>
  <c r="BO18"/>
  <c r="BO14"/>
  <c r="BO10"/>
  <c r="EM14"/>
  <c r="GU15"/>
  <c r="CS22"/>
  <c r="EK39"/>
  <c r="FA39"/>
  <c r="FQ39"/>
  <c r="GG39"/>
  <c r="GW39"/>
  <c r="HM39"/>
  <c r="GU10"/>
  <c r="DV31"/>
  <c r="CC32"/>
  <c r="CC39"/>
  <c r="EM22"/>
  <c r="EL15"/>
  <c r="GU11"/>
  <c r="GU16"/>
  <c r="DV38"/>
  <c r="GT11"/>
  <c r="HJ11"/>
  <c r="DV39"/>
  <c r="CC35"/>
  <c r="CC42"/>
  <c r="AY31"/>
  <c r="AY33"/>
  <c r="AY35"/>
  <c r="AY37"/>
  <c r="AY38"/>
  <c r="AY40"/>
  <c r="AY42"/>
  <c r="Q543" i="50"/>
  <c r="X106" i="49"/>
  <c r="X109"/>
  <c r="W109"/>
  <c r="CE9" i="46"/>
  <c r="CE11"/>
  <c r="CU11"/>
  <c r="DK11"/>
  <c r="EA11"/>
  <c r="EQ11"/>
  <c r="FG11"/>
  <c r="FW11"/>
  <c r="GM11"/>
  <c r="HC11"/>
  <c r="BO30"/>
  <c r="FB9"/>
  <c r="EL30"/>
  <c r="DI9"/>
  <c r="CS30"/>
  <c r="W59" i="49"/>
  <c r="V62"/>
  <c r="BP9" i="46"/>
  <c r="AZ30"/>
  <c r="DX9"/>
  <c r="DX15"/>
  <c r="DH30"/>
  <c r="B55" i="58"/>
  <c r="A25" i="57"/>
  <c r="HY9" i="46"/>
  <c r="HY30"/>
  <c r="HI30"/>
  <c r="Q361" i="50"/>
  <c r="CE19" i="46"/>
  <c r="DX19"/>
  <c r="HY22"/>
  <c r="EM20"/>
  <c r="EM16"/>
  <c r="BP11"/>
  <c r="BP15"/>
  <c r="BP17"/>
  <c r="BP19"/>
  <c r="BO20"/>
  <c r="CE20"/>
  <c r="CU20"/>
  <c r="DK20"/>
  <c r="EA20"/>
  <c r="EQ20"/>
  <c r="FG20"/>
  <c r="FW20"/>
  <c r="GM20"/>
  <c r="BO16"/>
  <c r="CE16"/>
  <c r="CU16"/>
  <c r="DK16"/>
  <c r="EA16"/>
  <c r="EQ16"/>
  <c r="FG16"/>
  <c r="FW16"/>
  <c r="GM16"/>
  <c r="BO12"/>
  <c r="CE12"/>
  <c r="CU12"/>
  <c r="DK12"/>
  <c r="EA12"/>
  <c r="EQ12"/>
  <c r="FG12"/>
  <c r="FW12"/>
  <c r="GM12"/>
  <c r="HC12"/>
  <c r="CS15"/>
  <c r="DI15"/>
  <c r="DY15"/>
  <c r="EO15"/>
  <c r="FE15"/>
  <c r="FU15"/>
  <c r="GK15"/>
  <c r="HA15"/>
  <c r="HQ15"/>
  <c r="IG15"/>
  <c r="DX11"/>
  <c r="EL13"/>
  <c r="FB13"/>
  <c r="DV34"/>
  <c r="EL34"/>
  <c r="DX20"/>
  <c r="CS14"/>
  <c r="DI14"/>
  <c r="EM18"/>
  <c r="EK41"/>
  <c r="FA41"/>
  <c r="CC36"/>
  <c r="CS36"/>
  <c r="CC43"/>
  <c r="CS43"/>
  <c r="DI43"/>
  <c r="DY43"/>
  <c r="EO43"/>
  <c r="FE43"/>
  <c r="FU43"/>
  <c r="GK43"/>
  <c r="HA43"/>
  <c r="HQ43"/>
  <c r="IG43"/>
  <c r="FA16"/>
  <c r="FQ16"/>
  <c r="EM15"/>
  <c r="GU22"/>
  <c r="DV35"/>
  <c r="EL35"/>
  <c r="CS12"/>
  <c r="DI12"/>
  <c r="DY12"/>
  <c r="EO12"/>
  <c r="FE12"/>
  <c r="FU12"/>
  <c r="GK12"/>
  <c r="HA12"/>
  <c r="HQ12"/>
  <c r="IG12"/>
  <c r="HY16"/>
  <c r="HY17"/>
  <c r="CC31"/>
  <c r="CS31"/>
  <c r="CC38"/>
  <c r="CS38"/>
  <c r="AY32"/>
  <c r="BO32"/>
  <c r="CE32"/>
  <c r="CU32"/>
  <c r="DK32"/>
  <c r="EA32"/>
  <c r="AY34"/>
  <c r="BO34"/>
  <c r="CE34"/>
  <c r="CU34"/>
  <c r="DK34"/>
  <c r="EA34"/>
  <c r="AY36"/>
  <c r="BO36"/>
  <c r="CE36"/>
  <c r="CU36"/>
  <c r="DK36"/>
  <c r="EA36"/>
  <c r="AY39"/>
  <c r="BO39"/>
  <c r="CE39"/>
  <c r="CU39"/>
  <c r="DK39"/>
  <c r="EA39"/>
  <c r="EQ39"/>
  <c r="FG39"/>
  <c r="FW39"/>
  <c r="GM39"/>
  <c r="AY41"/>
  <c r="BO41"/>
  <c r="CE41"/>
  <c r="CU41"/>
  <c r="DK41"/>
  <c r="EA41"/>
  <c r="EQ41"/>
  <c r="FG41"/>
  <c r="FW41"/>
  <c r="GM41"/>
  <c r="AY43"/>
  <c r="BO43"/>
  <c r="CE43"/>
  <c r="CU43"/>
  <c r="DK43"/>
  <c r="EA43"/>
  <c r="EQ43"/>
  <c r="FG43"/>
  <c r="FW43"/>
  <c r="GM43"/>
  <c r="HC43"/>
  <c r="HS43"/>
  <c r="II43"/>
  <c r="D31" i="49"/>
  <c r="E77"/>
  <c r="F77"/>
  <c r="C471" i="50"/>
  <c r="C289"/>
  <c r="U290"/>
  <c r="U291" s="1"/>
  <c r="U292" s="1"/>
  <c r="U293" s="1"/>
  <c r="U294" s="1"/>
  <c r="U295" s="1"/>
  <c r="U296" s="1"/>
  <c r="U297" s="1"/>
  <c r="C107"/>
  <c r="D124" i="49"/>
  <c r="FR9" i="46"/>
  <c r="FB30"/>
  <c r="CU9"/>
  <c r="CE30"/>
  <c r="FC9"/>
  <c r="FC15"/>
  <c r="EM30"/>
  <c r="HK9"/>
  <c r="GU30"/>
  <c r="DJ9"/>
  <c r="CT30"/>
  <c r="D25" i="26"/>
  <c r="GG9" i="46"/>
  <c r="FQ30"/>
  <c r="HZ9"/>
  <c r="HZ30"/>
  <c r="HJ30"/>
  <c r="D32" i="52"/>
  <c r="FC16" i="46"/>
  <c r="FC20"/>
  <c r="BO40"/>
  <c r="CE40"/>
  <c r="BO37"/>
  <c r="CE37"/>
  <c r="BO33"/>
  <c r="CE33"/>
  <c r="CS35"/>
  <c r="EL38"/>
  <c r="FB38"/>
  <c r="HK16"/>
  <c r="HK11"/>
  <c r="FB15"/>
  <c r="FR15"/>
  <c r="CS39"/>
  <c r="HK10"/>
  <c r="HK15"/>
  <c r="CE10"/>
  <c r="CU10"/>
  <c r="CE18"/>
  <c r="CU18"/>
  <c r="BP20"/>
  <c r="BP16"/>
  <c r="BP12"/>
  <c r="CS40"/>
  <c r="DX10"/>
  <c r="HY10"/>
  <c r="HK14"/>
  <c r="CS41"/>
  <c r="FC19"/>
  <c r="DX12"/>
  <c r="HZ15"/>
  <c r="CE15"/>
  <c r="CU15"/>
  <c r="AZ32"/>
  <c r="AZ34"/>
  <c r="AZ36"/>
  <c r="AZ38"/>
  <c r="AZ40"/>
  <c r="AZ42"/>
  <c r="A26" i="57"/>
  <c r="B56" i="58"/>
  <c r="EN9" i="46"/>
  <c r="DX30"/>
  <c r="CF9"/>
  <c r="BP30"/>
  <c r="X59" i="49"/>
  <c r="X62"/>
  <c r="W62"/>
  <c r="DY9" i="46"/>
  <c r="DI30"/>
  <c r="B29" i="58"/>
  <c r="O9" i="47"/>
  <c r="S19" i="49"/>
  <c r="S66"/>
  <c r="HK22" i="46"/>
  <c r="GG16"/>
  <c r="FQ41"/>
  <c r="FC18"/>
  <c r="EN11"/>
  <c r="CF15"/>
  <c r="CU19"/>
  <c r="BO42"/>
  <c r="CE42"/>
  <c r="BO38"/>
  <c r="CE38"/>
  <c r="BO35"/>
  <c r="CE35"/>
  <c r="BO31"/>
  <c r="CE31"/>
  <c r="CS42"/>
  <c r="DI42"/>
  <c r="DY42"/>
  <c r="EO42"/>
  <c r="FE42"/>
  <c r="FU42"/>
  <c r="EL39"/>
  <c r="FB39"/>
  <c r="FC22"/>
  <c r="CS32"/>
  <c r="DI32"/>
  <c r="DY32"/>
  <c r="EO32"/>
  <c r="FE32"/>
  <c r="FU32"/>
  <c r="EL31"/>
  <c r="FB31"/>
  <c r="FR31"/>
  <c r="GH31"/>
  <c r="GX31"/>
  <c r="DI22"/>
  <c r="DY22"/>
  <c r="EO22"/>
  <c r="FE22"/>
  <c r="FU22"/>
  <c r="GK22"/>
  <c r="HA22"/>
  <c r="HQ22"/>
  <c r="IG22"/>
  <c r="FC14"/>
  <c r="CE14"/>
  <c r="CU14"/>
  <c r="CE22"/>
  <c r="CU22"/>
  <c r="BP22"/>
  <c r="CF22"/>
  <c r="BP18"/>
  <c r="CF18"/>
  <c r="BP14"/>
  <c r="CF14"/>
  <c r="BP10"/>
  <c r="CF10"/>
  <c r="CS33"/>
  <c r="DI33"/>
  <c r="DX16"/>
  <c r="EN16"/>
  <c r="HZ19"/>
  <c r="CS34"/>
  <c r="DI34"/>
  <c r="HY21"/>
  <c r="GG19"/>
  <c r="DI18"/>
  <c r="DY18"/>
  <c r="CS37"/>
  <c r="DI37"/>
  <c r="HY18"/>
  <c r="DI10"/>
  <c r="DY10"/>
  <c r="AZ31"/>
  <c r="BP31"/>
  <c r="AZ33"/>
  <c r="BP33"/>
  <c r="AZ35"/>
  <c r="BP35"/>
  <c r="AZ37"/>
  <c r="BP37"/>
  <c r="AZ39"/>
  <c r="BP39"/>
  <c r="AZ41"/>
  <c r="BP41"/>
  <c r="AZ43"/>
  <c r="BP43"/>
  <c r="CF43"/>
  <c r="CV43"/>
  <c r="DL43"/>
  <c r="EB43"/>
  <c r="ER43"/>
  <c r="FH43"/>
  <c r="FX43"/>
  <c r="GN43"/>
  <c r="HD43"/>
  <c r="HT43"/>
  <c r="IJ43"/>
  <c r="DX18"/>
  <c r="EN18"/>
  <c r="AG290" i="50"/>
  <c r="AG291" s="1"/>
  <c r="AG292" s="1"/>
  <c r="AG293" s="1"/>
  <c r="AG294" s="1"/>
  <c r="AG295" s="1"/>
  <c r="AG296" s="1"/>
  <c r="AG297" s="1"/>
  <c r="E31" i="49"/>
  <c r="F31"/>
  <c r="B119" i="50"/>
  <c r="D78" i="49"/>
  <c r="B483" i="50"/>
  <c r="B301"/>
  <c r="AB472"/>
  <c r="AB473" s="1"/>
  <c r="AB474" s="1"/>
  <c r="AB475" s="1"/>
  <c r="AB476" s="1"/>
  <c r="AB477" s="1"/>
  <c r="AB478" s="1"/>
  <c r="AB479" s="1"/>
  <c r="V472"/>
  <c r="V473" s="1"/>
  <c r="V474" s="1"/>
  <c r="V475" s="1"/>
  <c r="V476" s="1"/>
  <c r="V477" s="1"/>
  <c r="V478" s="1"/>
  <c r="V479" s="1"/>
  <c r="AD472"/>
  <c r="AD473" s="1"/>
  <c r="AD474" s="1"/>
  <c r="AD475" s="1"/>
  <c r="AD476" s="1"/>
  <c r="AD477" s="1"/>
  <c r="AD478" s="1"/>
  <c r="AD479" s="1"/>
  <c r="AA472"/>
  <c r="AA473" s="1"/>
  <c r="AA474" s="1"/>
  <c r="AA475" s="1"/>
  <c r="AA476" s="1"/>
  <c r="AA477" s="1"/>
  <c r="AA478" s="1"/>
  <c r="AA479" s="1"/>
  <c r="E124" i="49"/>
  <c r="I77"/>
  <c r="J77"/>
  <c r="F124"/>
  <c r="P8" i="47"/>
  <c r="S67" i="49"/>
  <c r="S20"/>
  <c r="B30" i="58"/>
  <c r="D33" i="52"/>
  <c r="GW9" i="46"/>
  <c r="GG30"/>
  <c r="DK9"/>
  <c r="DK22"/>
  <c r="EA22"/>
  <c r="EQ22"/>
  <c r="FG22"/>
  <c r="FW22"/>
  <c r="GM22"/>
  <c r="CU30"/>
  <c r="GH9"/>
  <c r="FR30"/>
  <c r="GG41"/>
  <c r="BP42"/>
  <c r="BP38"/>
  <c r="BP34"/>
  <c r="DI41"/>
  <c r="EN10"/>
  <c r="DI40"/>
  <c r="CF16"/>
  <c r="DI39"/>
  <c r="FR38"/>
  <c r="CU37"/>
  <c r="EO9"/>
  <c r="DY30"/>
  <c r="CV9"/>
  <c r="CV14"/>
  <c r="CF30"/>
  <c r="FD9"/>
  <c r="EN30"/>
  <c r="B57" i="58"/>
  <c r="A27" i="57"/>
  <c r="D26" i="26"/>
  <c r="DZ9" i="46"/>
  <c r="DJ30"/>
  <c r="IA9"/>
  <c r="IA30"/>
  <c r="HK30"/>
  <c r="FS9"/>
  <c r="FS14"/>
  <c r="GI14"/>
  <c r="GY14"/>
  <c r="HO14"/>
  <c r="IE14"/>
  <c r="FC30"/>
  <c r="DY37"/>
  <c r="GW19"/>
  <c r="DY34"/>
  <c r="DY33"/>
  <c r="CV22"/>
  <c r="DK19"/>
  <c r="CV15"/>
  <c r="FD11"/>
  <c r="BP40"/>
  <c r="CF40"/>
  <c r="BP36"/>
  <c r="CF36"/>
  <c r="BP32"/>
  <c r="CF32"/>
  <c r="EN12"/>
  <c r="FD12"/>
  <c r="CF12"/>
  <c r="CV12"/>
  <c r="CF20"/>
  <c r="CV20"/>
  <c r="DI35"/>
  <c r="DY35"/>
  <c r="CU33"/>
  <c r="CU40"/>
  <c r="EN19"/>
  <c r="FD19"/>
  <c r="CF17"/>
  <c r="CV17"/>
  <c r="EN20"/>
  <c r="FD20"/>
  <c r="FT20"/>
  <c r="GJ20"/>
  <c r="GZ20"/>
  <c r="HP20"/>
  <c r="IF20"/>
  <c r="DY14"/>
  <c r="EO14"/>
  <c r="EN15"/>
  <c r="FD15"/>
  <c r="FT15"/>
  <c r="GJ15"/>
  <c r="GZ15"/>
  <c r="HP15"/>
  <c r="IF15"/>
  <c r="D125" i="49"/>
  <c r="D32"/>
  <c r="E78"/>
  <c r="C483" i="50"/>
  <c r="AF484"/>
  <c r="AF485" s="1"/>
  <c r="AF486" s="1"/>
  <c r="AF487" s="1"/>
  <c r="AF488" s="1"/>
  <c r="AF489" s="1"/>
  <c r="AF490" s="1"/>
  <c r="AF491" s="1"/>
  <c r="C301"/>
  <c r="C119"/>
  <c r="EP9" i="46"/>
  <c r="DZ30"/>
  <c r="D34" i="52"/>
  <c r="P9" i="47"/>
  <c r="T19" i="49"/>
  <c r="T66"/>
  <c r="FS16" i="46"/>
  <c r="IA16"/>
  <c r="IA15"/>
  <c r="DY39"/>
  <c r="DY40"/>
  <c r="IA14"/>
  <c r="DY41"/>
  <c r="FS19"/>
  <c r="CF38"/>
  <c r="DK14"/>
  <c r="CV18"/>
  <c r="GW16"/>
  <c r="GI9"/>
  <c r="FS30"/>
  <c r="D27" i="26"/>
  <c r="A28" i="57"/>
  <c r="FT9" i="46"/>
  <c r="FD30"/>
  <c r="DL9"/>
  <c r="DL15"/>
  <c r="CV30"/>
  <c r="FE9"/>
  <c r="EO30"/>
  <c r="EO34"/>
  <c r="GX9"/>
  <c r="GH30"/>
  <c r="EA9"/>
  <c r="DK30"/>
  <c r="DK40"/>
  <c r="HM9"/>
  <c r="GW30"/>
  <c r="B31" i="58"/>
  <c r="EA19" i="46"/>
  <c r="FS20"/>
  <c r="GI20"/>
  <c r="GY20"/>
  <c r="HO20"/>
  <c r="IE20"/>
  <c r="IA11"/>
  <c r="IA10"/>
  <c r="CV16"/>
  <c r="DL16"/>
  <c r="FD10"/>
  <c r="FT10"/>
  <c r="CF34"/>
  <c r="CV34"/>
  <c r="DL34"/>
  <c r="EB34"/>
  <c r="ER34"/>
  <c r="FH34"/>
  <c r="CF42"/>
  <c r="CV42"/>
  <c r="DL42"/>
  <c r="EB42"/>
  <c r="ER42"/>
  <c r="FH42"/>
  <c r="IA22"/>
  <c r="FS18"/>
  <c r="GI18"/>
  <c r="GY18"/>
  <c r="HO18"/>
  <c r="IE18"/>
  <c r="FS22"/>
  <c r="GI22"/>
  <c r="GY22"/>
  <c r="CV10"/>
  <c r="DL10"/>
  <c r="GW41"/>
  <c r="U484" i="50"/>
  <c r="U485" s="1"/>
  <c r="U486" s="1"/>
  <c r="U487" s="1"/>
  <c r="U488" s="1"/>
  <c r="U489" s="1"/>
  <c r="U490" s="1"/>
  <c r="U491" s="1"/>
  <c r="E32" i="49"/>
  <c r="B495" i="50"/>
  <c r="B313"/>
  <c r="B131"/>
  <c r="F32" i="49"/>
  <c r="D79"/>
  <c r="AE120" i="50"/>
  <c r="AE121" s="1"/>
  <c r="AE122" s="1"/>
  <c r="AE123" s="1"/>
  <c r="AE124" s="1"/>
  <c r="AE125" s="1"/>
  <c r="AE126" s="1"/>
  <c r="AE127" s="1"/>
  <c r="E125" i="49"/>
  <c r="F125"/>
  <c r="I78"/>
  <c r="J78"/>
  <c r="F78"/>
  <c r="IC9" i="46"/>
  <c r="IC30"/>
  <c r="HM30"/>
  <c r="EQ9"/>
  <c r="EQ19"/>
  <c r="EA30"/>
  <c r="HN9"/>
  <c r="GX30"/>
  <c r="A29" i="57"/>
  <c r="GY9" i="46"/>
  <c r="GI30"/>
  <c r="Q8" i="47"/>
  <c r="T67" i="49"/>
  <c r="T20"/>
  <c r="FF9" i="46"/>
  <c r="EP30"/>
  <c r="HM16"/>
  <c r="IC16"/>
  <c r="DL18"/>
  <c r="CV38"/>
  <c r="GI19"/>
  <c r="GY19"/>
  <c r="EO40"/>
  <c r="EO39"/>
  <c r="GH38"/>
  <c r="GX38"/>
  <c r="EO33"/>
  <c r="DK33"/>
  <c r="EA33"/>
  <c r="EQ33"/>
  <c r="GI16"/>
  <c r="GY16"/>
  <c r="FU9"/>
  <c r="FE30"/>
  <c r="EB9"/>
  <c r="DL30"/>
  <c r="GJ9"/>
  <c r="FT30"/>
  <c r="D28" i="26"/>
  <c r="D35" i="52"/>
  <c r="EA14" i="46"/>
  <c r="EQ14"/>
  <c r="FG14"/>
  <c r="FW14"/>
  <c r="GM14"/>
  <c r="EO41"/>
  <c r="FE41"/>
  <c r="FU41"/>
  <c r="DK37"/>
  <c r="EA37"/>
  <c r="EO37"/>
  <c r="FE37"/>
  <c r="HM19"/>
  <c r="IC19"/>
  <c r="DL22"/>
  <c r="EB22"/>
  <c r="ER22"/>
  <c r="FH22"/>
  <c r="FX22"/>
  <c r="FT11"/>
  <c r="GJ11"/>
  <c r="GZ11"/>
  <c r="HP11"/>
  <c r="IF11"/>
  <c r="DL14"/>
  <c r="EB14"/>
  <c r="D33" i="49"/>
  <c r="E79"/>
  <c r="F79"/>
  <c r="C495" i="50"/>
  <c r="C313"/>
  <c r="C131"/>
  <c r="AF132" s="1"/>
  <c r="AF133" s="1"/>
  <c r="AF134" s="1"/>
  <c r="AF135" s="1"/>
  <c r="AF136" s="1"/>
  <c r="AF137" s="1"/>
  <c r="AF138" s="1"/>
  <c r="AF139" s="1"/>
  <c r="D126" i="49"/>
  <c r="D53" i="52"/>
  <c r="FV9" i="46"/>
  <c r="FF30"/>
  <c r="ID9"/>
  <c r="ID30"/>
  <c r="HN30"/>
  <c r="FG9"/>
  <c r="EQ30"/>
  <c r="FE40"/>
  <c r="DL38"/>
  <c r="D29" i="26"/>
  <c r="GZ9" i="46"/>
  <c r="GJ30"/>
  <c r="ER9"/>
  <c r="EB30"/>
  <c r="GK9"/>
  <c r="FU30"/>
  <c r="Q9" i="47"/>
  <c r="U19" i="49"/>
  <c r="U66"/>
  <c r="HO9" i="46"/>
  <c r="GY30"/>
  <c r="FE33"/>
  <c r="FU33"/>
  <c r="FE39"/>
  <c r="FU39"/>
  <c r="EB18"/>
  <c r="ER18"/>
  <c r="E33" i="49"/>
  <c r="F33"/>
  <c r="B143" i="50"/>
  <c r="AC144" s="1"/>
  <c r="D80" i="49"/>
  <c r="B507" i="50"/>
  <c r="AE508" s="1"/>
  <c r="B325"/>
  <c r="E126" i="49"/>
  <c r="F126"/>
  <c r="I79"/>
  <c r="J79"/>
  <c r="R8" i="47"/>
  <c r="U67" i="49"/>
  <c r="U20"/>
  <c r="HA9" i="46"/>
  <c r="FH9"/>
  <c r="ER30"/>
  <c r="HP9"/>
  <c r="GZ30"/>
  <c r="HO19"/>
  <c r="IE9"/>
  <c r="HO30"/>
  <c r="FW9"/>
  <c r="FG30"/>
  <c r="GL9"/>
  <c r="FV30"/>
  <c r="D54" i="52"/>
  <c r="EB38" i="46"/>
  <c r="ER38"/>
  <c r="FU40"/>
  <c r="D127" i="49"/>
  <c r="D34"/>
  <c r="F34"/>
  <c r="E80"/>
  <c r="C507" i="50"/>
  <c r="Z508"/>
  <c r="Z509" s="1"/>
  <c r="Z510" s="1"/>
  <c r="Z511" s="1"/>
  <c r="Z512" s="1"/>
  <c r="Z513" s="1"/>
  <c r="Z514" s="1"/>
  <c r="Z515" s="1"/>
  <c r="C325"/>
  <c r="AD326" s="1"/>
  <c r="C143"/>
  <c r="Y144"/>
  <c r="Y145" s="1"/>
  <c r="Y146" s="1"/>
  <c r="Y147" s="1"/>
  <c r="Y148" s="1"/>
  <c r="Y149" s="1"/>
  <c r="Y150" s="1"/>
  <c r="Y151" s="1"/>
  <c r="HB9" i="46"/>
  <c r="GM9"/>
  <c r="FW30"/>
  <c r="IF9"/>
  <c r="IF30"/>
  <c r="HP30"/>
  <c r="FX9"/>
  <c r="FH30"/>
  <c r="HQ9"/>
  <c r="HA30"/>
  <c r="D55" i="52"/>
  <c r="R9" i="47"/>
  <c r="V19" i="49"/>
  <c r="V66"/>
  <c r="E34"/>
  <c r="D35"/>
  <c r="B519" i="50"/>
  <c r="B337"/>
  <c r="D81" i="49"/>
  <c r="B155" i="50"/>
  <c r="W144"/>
  <c r="W145" s="1"/>
  <c r="W146" s="1"/>
  <c r="W147" s="1"/>
  <c r="W148" s="1"/>
  <c r="W149" s="1"/>
  <c r="W150" s="1"/>
  <c r="W151" s="1"/>
  <c r="E127" i="49"/>
  <c r="F127"/>
  <c r="I80"/>
  <c r="J80"/>
  <c r="F80"/>
  <c r="S8" i="47"/>
  <c r="V67" i="49"/>
  <c r="V20"/>
  <c r="D56" i="52"/>
  <c r="IG9" i="46"/>
  <c r="IG30"/>
  <c r="HQ30"/>
  <c r="GN9"/>
  <c r="FX30"/>
  <c r="HC9"/>
  <c r="GM30"/>
  <c r="HR9"/>
  <c r="HB30"/>
  <c r="D128" i="49"/>
  <c r="E81"/>
  <c r="C337" i="50"/>
  <c r="D57" i="52"/>
  <c r="HS9" i="46"/>
  <c r="II9"/>
  <c r="II30"/>
  <c r="HD9"/>
  <c r="S9" i="47"/>
  <c r="W19" i="49"/>
  <c r="X19"/>
  <c r="W66"/>
  <c r="X66"/>
  <c r="E35"/>
  <c r="B531" i="50"/>
  <c r="F35" i="49"/>
  <c r="E128"/>
  <c r="I81"/>
  <c r="J81"/>
  <c r="F81"/>
  <c r="X67"/>
  <c r="X20"/>
  <c r="W67"/>
  <c r="W20"/>
  <c r="HT9" i="46"/>
  <c r="HD30"/>
  <c r="HS30"/>
  <c r="D61" i="52"/>
  <c r="F128" i="49"/>
  <c r="D36"/>
  <c r="E82"/>
  <c r="C531" i="50"/>
  <c r="AB532"/>
  <c r="C349"/>
  <c r="C167"/>
  <c r="D62" i="52"/>
  <c r="IJ9" i="46"/>
  <c r="IJ30"/>
  <c r="HT30"/>
  <c r="E129" i="49"/>
  <c r="B543" i="50"/>
  <c r="B361"/>
  <c r="B179"/>
  <c r="E36" i="49"/>
  <c r="F36"/>
  <c r="D83"/>
  <c r="F83"/>
  <c r="D63" i="52"/>
  <c r="AE5" i="26"/>
  <c r="AC12" s="1"/>
  <c r="D130" i="49"/>
  <c r="E83"/>
  <c r="C543" i="50"/>
  <c r="D64" i="52"/>
  <c r="E130" i="49"/>
  <c r="I83"/>
  <c r="J83"/>
  <c r="F130"/>
  <c r="D65" i="52"/>
  <c r="D69"/>
  <c r="D70"/>
  <c r="D71"/>
  <c r="D72"/>
  <c r="D73"/>
  <c r="B185" i="49"/>
  <c r="K184"/>
  <c r="N184"/>
  <c r="E23" i="58"/>
  <c r="G23"/>
  <c r="I23" s="1"/>
  <c r="E50"/>
  <c r="F50" s="1"/>
  <c r="H50" s="1"/>
  <c r="F28" i="52"/>
  <c r="G22" i="26"/>
  <c r="L22"/>
  <c r="AB22"/>
  <c r="L184" i="49"/>
  <c r="O184"/>
  <c r="J184"/>
  <c r="M184"/>
  <c r="C184"/>
  <c r="C49" i="58"/>
  <c r="E49"/>
  <c r="F27" i="52"/>
  <c r="K27"/>
  <c r="G21" i="26"/>
  <c r="L21"/>
  <c r="T21" s="1"/>
  <c r="E24" i="58"/>
  <c r="F24" s="1"/>
  <c r="H24"/>
  <c r="K28" i="52"/>
  <c r="C183" i="49"/>
  <c r="J183"/>
  <c r="L183"/>
  <c r="O183"/>
  <c r="AD42" i="62"/>
  <c r="K183" i="49"/>
  <c r="N183"/>
  <c r="K182"/>
  <c r="N182"/>
  <c r="C175"/>
  <c r="C177"/>
  <c r="B35" i="46"/>
  <c r="E35"/>
  <c r="C179" i="49"/>
  <c r="C181"/>
  <c r="C20" i="58"/>
  <c r="J174" i="49"/>
  <c r="M174"/>
  <c r="Y174"/>
  <c r="Z174"/>
  <c r="AH174"/>
  <c r="L174"/>
  <c r="O174"/>
  <c r="K175"/>
  <c r="N175"/>
  <c r="Z34" i="66"/>
  <c r="J176" i="49"/>
  <c r="M176"/>
  <c r="L176"/>
  <c r="O176"/>
  <c r="AD35" i="62"/>
  <c r="K177" i="49"/>
  <c r="N177"/>
  <c r="J178"/>
  <c r="M178"/>
  <c r="L178"/>
  <c r="O178"/>
  <c r="K179"/>
  <c r="N179"/>
  <c r="J180"/>
  <c r="L180"/>
  <c r="O180"/>
  <c r="K181"/>
  <c r="N181"/>
  <c r="J182"/>
  <c r="M182"/>
  <c r="L182"/>
  <c r="C176"/>
  <c r="C180"/>
  <c r="E23" i="52"/>
  <c r="C182" i="49"/>
  <c r="K174"/>
  <c r="J175"/>
  <c r="M175"/>
  <c r="L175"/>
  <c r="O175"/>
  <c r="K176"/>
  <c r="N176"/>
  <c r="J177"/>
  <c r="M177"/>
  <c r="L177"/>
  <c r="O177"/>
  <c r="K178"/>
  <c r="N178"/>
  <c r="J179"/>
  <c r="M179"/>
  <c r="L179"/>
  <c r="K180"/>
  <c r="N180"/>
  <c r="J181"/>
  <c r="L181"/>
  <c r="O181"/>
  <c r="X20" i="26"/>
  <c r="X17"/>
  <c r="T15"/>
  <c r="AF11"/>
  <c r="T10"/>
  <c r="N15" i="50"/>
  <c r="M28"/>
  <c r="J21" i="49"/>
  <c r="K18"/>
  <c r="E19" s="1"/>
  <c r="I21"/>
  <c r="AD327" i="50"/>
  <c r="AD328" s="1"/>
  <c r="AD329" s="1"/>
  <c r="AD330" s="1"/>
  <c r="AD331" s="1"/>
  <c r="AD332" s="1"/>
  <c r="AD333" s="1"/>
  <c r="AC145"/>
  <c r="AC146" s="1"/>
  <c r="AC147" s="1"/>
  <c r="AC148" s="1"/>
  <c r="AC149" s="1"/>
  <c r="AC150" s="1"/>
  <c r="AC151" s="1"/>
  <c r="AE509"/>
  <c r="AE510" s="1"/>
  <c r="AE511" s="1"/>
  <c r="AE512" s="1"/>
  <c r="AE513" s="1"/>
  <c r="AE514" s="1"/>
  <c r="AE515" s="1"/>
  <c r="Y496"/>
  <c r="Y497"/>
  <c r="Y498" s="1"/>
  <c r="Y499"/>
  <c r="Y500" s="1"/>
  <c r="Y501" s="1"/>
  <c r="Y502" s="1"/>
  <c r="Y503" s="1"/>
  <c r="X496"/>
  <c r="X497"/>
  <c r="X498" s="1"/>
  <c r="X499" s="1"/>
  <c r="X500" s="1"/>
  <c r="X501" s="1"/>
  <c r="X502" s="1"/>
  <c r="X503" s="1"/>
  <c r="W496"/>
  <c r="AC132"/>
  <c r="AC133" s="1"/>
  <c r="AC134"/>
  <c r="AC135" s="1"/>
  <c r="AC136" s="1"/>
  <c r="AC137" s="1"/>
  <c r="AC138" s="1"/>
  <c r="AC139" s="1"/>
  <c r="AE132"/>
  <c r="AE133" s="1"/>
  <c r="AE134"/>
  <c r="AE135" s="1"/>
  <c r="AE136" s="1"/>
  <c r="AE137" s="1"/>
  <c r="AE138" s="1"/>
  <c r="AE139" s="1"/>
  <c r="AD132"/>
  <c r="AD133" s="1"/>
  <c r="AD134"/>
  <c r="AD135" s="1"/>
  <c r="AD136" s="1"/>
  <c r="AD137" s="1"/>
  <c r="AD138" s="1"/>
  <c r="AD139" s="1"/>
  <c r="AF314"/>
  <c r="AF315" s="1"/>
  <c r="AF316"/>
  <c r="AF317" s="1"/>
  <c r="AF318" s="1"/>
  <c r="AF319" s="1"/>
  <c r="AF320" s="1"/>
  <c r="AF321" s="1"/>
  <c r="AE302"/>
  <c r="AE303" s="1"/>
  <c r="AE304"/>
  <c r="AE305" s="1"/>
  <c r="AE306" s="1"/>
  <c r="AE307" s="1"/>
  <c r="AE308" s="1"/>
  <c r="AE309" s="1"/>
  <c r="Y120"/>
  <c r="Y121" s="1"/>
  <c r="Y122"/>
  <c r="Y123" s="1"/>
  <c r="Y124" s="1"/>
  <c r="Y125" s="1"/>
  <c r="Y126" s="1"/>
  <c r="Y127" s="1"/>
  <c r="W120"/>
  <c r="W121" s="1"/>
  <c r="W122"/>
  <c r="W123" s="1"/>
  <c r="W124" s="1"/>
  <c r="W125" s="1"/>
  <c r="W126" s="1"/>
  <c r="W127" s="1"/>
  <c r="AD436"/>
  <c r="AD437" s="1"/>
  <c r="AD438"/>
  <c r="AD439" s="1"/>
  <c r="AD440" s="1"/>
  <c r="AD441" s="1"/>
  <c r="AD442" s="1"/>
  <c r="AD443" s="1"/>
  <c r="AD460"/>
  <c r="AD461" s="1"/>
  <c r="AD462"/>
  <c r="AD463" s="1"/>
  <c r="AD464" s="1"/>
  <c r="AD465" s="1"/>
  <c r="AD466" s="1"/>
  <c r="AD467" s="1"/>
  <c r="V460"/>
  <c r="V461" s="1"/>
  <c r="V462"/>
  <c r="V463" s="1"/>
  <c r="V464" s="1"/>
  <c r="V465" s="1"/>
  <c r="V466" s="1"/>
  <c r="V467" s="1"/>
  <c r="AC460"/>
  <c r="AC461" s="1"/>
  <c r="AC462"/>
  <c r="AC463" s="1"/>
  <c r="AC464" s="1"/>
  <c r="AC465" s="1"/>
  <c r="AC466" s="1"/>
  <c r="AC467" s="1"/>
  <c r="U460"/>
  <c r="U461" s="1"/>
  <c r="U462" s="1"/>
  <c r="U463" s="1"/>
  <c r="U464" s="1"/>
  <c r="U465" s="1"/>
  <c r="U466" s="1"/>
  <c r="U467" s="1"/>
  <c r="AB460"/>
  <c r="AB461" s="1"/>
  <c r="AB462" s="1"/>
  <c r="AB463" s="1"/>
  <c r="AB464" s="1"/>
  <c r="AB465" s="1"/>
  <c r="AB466" s="1"/>
  <c r="AB467" s="1"/>
  <c r="T460"/>
  <c r="T461" s="1"/>
  <c r="T462" s="1"/>
  <c r="T463" s="1"/>
  <c r="T464" s="1"/>
  <c r="T465" s="1"/>
  <c r="T466" s="1"/>
  <c r="T467" s="1"/>
  <c r="AA460"/>
  <c r="AA461" s="1"/>
  <c r="AA462" s="1"/>
  <c r="AA463" s="1"/>
  <c r="AA464" s="1"/>
  <c r="AA465" s="1"/>
  <c r="AA466" s="1"/>
  <c r="AA467" s="1"/>
  <c r="AE544"/>
  <c r="AE545" s="1"/>
  <c r="AE546" s="1"/>
  <c r="AE547" s="1"/>
  <c r="AE548" s="1"/>
  <c r="AE549" s="1"/>
  <c r="AE550" s="1"/>
  <c r="AE551" s="1"/>
  <c r="X544"/>
  <c r="X545" s="1"/>
  <c r="X546" s="1"/>
  <c r="X547" s="1"/>
  <c r="X548" s="1"/>
  <c r="X549" s="1"/>
  <c r="X550" s="1"/>
  <c r="X551" s="1"/>
  <c r="AC338"/>
  <c r="AC339" s="1"/>
  <c r="AC340" s="1"/>
  <c r="AC341" s="1"/>
  <c r="AC342" s="1"/>
  <c r="AC343" s="1"/>
  <c r="AC344" s="1"/>
  <c r="AC345" s="1"/>
  <c r="W338"/>
  <c r="W339" s="1"/>
  <c r="W340" s="1"/>
  <c r="W341" s="1"/>
  <c r="W342" s="1"/>
  <c r="W343" s="1"/>
  <c r="W344" s="1"/>
  <c r="W345" s="1"/>
  <c r="Z326"/>
  <c r="Z327" s="1"/>
  <c r="Z328" s="1"/>
  <c r="Z329" s="1"/>
  <c r="Z330" s="1"/>
  <c r="Z331" s="1"/>
  <c r="Z332" s="1"/>
  <c r="Z333" s="1"/>
  <c r="T326"/>
  <c r="AB326"/>
  <c r="AB327"/>
  <c r="AB328" s="1"/>
  <c r="AB329" s="1"/>
  <c r="AB330" s="1"/>
  <c r="AB331" s="1"/>
  <c r="AB332" s="1"/>
  <c r="AB333" s="1"/>
  <c r="W326"/>
  <c r="W327"/>
  <c r="W328" s="1"/>
  <c r="W329" s="1"/>
  <c r="W330" s="1"/>
  <c r="W331" s="1"/>
  <c r="W332" s="1"/>
  <c r="W333" s="1"/>
  <c r="AE326"/>
  <c r="AE327"/>
  <c r="AE328" s="1"/>
  <c r="AE329" s="1"/>
  <c r="AE330" s="1"/>
  <c r="AE331" s="1"/>
  <c r="AE332" s="1"/>
  <c r="AE333" s="1"/>
  <c r="Y326"/>
  <c r="Y327"/>
  <c r="Y328" s="1"/>
  <c r="Y329" s="1"/>
  <c r="Y330" s="1"/>
  <c r="Y331" s="1"/>
  <c r="Y332" s="1"/>
  <c r="Y333" s="1"/>
  <c r="AG144"/>
  <c r="AG145"/>
  <c r="AG146" s="1"/>
  <c r="AG147" s="1"/>
  <c r="AG148" s="1"/>
  <c r="AG149" s="1"/>
  <c r="AG150" s="1"/>
  <c r="AG151" s="1"/>
  <c r="Z144"/>
  <c r="Z145"/>
  <c r="Z146" s="1"/>
  <c r="Z147" s="1"/>
  <c r="Z148" s="1"/>
  <c r="Z149" s="1"/>
  <c r="Z150" s="1"/>
  <c r="Z151" s="1"/>
  <c r="X144"/>
  <c r="X145"/>
  <c r="X146" s="1"/>
  <c r="X147" s="1"/>
  <c r="X148" s="1"/>
  <c r="X149" s="1"/>
  <c r="X150" s="1"/>
  <c r="X151" s="1"/>
  <c r="AD508"/>
  <c r="AD509"/>
  <c r="AD510" s="1"/>
  <c r="AD511" s="1"/>
  <c r="AD512" s="1"/>
  <c r="AD513" s="1"/>
  <c r="AD514" s="1"/>
  <c r="AD515" s="1"/>
  <c r="AA314"/>
  <c r="AA315"/>
  <c r="AA316" s="1"/>
  <c r="AA317" s="1"/>
  <c r="AA318" s="1"/>
  <c r="AA319" s="1"/>
  <c r="AA320" s="1"/>
  <c r="AA321" s="1"/>
  <c r="V314"/>
  <c r="V315"/>
  <c r="V316" s="1"/>
  <c r="V317" s="1"/>
  <c r="V318" s="1"/>
  <c r="V319" s="1"/>
  <c r="V320" s="1"/>
  <c r="V321" s="1"/>
  <c r="T314"/>
  <c r="T315"/>
  <c r="T316" s="1"/>
  <c r="T317" s="1"/>
  <c r="T318" s="1"/>
  <c r="T319" s="1"/>
  <c r="T320" s="1"/>
  <c r="T321" s="1"/>
  <c r="AA302"/>
  <c r="AA303"/>
  <c r="AA304" s="1"/>
  <c r="AA305" s="1"/>
  <c r="AA306" s="1"/>
  <c r="AA307" s="1"/>
  <c r="AA308" s="1"/>
  <c r="AA309" s="1"/>
  <c r="AC302"/>
  <c r="AC303"/>
  <c r="AC304" s="1"/>
  <c r="AC305" s="1"/>
  <c r="AC306" s="1"/>
  <c r="AC307" s="1"/>
  <c r="AC308" s="1"/>
  <c r="AC309" s="1"/>
  <c r="V302"/>
  <c r="V303"/>
  <c r="V304" s="1"/>
  <c r="V305" s="1"/>
  <c r="V306" s="1"/>
  <c r="V307" s="1"/>
  <c r="V308" s="1"/>
  <c r="V309" s="1"/>
  <c r="AD302"/>
  <c r="AD303"/>
  <c r="AD304" s="1"/>
  <c r="AD305" s="1"/>
  <c r="AD306" s="1"/>
  <c r="AD307" s="1"/>
  <c r="AD308" s="1"/>
  <c r="AD309" s="1"/>
  <c r="U120"/>
  <c r="U121"/>
  <c r="U122" s="1"/>
  <c r="U123" s="1"/>
  <c r="U124" s="1"/>
  <c r="U125" s="1"/>
  <c r="U126" s="1"/>
  <c r="U127" s="1"/>
  <c r="AA120"/>
  <c r="AA121"/>
  <c r="AA122" s="1"/>
  <c r="AA123" s="1"/>
  <c r="AA124" s="1"/>
  <c r="AA125" s="1"/>
  <c r="AA126" s="1"/>
  <c r="AA127" s="1"/>
  <c r="AG120"/>
  <c r="AG121"/>
  <c r="AG122" s="1"/>
  <c r="AG123" s="1"/>
  <c r="AG124" s="1"/>
  <c r="AG125" s="1"/>
  <c r="AG126" s="1"/>
  <c r="AG127" s="1"/>
  <c r="T120"/>
  <c r="X120"/>
  <c r="X121" s="1"/>
  <c r="X122" s="1"/>
  <c r="X123" s="1"/>
  <c r="X124" s="1"/>
  <c r="X125" s="1"/>
  <c r="X126" s="1"/>
  <c r="X127" s="1"/>
  <c r="AB120"/>
  <c r="AB121" s="1"/>
  <c r="AB122" s="1"/>
  <c r="AB123" s="1"/>
  <c r="AB124" s="1"/>
  <c r="AB125" s="1"/>
  <c r="AB126" s="1"/>
  <c r="AB127" s="1"/>
  <c r="AF120"/>
  <c r="AF121" s="1"/>
  <c r="AF122" s="1"/>
  <c r="AF123" s="1"/>
  <c r="AF124" s="1"/>
  <c r="AF125" s="1"/>
  <c r="AF126" s="1"/>
  <c r="AF127" s="1"/>
  <c r="AD120"/>
  <c r="AD121" s="1"/>
  <c r="AD122" s="1"/>
  <c r="AD123" s="1"/>
  <c r="AD124" s="1"/>
  <c r="AD125" s="1"/>
  <c r="AD126" s="1"/>
  <c r="AD127" s="1"/>
  <c r="V120"/>
  <c r="V121" s="1"/>
  <c r="V122" s="1"/>
  <c r="V123" s="1"/>
  <c r="V124" s="1"/>
  <c r="V125" s="1"/>
  <c r="V126" s="1"/>
  <c r="V127" s="1"/>
  <c r="AE290"/>
  <c r="AE291" s="1"/>
  <c r="AE292" s="1"/>
  <c r="AE293" s="1"/>
  <c r="AE294" s="1"/>
  <c r="AE295" s="1"/>
  <c r="AE296" s="1"/>
  <c r="AE297" s="1"/>
  <c r="AB290"/>
  <c r="AB291" s="1"/>
  <c r="AB292" s="1"/>
  <c r="AB293" s="1"/>
  <c r="AB294" s="1"/>
  <c r="AB295" s="1"/>
  <c r="AB296" s="1"/>
  <c r="AB297" s="1"/>
  <c r="AC290"/>
  <c r="AC291" s="1"/>
  <c r="AC292" s="1"/>
  <c r="AC293" s="1"/>
  <c r="AC294" s="1"/>
  <c r="AC295" s="1"/>
  <c r="AC296" s="1"/>
  <c r="AC297" s="1"/>
  <c r="AD278"/>
  <c r="AD279" s="1"/>
  <c r="AD280" s="1"/>
  <c r="AD281" s="1"/>
  <c r="AD282" s="1"/>
  <c r="AD283" s="1"/>
  <c r="AD284" s="1"/>
  <c r="AD285" s="1"/>
  <c r="V278"/>
  <c r="V279" s="1"/>
  <c r="V280" s="1"/>
  <c r="V281" s="1"/>
  <c r="V282" s="1"/>
  <c r="V283" s="1"/>
  <c r="V284" s="1"/>
  <c r="V285" s="1"/>
  <c r="AA278"/>
  <c r="AA279" s="1"/>
  <c r="AA280" s="1"/>
  <c r="AA281" s="1"/>
  <c r="AA282" s="1"/>
  <c r="AA283" s="1"/>
  <c r="AA284" s="1"/>
  <c r="AA285" s="1"/>
  <c r="AG278"/>
  <c r="AG279" s="1"/>
  <c r="AG280" s="1"/>
  <c r="AG281" s="1"/>
  <c r="AG282" s="1"/>
  <c r="AG283" s="1"/>
  <c r="AG284" s="1"/>
  <c r="AG285" s="1"/>
  <c r="Y278"/>
  <c r="Y279" s="1"/>
  <c r="Y280" s="1"/>
  <c r="Y281" s="1"/>
  <c r="Y282" s="1"/>
  <c r="Y283" s="1"/>
  <c r="Y284" s="1"/>
  <c r="Y285" s="1"/>
  <c r="AF278"/>
  <c r="AF279" s="1"/>
  <c r="AF280" s="1"/>
  <c r="AF281" s="1"/>
  <c r="AF282" s="1"/>
  <c r="AF283" s="1"/>
  <c r="AF284" s="1"/>
  <c r="AF285" s="1"/>
  <c r="X278"/>
  <c r="X279" s="1"/>
  <c r="X280" s="1"/>
  <c r="X281" s="1"/>
  <c r="X282" s="1"/>
  <c r="X283" s="1"/>
  <c r="X284" s="1"/>
  <c r="X285" s="1"/>
  <c r="J115" i="49"/>
  <c r="K112"/>
  <c r="AD448" i="50"/>
  <c r="AD449" s="1"/>
  <c r="AD450" s="1"/>
  <c r="AD451" s="1"/>
  <c r="AD452" s="1"/>
  <c r="AD453" s="1"/>
  <c r="AD454" s="1"/>
  <c r="AD455" s="1"/>
  <c r="V448"/>
  <c r="V449" s="1"/>
  <c r="V450" s="1"/>
  <c r="V451" s="1"/>
  <c r="V452" s="1"/>
  <c r="V453" s="1"/>
  <c r="V454" s="1"/>
  <c r="V455" s="1"/>
  <c r="AC448"/>
  <c r="AC449" s="1"/>
  <c r="AC450" s="1"/>
  <c r="AC451" s="1"/>
  <c r="AC452" s="1"/>
  <c r="AC453" s="1"/>
  <c r="AC454" s="1"/>
  <c r="AC455" s="1"/>
  <c r="U448"/>
  <c r="U449" s="1"/>
  <c r="U450" s="1"/>
  <c r="U451" s="1"/>
  <c r="U452" s="1"/>
  <c r="U453" s="1"/>
  <c r="U454" s="1"/>
  <c r="U455" s="1"/>
  <c r="AA448"/>
  <c r="AA449" s="1"/>
  <c r="AA450" s="1"/>
  <c r="AA451" s="1"/>
  <c r="AA452" s="1"/>
  <c r="AA453" s="1"/>
  <c r="AA454" s="1"/>
  <c r="AA455" s="1"/>
  <c r="AF448"/>
  <c r="AF449" s="1"/>
  <c r="AF450" s="1"/>
  <c r="AF451" s="1"/>
  <c r="AF452" s="1"/>
  <c r="AF453" s="1"/>
  <c r="AF454" s="1"/>
  <c r="AF455" s="1"/>
  <c r="AC84"/>
  <c r="AC85" s="1"/>
  <c r="AC86" s="1"/>
  <c r="AC87" s="1"/>
  <c r="AC88" s="1"/>
  <c r="AC89" s="1"/>
  <c r="AC90" s="1"/>
  <c r="AC91" s="1"/>
  <c r="AG84"/>
  <c r="AG85" s="1"/>
  <c r="AG86" s="1"/>
  <c r="AG87" s="1"/>
  <c r="AG88" s="1"/>
  <c r="AG89" s="1"/>
  <c r="AG90" s="1"/>
  <c r="AG91" s="1"/>
  <c r="U84"/>
  <c r="U85" s="1"/>
  <c r="U86" s="1"/>
  <c r="U87" s="1"/>
  <c r="U88" s="1"/>
  <c r="U89" s="1"/>
  <c r="W84"/>
  <c r="W85" s="1"/>
  <c r="W86" s="1"/>
  <c r="W87" s="1"/>
  <c r="W88" s="1"/>
  <c r="W89" s="1"/>
  <c r="W90" s="1"/>
  <c r="W91" s="1"/>
  <c r="AA84"/>
  <c r="AA85" s="1"/>
  <c r="AA86" s="1"/>
  <c r="AA87" s="1"/>
  <c r="AA88" s="1"/>
  <c r="AA89" s="1"/>
  <c r="AA90" s="1"/>
  <c r="AA91" s="1"/>
  <c r="AE84"/>
  <c r="AE85" s="1"/>
  <c r="AE86" s="1"/>
  <c r="AE87" s="1"/>
  <c r="AE88" s="1"/>
  <c r="AE89" s="1"/>
  <c r="AE90" s="1"/>
  <c r="AE91" s="1"/>
  <c r="AF84"/>
  <c r="AF85" s="1"/>
  <c r="AF86" s="1"/>
  <c r="AF87" s="1"/>
  <c r="AF88" s="1"/>
  <c r="AF89" s="1"/>
  <c r="AF90" s="1"/>
  <c r="AF91" s="1"/>
  <c r="AB84"/>
  <c r="AB85" s="1"/>
  <c r="AB86" s="1"/>
  <c r="AB87" s="1"/>
  <c r="AB88" s="1"/>
  <c r="AB89" s="1"/>
  <c r="AB90" s="1"/>
  <c r="AB91" s="1"/>
  <c r="X84"/>
  <c r="X85" s="1"/>
  <c r="X86" s="1"/>
  <c r="X87" s="1"/>
  <c r="X88" s="1"/>
  <c r="X89" s="1"/>
  <c r="X90" s="1"/>
  <c r="X91" s="1"/>
  <c r="Z84"/>
  <c r="Z85" s="1"/>
  <c r="Z86" s="1"/>
  <c r="Z87" s="1"/>
  <c r="Z88" s="1"/>
  <c r="Z89" s="1"/>
  <c r="Z90" s="1"/>
  <c r="Z91" s="1"/>
  <c r="X436"/>
  <c r="X437" s="1"/>
  <c r="X438" s="1"/>
  <c r="X439" s="1"/>
  <c r="X440" s="1"/>
  <c r="X441" s="1"/>
  <c r="X442" s="1"/>
  <c r="X443" s="1"/>
  <c r="AF436"/>
  <c r="AF437" s="1"/>
  <c r="AF438" s="1"/>
  <c r="AF439" s="1"/>
  <c r="AF440" s="1"/>
  <c r="AF441" s="1"/>
  <c r="AF442" s="1"/>
  <c r="AF443" s="1"/>
  <c r="AA436"/>
  <c r="AA437" s="1"/>
  <c r="AA438" s="1"/>
  <c r="AA439" s="1"/>
  <c r="AA440" s="1"/>
  <c r="AA441" s="1"/>
  <c r="AA442" s="1"/>
  <c r="AA443" s="1"/>
  <c r="U436"/>
  <c r="U437" s="1"/>
  <c r="U438" s="1"/>
  <c r="U439" s="1"/>
  <c r="U440" s="1"/>
  <c r="U441" s="1"/>
  <c r="U442" s="1"/>
  <c r="U443" s="1"/>
  <c r="AC436"/>
  <c r="AC437" s="1"/>
  <c r="AC438" s="1"/>
  <c r="AC439" s="1"/>
  <c r="AC440" s="1"/>
  <c r="AC441" s="1"/>
  <c r="AC442" s="1"/>
  <c r="AC443" s="1"/>
  <c r="V436"/>
  <c r="V437" s="1"/>
  <c r="V438" s="1"/>
  <c r="V439" s="1"/>
  <c r="V440" s="1"/>
  <c r="V441" s="1"/>
  <c r="V442" s="1"/>
  <c r="V443" s="1"/>
  <c r="X254"/>
  <c r="X255" s="1"/>
  <c r="X256" s="1"/>
  <c r="X257" s="1"/>
  <c r="X258" s="1"/>
  <c r="X259" s="1"/>
  <c r="X260" s="1"/>
  <c r="X261" s="1"/>
  <c r="AF254"/>
  <c r="AF255" s="1"/>
  <c r="AF256" s="1"/>
  <c r="AF257" s="1"/>
  <c r="AF258" s="1"/>
  <c r="AF259" s="1"/>
  <c r="AF260" s="1"/>
  <c r="AF261" s="1"/>
  <c r="Z254"/>
  <c r="Z255" s="1"/>
  <c r="Z256" s="1"/>
  <c r="Z257" s="1"/>
  <c r="Z258" s="1"/>
  <c r="Z259" s="1"/>
  <c r="Z260" s="1"/>
  <c r="Z261" s="1"/>
  <c r="W254"/>
  <c r="W255" s="1"/>
  <c r="W256" s="1"/>
  <c r="W257" s="1"/>
  <c r="AE254"/>
  <c r="AE255" s="1"/>
  <c r="AE256" s="1"/>
  <c r="AE257" s="1"/>
  <c r="AE258" s="1"/>
  <c r="AE259" s="1"/>
  <c r="AE260" s="1"/>
  <c r="AE261" s="1"/>
  <c r="Y254"/>
  <c r="Y255" s="1"/>
  <c r="Y256" s="1"/>
  <c r="Y257" s="1"/>
  <c r="Y258" s="1"/>
  <c r="Y259" s="1"/>
  <c r="Y260" s="1"/>
  <c r="Y261" s="1"/>
  <c r="AG72"/>
  <c r="AG73" s="1"/>
  <c r="AG74" s="1"/>
  <c r="AG75" s="1"/>
  <c r="AG76" s="1"/>
  <c r="AG77" s="1"/>
  <c r="AG78" s="1"/>
  <c r="AG79" s="1"/>
  <c r="Y72"/>
  <c r="Y73" s="1"/>
  <c r="Y74" s="1"/>
  <c r="Y75" s="1"/>
  <c r="Y76" s="1"/>
  <c r="Y77" s="1"/>
  <c r="Y78" s="1"/>
  <c r="Y79" s="1"/>
  <c r="AA72"/>
  <c r="AA73" s="1"/>
  <c r="AA74" s="1"/>
  <c r="AA75" s="1"/>
  <c r="AA76" s="1"/>
  <c r="AA77" s="1"/>
  <c r="AA78" s="1"/>
  <c r="AA79" s="1"/>
  <c r="V72"/>
  <c r="V73" s="1"/>
  <c r="V74" s="1"/>
  <c r="V75" s="1"/>
  <c r="V76" s="1"/>
  <c r="V77" s="1"/>
  <c r="V78" s="1"/>
  <c r="V79" s="1"/>
  <c r="T72"/>
  <c r="T73" s="1"/>
  <c r="T74" s="1"/>
  <c r="T75" s="1"/>
  <c r="T76" s="1"/>
  <c r="T77" s="1"/>
  <c r="T78" s="1"/>
  <c r="AB72"/>
  <c r="AB73"/>
  <c r="AB74" s="1"/>
  <c r="AB75" s="1"/>
  <c r="AB76" s="1"/>
  <c r="AB77" s="1"/>
  <c r="AB78" s="1"/>
  <c r="AB79" s="1"/>
  <c r="I112" i="49"/>
  <c r="Y544" i="50"/>
  <c r="Y545" s="1"/>
  <c r="Y546" s="1"/>
  <c r="Y547" s="1"/>
  <c r="Y548" s="1"/>
  <c r="Y549" s="1"/>
  <c r="Y550" s="1"/>
  <c r="Y551" s="1"/>
  <c r="V544"/>
  <c r="V545" s="1"/>
  <c r="V546" s="1"/>
  <c r="V547" s="1"/>
  <c r="V548" s="1"/>
  <c r="V549" s="1"/>
  <c r="V550" s="1"/>
  <c r="V551" s="1"/>
  <c r="AA544"/>
  <c r="AA545" s="1"/>
  <c r="AA546" s="1"/>
  <c r="AA547" s="1"/>
  <c r="AA548" s="1"/>
  <c r="AA549" s="1"/>
  <c r="AA550" s="1"/>
  <c r="AA551" s="1"/>
  <c r="AC544"/>
  <c r="AC545" s="1"/>
  <c r="AC546" s="1"/>
  <c r="AC547" s="1"/>
  <c r="AC548" s="1"/>
  <c r="AC549" s="1"/>
  <c r="AC550" s="1"/>
  <c r="AC551" s="1"/>
  <c r="AF544"/>
  <c r="AF545" s="1"/>
  <c r="AF546" s="1"/>
  <c r="AF547" s="1"/>
  <c r="AF548" s="1"/>
  <c r="AF549" s="1"/>
  <c r="AF550" s="1"/>
  <c r="AF551" s="1"/>
  <c r="W544"/>
  <c r="W545" s="1"/>
  <c r="W546" s="1"/>
  <c r="W547" s="1"/>
  <c r="W548" s="1"/>
  <c r="W549" s="1"/>
  <c r="W550" s="1"/>
  <c r="W551" s="1"/>
  <c r="T532"/>
  <c r="V532"/>
  <c r="V533"/>
  <c r="V534" s="1"/>
  <c r="V535" s="1"/>
  <c r="V536" s="1"/>
  <c r="V537" s="1"/>
  <c r="V538" s="1"/>
  <c r="V539" s="1"/>
  <c r="U338"/>
  <c r="U339"/>
  <c r="U340" s="1"/>
  <c r="U341" s="1"/>
  <c r="U342" s="1"/>
  <c r="U343" s="1"/>
  <c r="U344" s="1"/>
  <c r="U345" s="1"/>
  <c r="AD338"/>
  <c r="AD339"/>
  <c r="AD340" s="1"/>
  <c r="AD341" s="1"/>
  <c r="AD342" s="1"/>
  <c r="AD343" s="1"/>
  <c r="AD344" s="1"/>
  <c r="AD345" s="1"/>
  <c r="Z338"/>
  <c r="Z339"/>
  <c r="Z340" s="1"/>
  <c r="Z341" s="1"/>
  <c r="Z342" s="1"/>
  <c r="Z343" s="1"/>
  <c r="Z344" s="1"/>
  <c r="Z345" s="1"/>
  <c r="V338"/>
  <c r="V339"/>
  <c r="V340" s="1"/>
  <c r="V341" s="1"/>
  <c r="V342" s="1"/>
  <c r="V343" s="1"/>
  <c r="V344" s="1"/>
  <c r="V345" s="1"/>
  <c r="AF338"/>
  <c r="AF339"/>
  <c r="AF340" s="1"/>
  <c r="AF341" s="1"/>
  <c r="AF342" s="1"/>
  <c r="AF343" s="1"/>
  <c r="AF344" s="1"/>
  <c r="AF345" s="1"/>
  <c r="AB338"/>
  <c r="AB339"/>
  <c r="AB340" s="1"/>
  <c r="AB341" s="1"/>
  <c r="AB342" s="1"/>
  <c r="AB343" s="1"/>
  <c r="AB344" s="1"/>
  <c r="AB345" s="1"/>
  <c r="X338"/>
  <c r="X339"/>
  <c r="X340" s="1"/>
  <c r="X341" s="1"/>
  <c r="X342" s="1"/>
  <c r="X343" s="1"/>
  <c r="X344" s="1"/>
  <c r="X345" s="1"/>
  <c r="AA338"/>
  <c r="AA339"/>
  <c r="AA340" s="1"/>
  <c r="AA341" s="1"/>
  <c r="AA342" s="1"/>
  <c r="AA343" s="1"/>
  <c r="AA344" s="1"/>
  <c r="AA345" s="1"/>
  <c r="J128" i="49"/>
  <c r="B167" i="50"/>
  <c r="AF168" s="1"/>
  <c r="AF169" s="1"/>
  <c r="AF170" s="1"/>
  <c r="AF171" s="1"/>
  <c r="AF172" s="1"/>
  <c r="AF173" s="1"/>
  <c r="AF174" s="1"/>
  <c r="AF175" s="1"/>
  <c r="D82" i="49"/>
  <c r="B349" i="50"/>
  <c r="AD350" s="1"/>
  <c r="AD351" s="1"/>
  <c r="AD352" s="1"/>
  <c r="AD353" s="1"/>
  <c r="AD354" s="1"/>
  <c r="AD355" s="1"/>
  <c r="AD356" s="1"/>
  <c r="AD357" s="1"/>
  <c r="J130" i="49"/>
  <c r="T544" i="50"/>
  <c r="T545" s="1"/>
  <c r="T546" s="1"/>
  <c r="T547" s="1"/>
  <c r="T548" s="1"/>
  <c r="T549" s="1"/>
  <c r="T550" s="1"/>
  <c r="T551" s="1"/>
  <c r="AG544"/>
  <c r="AG545" s="1"/>
  <c r="AG546" s="1"/>
  <c r="AG547" s="1"/>
  <c r="AG548" s="1"/>
  <c r="AG549" s="1"/>
  <c r="AG550" s="1"/>
  <c r="AG551" s="1"/>
  <c r="C179"/>
  <c r="AD180" s="1"/>
  <c r="AD181" s="1"/>
  <c r="AD182" s="1"/>
  <c r="AD183" s="1"/>
  <c r="AD184" s="1"/>
  <c r="AD185" s="1"/>
  <c r="AD186" s="1"/>
  <c r="AD187" s="1"/>
  <c r="C361"/>
  <c r="I34" i="49"/>
  <c r="C519" i="50"/>
  <c r="W520"/>
  <c r="W521" s="1"/>
  <c r="W522" s="1"/>
  <c r="W523" s="1"/>
  <c r="W524" s="1"/>
  <c r="W525" s="1"/>
  <c r="W526" s="1"/>
  <c r="W527" s="1"/>
  <c r="C155"/>
  <c r="T508"/>
  <c r="T509"/>
  <c r="T510" s="1"/>
  <c r="T511" s="1"/>
  <c r="T512" s="1"/>
  <c r="T513" s="1"/>
  <c r="T514" s="1"/>
  <c r="T515" s="1"/>
  <c r="AB508"/>
  <c r="AB509"/>
  <c r="AB510" s="1"/>
  <c r="AB511" s="1"/>
  <c r="AB512" s="1"/>
  <c r="AB513" s="1"/>
  <c r="AB514" s="1"/>
  <c r="AB515" s="1"/>
  <c r="U508"/>
  <c r="U509"/>
  <c r="U510" s="1"/>
  <c r="U511" s="1"/>
  <c r="U512" s="1"/>
  <c r="U513" s="1"/>
  <c r="U514" s="1"/>
  <c r="U515" s="1"/>
  <c r="T442"/>
  <c r="T443"/>
  <c r="T260"/>
  <c r="T261"/>
  <c r="T430"/>
  <c r="T431"/>
  <c r="T66"/>
  <c r="T67"/>
  <c r="A244"/>
  <c r="AL243"/>
  <c r="G22" i="58"/>
  <c r="I22"/>
  <c r="I175" i="49"/>
  <c r="I178"/>
  <c r="I184"/>
  <c r="B186"/>
  <c r="K185"/>
  <c r="N185"/>
  <c r="L185"/>
  <c r="J185"/>
  <c r="M185"/>
  <c r="C185"/>
  <c r="E27" i="52"/>
  <c r="B20" i="57"/>
  <c r="E20" i="26"/>
  <c r="E26" i="52"/>
  <c r="C48" i="58"/>
  <c r="C22"/>
  <c r="E21" i="26"/>
  <c r="B21" i="57"/>
  <c r="C19" i="58"/>
  <c r="C45"/>
  <c r="E18" i="26"/>
  <c r="C16" i="58"/>
  <c r="I177" i="49"/>
  <c r="C178"/>
  <c r="C17" i="58"/>
  <c r="B19" i="57"/>
  <c r="E25" i="52"/>
  <c r="C21" i="58"/>
  <c r="C47"/>
  <c r="E19" i="26"/>
  <c r="C15" i="58"/>
  <c r="B13" i="57"/>
  <c r="B34" i="46"/>
  <c r="E34"/>
  <c r="E13" i="26"/>
  <c r="B15" i="53"/>
  <c r="C41" i="58"/>
  <c r="E19" i="52"/>
  <c r="B16" i="57"/>
  <c r="E16" i="26"/>
  <c r="C44" i="58"/>
  <c r="E22" i="52"/>
  <c r="C18" i="58"/>
  <c r="B14" i="53"/>
  <c r="B12" i="46"/>
  <c r="E12"/>
  <c r="B12" i="57"/>
  <c r="E12" i="26"/>
  <c r="C14" i="58"/>
  <c r="B33" i="46"/>
  <c r="E33" s="1"/>
  <c r="E18" i="52"/>
  <c r="C40" i="58"/>
  <c r="W497" i="50"/>
  <c r="J22" i="49"/>
  <c r="J30"/>
  <c r="J31"/>
  <c r="J32"/>
  <c r="J33"/>
  <c r="J35"/>
  <c r="J36"/>
  <c r="J25"/>
  <c r="J26"/>
  <c r="J27"/>
  <c r="J28"/>
  <c r="J29"/>
  <c r="J34"/>
  <c r="I25"/>
  <c r="I26"/>
  <c r="I30"/>
  <c r="I31"/>
  <c r="I32"/>
  <c r="I33"/>
  <c r="I35"/>
  <c r="I36"/>
  <c r="I22"/>
  <c r="I27"/>
  <c r="I28"/>
  <c r="I29"/>
  <c r="K21"/>
  <c r="K31" s="1"/>
  <c r="L18"/>
  <c r="J120"/>
  <c r="J121"/>
  <c r="J119"/>
  <c r="J122"/>
  <c r="J123"/>
  <c r="J125"/>
  <c r="J126"/>
  <c r="J124"/>
  <c r="J127"/>
  <c r="I115"/>
  <c r="E113"/>
  <c r="K115"/>
  <c r="L112"/>
  <c r="T121" i="50"/>
  <c r="T122"/>
  <c r="T123" s="1"/>
  <c r="T124" s="1"/>
  <c r="T125" s="1"/>
  <c r="T126" s="1"/>
  <c r="T127" s="1"/>
  <c r="T327"/>
  <c r="T328" s="1"/>
  <c r="T329" s="1"/>
  <c r="T330" s="1"/>
  <c r="T331" s="1"/>
  <c r="T332" s="1"/>
  <c r="T333" s="1"/>
  <c r="T533"/>
  <c r="T534"/>
  <c r="T535" s="1"/>
  <c r="T536" s="1"/>
  <c r="T537" s="1"/>
  <c r="T538" s="1"/>
  <c r="T539" s="1"/>
  <c r="X520"/>
  <c r="X521" s="1"/>
  <c r="X522" s="1"/>
  <c r="X523" s="1"/>
  <c r="X524" s="1"/>
  <c r="X525" s="1"/>
  <c r="X526" s="1"/>
  <c r="X527" s="1"/>
  <c r="Z520"/>
  <c r="Z521" s="1"/>
  <c r="Z522" s="1"/>
  <c r="Z523" s="1"/>
  <c r="Z524" s="1"/>
  <c r="Z525" s="1"/>
  <c r="Z526" s="1"/>
  <c r="Z527" s="1"/>
  <c r="AC520"/>
  <c r="AC521" s="1"/>
  <c r="AC522" s="1"/>
  <c r="AC523" s="1"/>
  <c r="AC524" s="1"/>
  <c r="AC525" s="1"/>
  <c r="AC526" s="1"/>
  <c r="AC527" s="1"/>
  <c r="V180"/>
  <c r="V181" s="1"/>
  <c r="V182" s="1"/>
  <c r="V183" s="1"/>
  <c r="V184" s="1"/>
  <c r="V185" s="1"/>
  <c r="V186" s="1"/>
  <c r="V187" s="1"/>
  <c r="T180"/>
  <c r="T181" s="1"/>
  <c r="T182" s="1"/>
  <c r="T183" s="1"/>
  <c r="T184" s="1"/>
  <c r="T185" s="1"/>
  <c r="T186" s="1"/>
  <c r="T187" s="1"/>
  <c r="Z180"/>
  <c r="Z181" s="1"/>
  <c r="Z182" s="1"/>
  <c r="Z183" s="1"/>
  <c r="Z184" s="1"/>
  <c r="Z185" s="1"/>
  <c r="Z186" s="1"/>
  <c r="Z187" s="1"/>
  <c r="X180"/>
  <c r="X181" s="1"/>
  <c r="X182" s="1"/>
  <c r="X183" s="1"/>
  <c r="X184" s="1"/>
  <c r="X185" s="1"/>
  <c r="X186" s="1"/>
  <c r="X187" s="1"/>
  <c r="AA180"/>
  <c r="AA181" s="1"/>
  <c r="AA182" s="1"/>
  <c r="AA183" s="1"/>
  <c r="AA184" s="1"/>
  <c r="AA185" s="1"/>
  <c r="AA186" s="1"/>
  <c r="AA187" s="1"/>
  <c r="AC180"/>
  <c r="AC181" s="1"/>
  <c r="AC182" s="1"/>
  <c r="AC183" s="1"/>
  <c r="AC184" s="1"/>
  <c r="AC185" s="1"/>
  <c r="AC186" s="1"/>
  <c r="AC187" s="1"/>
  <c r="AE180"/>
  <c r="AE181" s="1"/>
  <c r="AE182" s="1"/>
  <c r="AE183" s="1"/>
  <c r="AE184" s="1"/>
  <c r="AE185" s="1"/>
  <c r="AE186" s="1"/>
  <c r="AE187" s="1"/>
  <c r="AF350"/>
  <c r="AF351" s="1"/>
  <c r="AF352" s="1"/>
  <c r="AF353" s="1"/>
  <c r="AF354" s="1"/>
  <c r="AF355" s="1"/>
  <c r="AF356" s="1"/>
  <c r="AF357" s="1"/>
  <c r="X350"/>
  <c r="X351" s="1"/>
  <c r="X352" s="1"/>
  <c r="X353" s="1"/>
  <c r="X354" s="1"/>
  <c r="X355" s="1"/>
  <c r="X356" s="1"/>
  <c r="X357" s="1"/>
  <c r="Z350"/>
  <c r="Z351" s="1"/>
  <c r="Z352" s="1"/>
  <c r="Z353" s="1"/>
  <c r="Z354" s="1"/>
  <c r="Z355" s="1"/>
  <c r="Z356" s="1"/>
  <c r="Z357" s="1"/>
  <c r="Y350"/>
  <c r="Y351" s="1"/>
  <c r="Y352" s="1"/>
  <c r="Y353" s="1"/>
  <c r="Y354" s="1"/>
  <c r="Y355" s="1"/>
  <c r="Y356" s="1"/>
  <c r="Y357" s="1"/>
  <c r="W350"/>
  <c r="W351" s="1"/>
  <c r="W352" s="1"/>
  <c r="W353" s="1"/>
  <c r="W354" s="1"/>
  <c r="W355" s="1"/>
  <c r="W356" s="1"/>
  <c r="W357" s="1"/>
  <c r="W168"/>
  <c r="W169" s="1"/>
  <c r="W170" s="1"/>
  <c r="W171" s="1"/>
  <c r="W172" s="1"/>
  <c r="W173" s="1"/>
  <c r="W174" s="1"/>
  <c r="W175" s="1"/>
  <c r="U168"/>
  <c r="U169" s="1"/>
  <c r="U170" s="1"/>
  <c r="U171" s="1"/>
  <c r="U172" s="1"/>
  <c r="U173" s="1"/>
  <c r="U174" s="1"/>
  <c r="V168"/>
  <c r="V169"/>
  <c r="V170" s="1"/>
  <c r="V171" s="1"/>
  <c r="V172" s="1"/>
  <c r="V173" s="1"/>
  <c r="V174" s="1"/>
  <c r="V175" s="1"/>
  <c r="AL244"/>
  <c r="A245"/>
  <c r="A246" s="1"/>
  <c r="A247" s="1"/>
  <c r="X156"/>
  <c r="X157"/>
  <c r="X158" s="1"/>
  <c r="X159" s="1"/>
  <c r="X160" s="1"/>
  <c r="X161" s="1"/>
  <c r="X162" s="1"/>
  <c r="X163" s="1"/>
  <c r="AB156"/>
  <c r="AB157"/>
  <c r="AB158" s="1"/>
  <c r="AB159" s="1"/>
  <c r="AB160" s="1"/>
  <c r="AB161" s="1"/>
  <c r="AB162" s="1"/>
  <c r="AB163" s="1"/>
  <c r="Y156"/>
  <c r="Y157"/>
  <c r="Y158" s="1"/>
  <c r="Y159" s="1"/>
  <c r="Y160" s="1"/>
  <c r="Y161" s="1"/>
  <c r="Y162" s="1"/>
  <c r="Y163" s="1"/>
  <c r="U156"/>
  <c r="U157"/>
  <c r="U158" s="1"/>
  <c r="U159" s="1"/>
  <c r="U160" s="1"/>
  <c r="U161" s="1"/>
  <c r="U162" s="1"/>
  <c r="AG156"/>
  <c r="AG157" s="1"/>
  <c r="AG158" s="1"/>
  <c r="AG159" s="1"/>
  <c r="AG160" s="1"/>
  <c r="AG161" s="1"/>
  <c r="AG162" s="1"/>
  <c r="AG163" s="1"/>
  <c r="AC156"/>
  <c r="AC157" s="1"/>
  <c r="AC158" s="1"/>
  <c r="AC159" s="1"/>
  <c r="AC160" s="1"/>
  <c r="AC161" s="1"/>
  <c r="AC162" s="1"/>
  <c r="AC163" s="1"/>
  <c r="AE156"/>
  <c r="AE157" s="1"/>
  <c r="AE158" s="1"/>
  <c r="AE159" s="1"/>
  <c r="AE160" s="1"/>
  <c r="AE161" s="1"/>
  <c r="AE162" s="1"/>
  <c r="AE163" s="1"/>
  <c r="AA156"/>
  <c r="AA157" s="1"/>
  <c r="AA158" s="1"/>
  <c r="AA159" s="1"/>
  <c r="AA160" s="1"/>
  <c r="AA161" s="1"/>
  <c r="AA162" s="1"/>
  <c r="AA163" s="1"/>
  <c r="W156"/>
  <c r="W157" s="1"/>
  <c r="W158" s="1"/>
  <c r="W159" s="1"/>
  <c r="W160" s="1"/>
  <c r="W161" s="1"/>
  <c r="W162" s="1"/>
  <c r="W163" s="1"/>
  <c r="V156"/>
  <c r="V157" s="1"/>
  <c r="V158" s="1"/>
  <c r="V159" s="1"/>
  <c r="V160" s="1"/>
  <c r="V161" s="1"/>
  <c r="V162" s="1"/>
  <c r="V163" s="1"/>
  <c r="Z156"/>
  <c r="Z157" s="1"/>
  <c r="Z158" s="1"/>
  <c r="Z159" s="1"/>
  <c r="Z160" s="1"/>
  <c r="Z161" s="1"/>
  <c r="Z162" s="1"/>
  <c r="Z163" s="1"/>
  <c r="AF156"/>
  <c r="AF157" s="1"/>
  <c r="AF158" s="1"/>
  <c r="AF159" s="1"/>
  <c r="AF160" s="1"/>
  <c r="AF161" s="1"/>
  <c r="AF162" s="1"/>
  <c r="AF163" s="1"/>
  <c r="AD156"/>
  <c r="AD157" s="1"/>
  <c r="AD158" s="1"/>
  <c r="AD159" s="1"/>
  <c r="AD160" s="1"/>
  <c r="AD161" s="1"/>
  <c r="AD162" s="1"/>
  <c r="AD163" s="1"/>
  <c r="T156"/>
  <c r="T157" s="1"/>
  <c r="T158" s="1"/>
  <c r="T159" s="1"/>
  <c r="T160" s="1"/>
  <c r="T161" s="1"/>
  <c r="T162" s="1"/>
  <c r="T163" s="1"/>
  <c r="D129" i="49"/>
  <c r="I82"/>
  <c r="F82"/>
  <c r="J82"/>
  <c r="C50" i="58"/>
  <c r="E28" i="52"/>
  <c r="B22" i="57"/>
  <c r="B187" i="49"/>
  <c r="K186"/>
  <c r="N186"/>
  <c r="L186"/>
  <c r="J186"/>
  <c r="M186"/>
  <c r="C186"/>
  <c r="E26" i="58"/>
  <c r="G26" s="1"/>
  <c r="I26" s="1"/>
  <c r="F30" i="52"/>
  <c r="L23" i="26"/>
  <c r="T23" s="1"/>
  <c r="K29" i="52"/>
  <c r="K30"/>
  <c r="L24" i="26"/>
  <c r="AB24" s="1"/>
  <c r="AC24" s="1"/>
  <c r="E52" i="58"/>
  <c r="G52"/>
  <c r="I52" s="1"/>
  <c r="E25"/>
  <c r="G25" s="1"/>
  <c r="I25" s="1"/>
  <c r="G23" i="26"/>
  <c r="E51" i="58"/>
  <c r="F29" i="52"/>
  <c r="G24" i="26"/>
  <c r="C43" i="58"/>
  <c r="E15" i="26"/>
  <c r="B15" i="57"/>
  <c r="K34" i="49"/>
  <c r="K32"/>
  <c r="K35"/>
  <c r="K28"/>
  <c r="K25"/>
  <c r="K22"/>
  <c r="K36"/>
  <c r="W498" i="50"/>
  <c r="W499"/>
  <c r="W500" s="1"/>
  <c r="W501" s="1"/>
  <c r="W502" s="1"/>
  <c r="W503" s="1"/>
  <c r="L21" i="49"/>
  <c r="L31"/>
  <c r="M18"/>
  <c r="N18"/>
  <c r="K119"/>
  <c r="K120"/>
  <c r="K121"/>
  <c r="K122"/>
  <c r="K125"/>
  <c r="K123"/>
  <c r="K124"/>
  <c r="K128"/>
  <c r="K130"/>
  <c r="K127"/>
  <c r="K126"/>
  <c r="I119"/>
  <c r="I120"/>
  <c r="I121"/>
  <c r="I122"/>
  <c r="I125"/>
  <c r="I130"/>
  <c r="I123"/>
  <c r="I124"/>
  <c r="I128"/>
  <c r="I126"/>
  <c r="I127"/>
  <c r="M112"/>
  <c r="M115"/>
  <c r="L115"/>
  <c r="L129"/>
  <c r="F129"/>
  <c r="I129"/>
  <c r="K129"/>
  <c r="J129"/>
  <c r="K187"/>
  <c r="N187"/>
  <c r="L187"/>
  <c r="O187"/>
  <c r="J187"/>
  <c r="M187"/>
  <c r="C187"/>
  <c r="L32"/>
  <c r="L121"/>
  <c r="L122"/>
  <c r="L124"/>
  <c r="C26" i="58"/>
  <c r="P18" i="59"/>
  <c r="Q18"/>
  <c r="J21"/>
  <c r="L21"/>
  <c r="N21"/>
  <c r="K21"/>
  <c r="M21"/>
  <c r="P17"/>
  <c r="M58" i="67"/>
  <c r="J99" i="49"/>
  <c r="E390" i="50"/>
  <c r="E377"/>
  <c r="E207"/>
  <c r="E196"/>
  <c r="E195"/>
  <c r="E206"/>
  <c r="E210"/>
  <c r="E376"/>
  <c r="E380"/>
  <c r="A12" i="59"/>
  <c r="P16"/>
  <c r="Q16"/>
  <c r="Q21"/>
  <c r="AP48" i="3"/>
  <c r="M57" i="66"/>
  <c r="E402" i="50"/>
  <c r="E404"/>
  <c r="E392"/>
  <c r="E388"/>
  <c r="E219"/>
  <c r="E198"/>
  <c r="E194"/>
  <c r="E208"/>
  <c r="A18" i="59"/>
  <c r="X14" i="26"/>
  <c r="AB14"/>
  <c r="AC14"/>
  <c r="AF14"/>
  <c r="P14"/>
  <c r="AF13"/>
  <c r="G39" i="58"/>
  <c r="I39" s="1"/>
  <c r="F39"/>
  <c r="H39" s="1"/>
  <c r="AB10" i="26"/>
  <c r="AC10" s="1"/>
  <c r="P10"/>
  <c r="AF10"/>
  <c r="A12" i="55"/>
  <c r="AB20" i="26"/>
  <c r="AC20"/>
  <c r="P20"/>
  <c r="G47" i="58"/>
  <c r="I47" s="1"/>
  <c r="F47"/>
  <c r="H47" s="1"/>
  <c r="P17" i="26"/>
  <c r="AB17"/>
  <c r="AF17"/>
  <c r="F40" i="58"/>
  <c r="H40"/>
  <c r="G40"/>
  <c r="I40"/>
  <c r="X13" i="26"/>
  <c r="C51" i="58"/>
  <c r="O21" i="59"/>
  <c r="A13" i="55"/>
  <c r="C54" i="58"/>
  <c r="C29"/>
  <c r="F33" i="52"/>
  <c r="E31"/>
  <c r="B25" i="57"/>
  <c r="B28"/>
  <c r="F31" i="52"/>
  <c r="L29" i="26"/>
  <c r="T29" s="1"/>
  <c r="K35" i="52"/>
  <c r="E28" i="26"/>
  <c r="E54" i="58"/>
  <c r="G54" s="1"/>
  <c r="I54" s="1"/>
  <c r="C56"/>
  <c r="E28"/>
  <c r="G28" s="1"/>
  <c r="I28" s="1"/>
  <c r="E34" i="52"/>
  <c r="K34"/>
  <c r="L27" i="26"/>
  <c r="T27"/>
  <c r="F32" i="52"/>
  <c r="E55" i="58"/>
  <c r="G55" s="1"/>
  <c r="I55" s="1"/>
  <c r="K31" i="52"/>
  <c r="E57" i="58"/>
  <c r="F57" s="1"/>
  <c r="H57" s="1"/>
  <c r="C53"/>
  <c r="E26" i="26"/>
  <c r="E29"/>
  <c r="L28"/>
  <c r="AF28" s="1"/>
  <c r="E33" i="52"/>
  <c r="E31" i="58"/>
  <c r="F31"/>
  <c r="H31" s="1"/>
  <c r="L25" i="26"/>
  <c r="AF25" s="1"/>
  <c r="E53" i="58"/>
  <c r="F53" s="1"/>
  <c r="H53" s="1"/>
  <c r="E56"/>
  <c r="F56"/>
  <c r="H56" s="1"/>
  <c r="E27" i="26"/>
  <c r="E25"/>
  <c r="C30" i="58"/>
  <c r="G29" i="26"/>
  <c r="N29"/>
  <c r="C31" i="58"/>
  <c r="C28"/>
  <c r="G28" i="26"/>
  <c r="N28"/>
  <c r="R28" s="1"/>
  <c r="G25"/>
  <c r="F34" i="52"/>
  <c r="B26" i="57"/>
  <c r="E30" i="58"/>
  <c r="G30"/>
  <c r="I30" s="1"/>
  <c r="B29" i="57"/>
  <c r="E32" i="52"/>
  <c r="E27" i="58"/>
  <c r="G27" s="1"/>
  <c r="I27" s="1"/>
  <c r="B27" i="57"/>
  <c r="E35" i="52"/>
  <c r="L26" i="26"/>
  <c r="P26"/>
  <c r="K32" i="52"/>
  <c r="F35"/>
  <c r="G26" i="26"/>
  <c r="C55" i="58"/>
  <c r="E29"/>
  <c r="F29"/>
  <c r="H29" s="1"/>
  <c r="G27" i="26"/>
  <c r="N27" s="1"/>
  <c r="C57" i="58"/>
  <c r="C27"/>
  <c r="K33" i="52"/>
  <c r="O8" i="60"/>
  <c r="Q8"/>
  <c r="O7"/>
  <c r="Q7"/>
  <c r="F8"/>
  <c r="H8"/>
  <c r="F7"/>
  <c r="H7"/>
  <c r="P12" i="26"/>
  <c r="HS11" i="46"/>
  <c r="II11"/>
  <c r="HS12"/>
  <c r="II12"/>
  <c r="IC39"/>
  <c r="FH18"/>
  <c r="FX18"/>
  <c r="GN18"/>
  <c r="HD18"/>
  <c r="HT18"/>
  <c r="IJ18"/>
  <c r="ER14"/>
  <c r="FH14"/>
  <c r="FX14"/>
  <c r="FU37"/>
  <c r="HN38"/>
  <c r="EB10"/>
  <c r="ER10"/>
  <c r="FH10"/>
  <c r="FX10"/>
  <c r="GN10"/>
  <c r="GJ10"/>
  <c r="GZ10"/>
  <c r="HP10"/>
  <c r="IF10"/>
  <c r="EA40"/>
  <c r="EQ40"/>
  <c r="FG40"/>
  <c r="FW40"/>
  <c r="FE34"/>
  <c r="FU34"/>
  <c r="FE14"/>
  <c r="FU14"/>
  <c r="GK14"/>
  <c r="HA14"/>
  <c r="HQ14"/>
  <c r="IG14"/>
  <c r="FT19"/>
  <c r="GJ19"/>
  <c r="GZ19"/>
  <c r="HP19"/>
  <c r="IF19"/>
  <c r="EO35"/>
  <c r="FE35"/>
  <c r="FU35"/>
  <c r="DL12"/>
  <c r="EB12"/>
  <c r="ER12"/>
  <c r="FH12"/>
  <c r="FX12"/>
  <c r="FT12"/>
  <c r="GJ12"/>
  <c r="GZ12"/>
  <c r="HP12"/>
  <c r="IF12"/>
  <c r="CV36"/>
  <c r="DL36"/>
  <c r="EB36"/>
  <c r="ER36"/>
  <c r="FH36"/>
  <c r="CF41"/>
  <c r="CV41"/>
  <c r="DL41"/>
  <c r="EB41"/>
  <c r="ER41"/>
  <c r="FH41"/>
  <c r="CF37"/>
  <c r="CV37"/>
  <c r="DL37"/>
  <c r="EB37"/>
  <c r="ER37"/>
  <c r="FH37"/>
  <c r="FX37"/>
  <c r="CF33"/>
  <c r="CV33"/>
  <c r="DL33"/>
  <c r="EB33"/>
  <c r="ER33"/>
  <c r="FH33"/>
  <c r="FX33"/>
  <c r="EO10"/>
  <c r="FE10"/>
  <c r="FU10"/>
  <c r="GK10"/>
  <c r="HA10"/>
  <c r="HQ10"/>
  <c r="IG10"/>
  <c r="FR39"/>
  <c r="GH39"/>
  <c r="GX39"/>
  <c r="HN39"/>
  <c r="CU31"/>
  <c r="DK31"/>
  <c r="EA31"/>
  <c r="EQ31"/>
  <c r="FG31"/>
  <c r="FW31"/>
  <c r="GM31"/>
  <c r="CU38"/>
  <c r="DK38"/>
  <c r="EA38"/>
  <c r="EQ38"/>
  <c r="FG38"/>
  <c r="FW38"/>
  <c r="DK15"/>
  <c r="EA15"/>
  <c r="EQ15"/>
  <c r="FG15"/>
  <c r="FW15"/>
  <c r="GM15"/>
  <c r="HC15"/>
  <c r="HS15"/>
  <c r="II15"/>
  <c r="DK10"/>
  <c r="EA10"/>
  <c r="EQ10"/>
  <c r="FG10"/>
  <c r="FW10"/>
  <c r="GM10"/>
  <c r="GH15"/>
  <c r="GX15"/>
  <c r="HN15"/>
  <c r="ID15"/>
  <c r="DI38"/>
  <c r="DY38"/>
  <c r="EO38"/>
  <c r="FE38"/>
  <c r="FU38"/>
  <c r="FB35"/>
  <c r="FR35"/>
  <c r="GH35"/>
  <c r="GX35"/>
  <c r="HN35"/>
  <c r="DI36"/>
  <c r="DY36"/>
  <c r="EO36"/>
  <c r="FE36"/>
  <c r="FU36"/>
  <c r="FQ15"/>
  <c r="GG15"/>
  <c r="GW15"/>
  <c r="GU19"/>
  <c r="HK19"/>
  <c r="IA19"/>
  <c r="FH38"/>
  <c r="FX38"/>
  <c r="FG33"/>
  <c r="FW33"/>
  <c r="GM33"/>
  <c r="EQ32"/>
  <c r="FG32"/>
  <c r="FW32"/>
  <c r="HN31"/>
  <c r="EQ37"/>
  <c r="FG37"/>
  <c r="FW37"/>
  <c r="GM37"/>
  <c r="HO16"/>
  <c r="IE16"/>
  <c r="FG19"/>
  <c r="FW19"/>
  <c r="GM19"/>
  <c r="HM41"/>
  <c r="IC41"/>
  <c r="EB16"/>
  <c r="ER16"/>
  <c r="FH16"/>
  <c r="FX16"/>
  <c r="GN16"/>
  <c r="HD16"/>
  <c r="HT16"/>
  <c r="IJ16"/>
  <c r="FE11"/>
  <c r="FU11"/>
  <c r="GK11"/>
  <c r="HA11"/>
  <c r="HQ11"/>
  <c r="IG11"/>
  <c r="EB15"/>
  <c r="ER15"/>
  <c r="FH15"/>
  <c r="FX15"/>
  <c r="DL17"/>
  <c r="EB17"/>
  <c r="ER17"/>
  <c r="FH17"/>
  <c r="FX17"/>
  <c r="DL20"/>
  <c r="EB20"/>
  <c r="ER20"/>
  <c r="FH20"/>
  <c r="FX20"/>
  <c r="CV32"/>
  <c r="DL32"/>
  <c r="EB32"/>
  <c r="ER32"/>
  <c r="FH32"/>
  <c r="FX32"/>
  <c r="CV40"/>
  <c r="DL40"/>
  <c r="EB40"/>
  <c r="ER40"/>
  <c r="FH40"/>
  <c r="FX40"/>
  <c r="FD18"/>
  <c r="FT18"/>
  <c r="GJ18"/>
  <c r="GZ18"/>
  <c r="HP18"/>
  <c r="IF18"/>
  <c r="CF39"/>
  <c r="CV39"/>
  <c r="DL39"/>
  <c r="EB39"/>
  <c r="ER39"/>
  <c r="FH39"/>
  <c r="FX39"/>
  <c r="CF35"/>
  <c r="CV35"/>
  <c r="DL35"/>
  <c r="EB35"/>
  <c r="ER35"/>
  <c r="FH35"/>
  <c r="CF31"/>
  <c r="CV31"/>
  <c r="DL31"/>
  <c r="EB31"/>
  <c r="ER31"/>
  <c r="FH31"/>
  <c r="FX31"/>
  <c r="EO18"/>
  <c r="FE18"/>
  <c r="FU18"/>
  <c r="GK18"/>
  <c r="HA18"/>
  <c r="HQ18"/>
  <c r="IG18"/>
  <c r="FD16"/>
  <c r="FT16"/>
  <c r="GJ16"/>
  <c r="GZ16"/>
  <c r="HP16"/>
  <c r="IF16"/>
  <c r="CU35"/>
  <c r="DK35"/>
  <c r="EA35"/>
  <c r="EQ35"/>
  <c r="FG35"/>
  <c r="FW35"/>
  <c r="CU42"/>
  <c r="DK42"/>
  <c r="EA42"/>
  <c r="EQ42"/>
  <c r="FG42"/>
  <c r="FW42"/>
  <c r="GM42"/>
  <c r="DK18"/>
  <c r="EA18"/>
  <c r="EQ18"/>
  <c r="FG18"/>
  <c r="FW18"/>
  <c r="GM18"/>
  <c r="HC18"/>
  <c r="HS18"/>
  <c r="II18"/>
  <c r="FS15"/>
  <c r="GI15"/>
  <c r="GY15"/>
  <c r="HO15"/>
  <c r="IE15"/>
  <c r="DI31"/>
  <c r="DY31"/>
  <c r="EO31"/>
  <c r="FE31"/>
  <c r="FU31"/>
  <c r="FB34"/>
  <c r="FR34"/>
  <c r="GH34"/>
  <c r="GX34"/>
  <c r="HN34"/>
  <c r="FR13"/>
  <c r="GH13"/>
  <c r="GX13"/>
  <c r="HN13"/>
  <c r="ID13"/>
  <c r="HY14"/>
  <c r="HZ11"/>
  <c r="CS16"/>
  <c r="DI16"/>
  <c r="DY16"/>
  <c r="EO16"/>
  <c r="FE16"/>
  <c r="FU16"/>
  <c r="GK16"/>
  <c r="HA16"/>
  <c r="HQ16"/>
  <c r="IG16"/>
  <c r="BN32"/>
  <c r="CD32"/>
  <c r="CT32"/>
  <c r="DJ32"/>
  <c r="DZ32"/>
  <c r="EP32"/>
  <c r="FF32"/>
  <c r="FV32"/>
  <c r="BN34"/>
  <c r="CD34"/>
  <c r="CT34"/>
  <c r="DJ34"/>
  <c r="DZ34"/>
  <c r="EP34"/>
  <c r="FF34"/>
  <c r="FV34"/>
  <c r="BN36"/>
  <c r="CD36"/>
  <c r="CT36"/>
  <c r="DJ36"/>
  <c r="DZ36"/>
  <c r="EP36"/>
  <c r="FF36"/>
  <c r="FV36"/>
  <c r="BN38"/>
  <c r="CD38"/>
  <c r="CT38"/>
  <c r="DJ38"/>
  <c r="DZ38"/>
  <c r="EP38"/>
  <c r="FF38"/>
  <c r="FV38"/>
  <c r="BN40"/>
  <c r="CD40"/>
  <c r="CT40"/>
  <c r="DJ40"/>
  <c r="DZ40"/>
  <c r="EP40"/>
  <c r="FF40"/>
  <c r="FV40"/>
  <c r="BN42"/>
  <c r="CD42"/>
  <c r="CT42"/>
  <c r="DJ42"/>
  <c r="DZ42"/>
  <c r="EP42"/>
  <c r="FF42"/>
  <c r="FV42"/>
  <c r="DH22"/>
  <c r="DX22"/>
  <c r="EN22"/>
  <c r="FD22"/>
  <c r="FT22"/>
  <c r="GJ22"/>
  <c r="GZ22"/>
  <c r="HP22"/>
  <c r="BO17"/>
  <c r="CE17"/>
  <c r="CU17"/>
  <c r="DF36"/>
  <c r="DV36"/>
  <c r="EL36"/>
  <c r="FB36"/>
  <c r="FR36"/>
  <c r="GH36"/>
  <c r="GX36"/>
  <c r="HN36"/>
  <c r="ID36"/>
  <c r="DF41"/>
  <c r="DV41"/>
  <c r="EL41"/>
  <c r="FB41"/>
  <c r="FR41"/>
  <c r="GH41"/>
  <c r="GX41"/>
  <c r="BN10"/>
  <c r="CD10"/>
  <c r="CT10"/>
  <c r="DJ10"/>
  <c r="DZ10"/>
  <c r="EP10"/>
  <c r="FF10"/>
  <c r="FV10"/>
  <c r="GL10"/>
  <c r="HB10"/>
  <c r="HR10"/>
  <c r="BN12"/>
  <c r="CD12"/>
  <c r="CT12"/>
  <c r="DJ12"/>
  <c r="DZ12"/>
  <c r="EP12"/>
  <c r="FF12"/>
  <c r="FV12"/>
  <c r="GL12"/>
  <c r="HB12"/>
  <c r="HR12"/>
  <c r="BN14"/>
  <c r="CD14"/>
  <c r="CT14"/>
  <c r="DJ14"/>
  <c r="DZ14"/>
  <c r="EP14"/>
  <c r="FF14"/>
  <c r="FV14"/>
  <c r="GL14"/>
  <c r="HB14"/>
  <c r="HR14"/>
  <c r="IH14"/>
  <c r="BN16"/>
  <c r="CD16"/>
  <c r="CT16"/>
  <c r="DJ16"/>
  <c r="DZ16"/>
  <c r="EP16"/>
  <c r="FF16"/>
  <c r="FV16"/>
  <c r="GL16"/>
  <c r="HB16"/>
  <c r="BN18"/>
  <c r="CD18"/>
  <c r="CT18"/>
  <c r="DJ18"/>
  <c r="DZ18"/>
  <c r="EP18"/>
  <c r="FF18"/>
  <c r="FV18"/>
  <c r="GL18"/>
  <c r="HB18"/>
  <c r="HR18"/>
  <c r="BN20"/>
  <c r="CD20"/>
  <c r="CT20"/>
  <c r="DJ20"/>
  <c r="DZ20"/>
  <c r="EP20"/>
  <c r="FF20"/>
  <c r="FV20"/>
  <c r="GL20"/>
  <c r="HB20"/>
  <c r="HR20"/>
  <c r="BN22"/>
  <c r="CD22"/>
  <c r="CT22"/>
  <c r="DJ22"/>
  <c r="DZ22"/>
  <c r="EP22"/>
  <c r="FF22"/>
  <c r="FV22"/>
  <c r="GL22"/>
  <c r="HB22"/>
  <c r="DF40"/>
  <c r="DV40"/>
  <c r="EL40"/>
  <c r="FB40"/>
  <c r="FR40"/>
  <c r="GH40"/>
  <c r="GX40"/>
  <c r="HN40"/>
  <c r="DF37"/>
  <c r="DV37"/>
  <c r="EL37"/>
  <c r="FB37"/>
  <c r="FR37"/>
  <c r="GH37"/>
  <c r="GX37"/>
  <c r="HN37"/>
  <c r="CA41"/>
  <c r="CQ41"/>
  <c r="DG41"/>
  <c r="DW41"/>
  <c r="EM41"/>
  <c r="FC41"/>
  <c r="FS41"/>
  <c r="GI41"/>
  <c r="GY41"/>
  <c r="HO41"/>
  <c r="CA36"/>
  <c r="CQ36"/>
  <c r="DG36"/>
  <c r="DW36"/>
  <c r="EM36"/>
  <c r="FC36"/>
  <c r="FS36"/>
  <c r="GI36"/>
  <c r="GY36"/>
  <c r="HO36"/>
  <c r="CA32"/>
  <c r="CQ32"/>
  <c r="DG32"/>
  <c r="DW32"/>
  <c r="EM32"/>
  <c r="FC32"/>
  <c r="FS32"/>
  <c r="GI32"/>
  <c r="GY32"/>
  <c r="HO32"/>
  <c r="DU20"/>
  <c r="EK20"/>
  <c r="FA20"/>
  <c r="FQ20"/>
  <c r="GG20"/>
  <c r="GW20"/>
  <c r="HM20"/>
  <c r="IC20"/>
  <c r="DU11"/>
  <c r="EK11"/>
  <c r="FA11"/>
  <c r="FQ11"/>
  <c r="GG11"/>
  <c r="GW11"/>
  <c r="HM11"/>
  <c r="IC11"/>
  <c r="BL32"/>
  <c r="CB32"/>
  <c r="CR32"/>
  <c r="DH32"/>
  <c r="DX32"/>
  <c r="EN32"/>
  <c r="FD32"/>
  <c r="FT32"/>
  <c r="GJ32"/>
  <c r="GZ32"/>
  <c r="HP32"/>
  <c r="BL34"/>
  <c r="CB34"/>
  <c r="CR34"/>
  <c r="DH34"/>
  <c r="BL36"/>
  <c r="CB36"/>
  <c r="CR36"/>
  <c r="DH36"/>
  <c r="DX36"/>
  <c r="EN36"/>
  <c r="FD36"/>
  <c r="FT36"/>
  <c r="GJ36"/>
  <c r="GZ36"/>
  <c r="HP36"/>
  <c r="BL38"/>
  <c r="CB38"/>
  <c r="CR38"/>
  <c r="DH38"/>
  <c r="DX38"/>
  <c r="EN38"/>
  <c r="FD38"/>
  <c r="FT38"/>
  <c r="GJ38"/>
  <c r="GZ38"/>
  <c r="HP38"/>
  <c r="BL40"/>
  <c r="CB40"/>
  <c r="CR40"/>
  <c r="DH40"/>
  <c r="BL42"/>
  <c r="CB42"/>
  <c r="CR42"/>
  <c r="DH42"/>
  <c r="DX42"/>
  <c r="EN42"/>
  <c r="FD42"/>
  <c r="FT42"/>
  <c r="GJ42"/>
  <c r="GZ42"/>
  <c r="HP42"/>
  <c r="CA42"/>
  <c r="CQ42"/>
  <c r="DG42"/>
  <c r="DW42"/>
  <c r="EM42"/>
  <c r="FC42"/>
  <c r="CA38"/>
  <c r="CQ38"/>
  <c r="DG38"/>
  <c r="DW38"/>
  <c r="EM38"/>
  <c r="FC38"/>
  <c r="FS38"/>
  <c r="GI38"/>
  <c r="GY38"/>
  <c r="HO38"/>
  <c r="CA35"/>
  <c r="CQ35"/>
  <c r="DG35"/>
  <c r="DW35"/>
  <c r="EM35"/>
  <c r="FC35"/>
  <c r="FS35"/>
  <c r="GI35"/>
  <c r="GY35"/>
  <c r="HO35"/>
  <c r="CA31"/>
  <c r="CQ31"/>
  <c r="DG31"/>
  <c r="DW31"/>
  <c r="EM31"/>
  <c r="FC31"/>
  <c r="FS31"/>
  <c r="GI31"/>
  <c r="GY31"/>
  <c r="HO31"/>
  <c r="BM17"/>
  <c r="CC17"/>
  <c r="CS17"/>
  <c r="DI17"/>
  <c r="DY17"/>
  <c r="EO17"/>
  <c r="FE17"/>
  <c r="FU17"/>
  <c r="GK17"/>
  <c r="HA17"/>
  <c r="HQ17"/>
  <c r="IG17"/>
  <c r="BL17"/>
  <c r="CB17"/>
  <c r="CR17"/>
  <c r="DH17"/>
  <c r="DX17"/>
  <c r="EN17"/>
  <c r="FD17"/>
  <c r="FT17"/>
  <c r="GJ17"/>
  <c r="GZ17"/>
  <c r="HP17"/>
  <c r="IF17"/>
  <c r="BZ22"/>
  <c r="CP22"/>
  <c r="DF22"/>
  <c r="DV22"/>
  <c r="EL22"/>
  <c r="FB22"/>
  <c r="FR22"/>
  <c r="GH22"/>
  <c r="GX22"/>
  <c r="HN22"/>
  <c r="ID22"/>
  <c r="BZ18"/>
  <c r="CP18"/>
  <c r="DF18"/>
  <c r="DV18"/>
  <c r="EL18"/>
  <c r="FB18"/>
  <c r="FR18"/>
  <c r="GH18"/>
  <c r="GX18"/>
  <c r="HN18"/>
  <c r="ID18"/>
  <c r="BZ14"/>
  <c r="CP14"/>
  <c r="DF14"/>
  <c r="DV14"/>
  <c r="EL14"/>
  <c r="FB14"/>
  <c r="FR14"/>
  <c r="GH14"/>
  <c r="GX14"/>
  <c r="HN14"/>
  <c r="ID14"/>
  <c r="BZ10"/>
  <c r="CP10"/>
  <c r="DF10"/>
  <c r="DV10"/>
  <c r="EL10"/>
  <c r="FB10"/>
  <c r="FR10"/>
  <c r="GH10"/>
  <c r="GX10"/>
  <c r="HN10"/>
  <c r="ID10"/>
  <c r="BK17"/>
  <c r="CA17"/>
  <c r="CQ17"/>
  <c r="DG17"/>
  <c r="DW17"/>
  <c r="EM17"/>
  <c r="FC17"/>
  <c r="FS17"/>
  <c r="GI17"/>
  <c r="GY17"/>
  <c r="HO17"/>
  <c r="IE17"/>
  <c r="AB30"/>
  <c r="AB23"/>
  <c r="AR23"/>
  <c r="BH23"/>
  <c r="BX23"/>
  <c r="CN23"/>
  <c r="DD23"/>
  <c r="DT23"/>
  <c r="EJ23"/>
  <c r="EZ23"/>
  <c r="FP23"/>
  <c r="GF23"/>
  <c r="GV23"/>
  <c r="HL23"/>
  <c r="IB23"/>
  <c r="AB22"/>
  <c r="AB20"/>
  <c r="AR20"/>
  <c r="AB17"/>
  <c r="AB15"/>
  <c r="AR15"/>
  <c r="AB14"/>
  <c r="AB12"/>
  <c r="AR12"/>
  <c r="AR9"/>
  <c r="AB21"/>
  <c r="AR21"/>
  <c r="AB19"/>
  <c r="AR19"/>
  <c r="AB18"/>
  <c r="AR18"/>
  <c r="AB16"/>
  <c r="AR16"/>
  <c r="AB13"/>
  <c r="AR13"/>
  <c r="AB11"/>
  <c r="AR11"/>
  <c r="AB10"/>
  <c r="AR10"/>
  <c r="CS20"/>
  <c r="DI20"/>
  <c r="DY20"/>
  <c r="EO20"/>
  <c r="FE20"/>
  <c r="FU20"/>
  <c r="GK20"/>
  <c r="HA20"/>
  <c r="HQ20"/>
  <c r="IG20"/>
  <c r="BN31"/>
  <c r="CD31"/>
  <c r="CT31"/>
  <c r="DJ31"/>
  <c r="DZ31"/>
  <c r="EP31"/>
  <c r="FF31"/>
  <c r="FV31"/>
  <c r="BN33"/>
  <c r="CD33"/>
  <c r="CT33"/>
  <c r="DJ33"/>
  <c r="DZ33"/>
  <c r="EP33"/>
  <c r="FF33"/>
  <c r="FV33"/>
  <c r="BN35"/>
  <c r="CD35"/>
  <c r="CT35"/>
  <c r="BN37"/>
  <c r="CD37"/>
  <c r="CT37"/>
  <c r="DJ37"/>
  <c r="DZ37"/>
  <c r="EP37"/>
  <c r="FF37"/>
  <c r="FV37"/>
  <c r="BN39"/>
  <c r="CD39"/>
  <c r="CT39"/>
  <c r="DJ39"/>
  <c r="DZ39"/>
  <c r="EP39"/>
  <c r="FF39"/>
  <c r="FV39"/>
  <c r="BN41"/>
  <c r="CD41"/>
  <c r="CT41"/>
  <c r="DJ41"/>
  <c r="DZ41"/>
  <c r="EP41"/>
  <c r="FF41"/>
  <c r="FV41"/>
  <c r="DH14"/>
  <c r="DX14"/>
  <c r="EN14"/>
  <c r="FD14"/>
  <c r="FT14"/>
  <c r="GJ14"/>
  <c r="GZ14"/>
  <c r="HP14"/>
  <c r="IF14"/>
  <c r="BO13"/>
  <c r="CE13"/>
  <c r="CU13"/>
  <c r="DK13"/>
  <c r="EA13"/>
  <c r="EQ13"/>
  <c r="FG13"/>
  <c r="FW13"/>
  <c r="GM13"/>
  <c r="BO21"/>
  <c r="CE21"/>
  <c r="CU21"/>
  <c r="DK21"/>
  <c r="EA21"/>
  <c r="EQ21"/>
  <c r="FG21"/>
  <c r="FW21"/>
  <c r="GM21"/>
  <c r="DV11"/>
  <c r="EL11"/>
  <c r="FB11"/>
  <c r="FR11"/>
  <c r="GH11"/>
  <c r="GX11"/>
  <c r="HN11"/>
  <c r="ID11"/>
  <c r="DF33"/>
  <c r="DV33"/>
  <c r="EL33"/>
  <c r="FB33"/>
  <c r="FR33"/>
  <c r="GH33"/>
  <c r="GX33"/>
  <c r="HN33"/>
  <c r="BN11"/>
  <c r="CD11"/>
  <c r="CT11"/>
  <c r="DJ11"/>
  <c r="DZ11"/>
  <c r="EP11"/>
  <c r="FF11"/>
  <c r="FV11"/>
  <c r="GL11"/>
  <c r="HB11"/>
  <c r="BN13"/>
  <c r="CD13"/>
  <c r="CT13"/>
  <c r="DJ13"/>
  <c r="DZ13"/>
  <c r="EP13"/>
  <c r="FF13"/>
  <c r="FV13"/>
  <c r="GL13"/>
  <c r="HB13"/>
  <c r="HR13"/>
  <c r="BN15"/>
  <c r="CD15"/>
  <c r="CT15"/>
  <c r="DJ15"/>
  <c r="DZ15"/>
  <c r="EP15"/>
  <c r="FF15"/>
  <c r="FV15"/>
  <c r="GL15"/>
  <c r="HB15"/>
  <c r="BN17"/>
  <c r="CD17"/>
  <c r="CT17"/>
  <c r="DJ17"/>
  <c r="DZ17"/>
  <c r="EP17"/>
  <c r="FF17"/>
  <c r="FV17"/>
  <c r="GL17"/>
  <c r="HB17"/>
  <c r="BN19"/>
  <c r="CD19"/>
  <c r="CT19"/>
  <c r="DJ19"/>
  <c r="DZ19"/>
  <c r="EP19"/>
  <c r="FF19"/>
  <c r="FV19"/>
  <c r="GL19"/>
  <c r="HB19"/>
  <c r="HR19"/>
  <c r="BN21"/>
  <c r="CD21"/>
  <c r="CT21"/>
  <c r="DJ21"/>
  <c r="DZ21"/>
  <c r="EP21"/>
  <c r="FF21"/>
  <c r="FV21"/>
  <c r="GL21"/>
  <c r="HB21"/>
  <c r="DV19"/>
  <c r="EL19"/>
  <c r="FB19"/>
  <c r="FR19"/>
  <c r="GH19"/>
  <c r="GX19"/>
  <c r="HN19"/>
  <c r="ID19"/>
  <c r="DF32"/>
  <c r="DV32"/>
  <c r="EL32"/>
  <c r="FB32"/>
  <c r="FR32"/>
  <c r="GH32"/>
  <c r="GX32"/>
  <c r="HN32"/>
  <c r="CA39"/>
  <c r="CQ39"/>
  <c r="DG39"/>
  <c r="DW39"/>
  <c r="EM39"/>
  <c r="FC39"/>
  <c r="FS39"/>
  <c r="GI39"/>
  <c r="GY39"/>
  <c r="HO39"/>
  <c r="CA34"/>
  <c r="CQ34"/>
  <c r="DG34"/>
  <c r="DW34"/>
  <c r="EM34"/>
  <c r="FC34"/>
  <c r="FS34"/>
  <c r="GI34"/>
  <c r="GY34"/>
  <c r="HO34"/>
  <c r="GC20"/>
  <c r="GS20"/>
  <c r="HI20"/>
  <c r="HY20"/>
  <c r="BL31"/>
  <c r="CB31"/>
  <c r="CR31"/>
  <c r="DH31"/>
  <c r="DX31"/>
  <c r="EN31"/>
  <c r="FD31"/>
  <c r="FT31"/>
  <c r="GJ31"/>
  <c r="GZ31"/>
  <c r="HP31"/>
  <c r="BL33"/>
  <c r="CB33"/>
  <c r="CR33"/>
  <c r="DH33"/>
  <c r="DX33"/>
  <c r="EN33"/>
  <c r="FD33"/>
  <c r="FT33"/>
  <c r="GJ33"/>
  <c r="GZ33"/>
  <c r="HP33"/>
  <c r="BL35"/>
  <c r="CB35"/>
  <c r="CR35"/>
  <c r="DH35"/>
  <c r="DX35"/>
  <c r="EN35"/>
  <c r="FD35"/>
  <c r="FT35"/>
  <c r="GJ35"/>
  <c r="GZ35"/>
  <c r="HP35"/>
  <c r="IF35"/>
  <c r="BL37"/>
  <c r="CB37"/>
  <c r="CR37"/>
  <c r="DH37"/>
  <c r="DX37"/>
  <c r="EN37"/>
  <c r="FD37"/>
  <c r="FT37"/>
  <c r="GJ37"/>
  <c r="GZ37"/>
  <c r="HP37"/>
  <c r="BL39"/>
  <c r="CB39"/>
  <c r="CR39"/>
  <c r="DH39"/>
  <c r="DX39"/>
  <c r="EN39"/>
  <c r="FD39"/>
  <c r="FT39"/>
  <c r="GJ39"/>
  <c r="GZ39"/>
  <c r="HP39"/>
  <c r="IF39"/>
  <c r="BL41"/>
  <c r="CB41"/>
  <c r="CR41"/>
  <c r="DH41"/>
  <c r="DX41"/>
  <c r="EN41"/>
  <c r="FD41"/>
  <c r="FT41"/>
  <c r="GJ41"/>
  <c r="GZ41"/>
  <c r="HP41"/>
  <c r="CA40"/>
  <c r="CQ40"/>
  <c r="DG40"/>
  <c r="DW40"/>
  <c r="EM40"/>
  <c r="FC40"/>
  <c r="FS40"/>
  <c r="GI40"/>
  <c r="GY40"/>
  <c r="HO40"/>
  <c r="CA37"/>
  <c r="CQ37"/>
  <c r="DG37"/>
  <c r="DW37"/>
  <c r="EM37"/>
  <c r="FC37"/>
  <c r="FS37"/>
  <c r="GI37"/>
  <c r="GY37"/>
  <c r="HO37"/>
  <c r="CA33"/>
  <c r="CQ33"/>
  <c r="DG33"/>
  <c r="DW33"/>
  <c r="EM33"/>
  <c r="FC33"/>
  <c r="FS33"/>
  <c r="GI33"/>
  <c r="GY33"/>
  <c r="HO33"/>
  <c r="IE33"/>
  <c r="DU12"/>
  <c r="EK12"/>
  <c r="FA12"/>
  <c r="FQ12"/>
  <c r="GG12"/>
  <c r="GW12"/>
  <c r="HM12"/>
  <c r="IC12"/>
  <c r="GC13"/>
  <c r="GS13"/>
  <c r="HI13"/>
  <c r="HY13"/>
  <c r="EI31"/>
  <c r="EY31"/>
  <c r="FO31"/>
  <c r="GE31"/>
  <c r="GU31"/>
  <c r="EI41"/>
  <c r="EY41"/>
  <c r="FO41"/>
  <c r="GE41"/>
  <c r="GU41"/>
  <c r="HK41"/>
  <c r="BM13"/>
  <c r="CC13"/>
  <c r="CS13"/>
  <c r="DI13"/>
  <c r="DY13"/>
  <c r="EO13"/>
  <c r="FE13"/>
  <c r="FU13"/>
  <c r="GK13"/>
  <c r="HA13"/>
  <c r="HQ13"/>
  <c r="IG13"/>
  <c r="BM21"/>
  <c r="CC21"/>
  <c r="CS21"/>
  <c r="DI21"/>
  <c r="DY21"/>
  <c r="EO21"/>
  <c r="FE21"/>
  <c r="FU21"/>
  <c r="BL13"/>
  <c r="CB13"/>
  <c r="CR13"/>
  <c r="DH13"/>
  <c r="DX13"/>
  <c r="EN13"/>
  <c r="FD13"/>
  <c r="FT13"/>
  <c r="GJ13"/>
  <c r="GZ13"/>
  <c r="HP13"/>
  <c r="IF13"/>
  <c r="BL21"/>
  <c r="CB21"/>
  <c r="CR21"/>
  <c r="DH21"/>
  <c r="DX21"/>
  <c r="EN21"/>
  <c r="FD21"/>
  <c r="FT21"/>
  <c r="GJ21"/>
  <c r="BZ20"/>
  <c r="CP20"/>
  <c r="DF20"/>
  <c r="DV20"/>
  <c r="EL20"/>
  <c r="FB20"/>
  <c r="FR20"/>
  <c r="GH20"/>
  <c r="GX20"/>
  <c r="HN20"/>
  <c r="ID20"/>
  <c r="BZ16"/>
  <c r="CP16"/>
  <c r="DF16"/>
  <c r="DV16"/>
  <c r="EL16"/>
  <c r="FB16"/>
  <c r="FR16"/>
  <c r="GH16"/>
  <c r="GX16"/>
  <c r="HN16"/>
  <c r="ID16"/>
  <c r="BZ12"/>
  <c r="CP12"/>
  <c r="DF12"/>
  <c r="DV12"/>
  <c r="EL12"/>
  <c r="FB12"/>
  <c r="FR12"/>
  <c r="GH12"/>
  <c r="GX12"/>
  <c r="HN12"/>
  <c r="BK10"/>
  <c r="CA10"/>
  <c r="CQ10"/>
  <c r="DG10"/>
  <c r="DW10"/>
  <c r="EM10"/>
  <c r="FC10"/>
  <c r="FS10"/>
  <c r="GI10"/>
  <c r="GY10"/>
  <c r="HO10"/>
  <c r="IE10"/>
  <c r="BK12"/>
  <c r="CA12"/>
  <c r="CQ12"/>
  <c r="DG12"/>
  <c r="DW12"/>
  <c r="EM12"/>
  <c r="FC12"/>
  <c r="FS12"/>
  <c r="GI12"/>
  <c r="GY12"/>
  <c r="HO12"/>
  <c r="IE12"/>
  <c r="BY35"/>
  <c r="CO35"/>
  <c r="DE35"/>
  <c r="DU35"/>
  <c r="EK35"/>
  <c r="FA35"/>
  <c r="FQ35"/>
  <c r="GG35"/>
  <c r="GW35"/>
  <c r="HM35"/>
  <c r="IC35"/>
  <c r="BY31"/>
  <c r="CO31"/>
  <c r="DE31"/>
  <c r="DU31"/>
  <c r="EK31"/>
  <c r="FA31"/>
  <c r="FQ31"/>
  <c r="BK11"/>
  <c r="CA11"/>
  <c r="CQ11"/>
  <c r="DG11"/>
  <c r="DW11"/>
  <c r="EM11"/>
  <c r="FC11"/>
  <c r="FS11"/>
  <c r="GI11"/>
  <c r="GY11"/>
  <c r="HO11"/>
  <c r="IE11"/>
  <c r="BK13"/>
  <c r="CA13"/>
  <c r="CQ13"/>
  <c r="DG13"/>
  <c r="DW13"/>
  <c r="EM13"/>
  <c r="FC13"/>
  <c r="FS13"/>
  <c r="GI13"/>
  <c r="GY13"/>
  <c r="HO13"/>
  <c r="IE13"/>
  <c r="BK21"/>
  <c r="CA21"/>
  <c r="CQ21"/>
  <c r="DG21"/>
  <c r="DW21"/>
  <c r="EM21"/>
  <c r="FC21"/>
  <c r="FS21"/>
  <c r="GI21"/>
  <c r="GY21"/>
  <c r="HO21"/>
  <c r="IE21"/>
  <c r="BI37"/>
  <c r="BY37"/>
  <c r="CO37"/>
  <c r="DE37"/>
  <c r="DU37"/>
  <c r="EK37"/>
  <c r="FA37"/>
  <c r="FQ37"/>
  <c r="GG37"/>
  <c r="GW37"/>
  <c r="HM37"/>
  <c r="IC37"/>
  <c r="BI33"/>
  <c r="BY33"/>
  <c r="CO33"/>
  <c r="DE33"/>
  <c r="DU33"/>
  <c r="EK33"/>
  <c r="FA33"/>
  <c r="FQ33"/>
  <c r="BJ21"/>
  <c r="BZ21"/>
  <c r="CP21"/>
  <c r="DF21"/>
  <c r="DV21"/>
  <c r="EL21"/>
  <c r="FB21"/>
  <c r="FR21"/>
  <c r="GH21"/>
  <c r="GX21"/>
  <c r="HN21"/>
  <c r="CO10"/>
  <c r="DE10"/>
  <c r="DU10"/>
  <c r="EK10"/>
  <c r="FA10"/>
  <c r="FQ10"/>
  <c r="GG10"/>
  <c r="CO18"/>
  <c r="DE18"/>
  <c r="DU18"/>
  <c r="EK18"/>
  <c r="FA18"/>
  <c r="FQ18"/>
  <c r="GG18"/>
  <c r="GW18"/>
  <c r="HM18"/>
  <c r="IC18"/>
  <c r="P30"/>
  <c r="CM12"/>
  <c r="DC12"/>
  <c r="DS12"/>
  <c r="EI12"/>
  <c r="EY12"/>
  <c r="FO12"/>
  <c r="GE12"/>
  <c r="GU12"/>
  <c r="HK12"/>
  <c r="IA12"/>
  <c r="AT17"/>
  <c r="BJ17"/>
  <c r="BZ17"/>
  <c r="CP17"/>
  <c r="DF17"/>
  <c r="DV17"/>
  <c r="EL17"/>
  <c r="FB17"/>
  <c r="FR17"/>
  <c r="GH17"/>
  <c r="GX17"/>
  <c r="HN17"/>
  <c r="ID17"/>
  <c r="AC32"/>
  <c r="AS32"/>
  <c r="BI32"/>
  <c r="BY32"/>
  <c r="CO32"/>
  <c r="DE32"/>
  <c r="DU32"/>
  <c r="EK32"/>
  <c r="FA32"/>
  <c r="FQ32"/>
  <c r="AC34"/>
  <c r="AS34"/>
  <c r="BI34"/>
  <c r="BY34"/>
  <c r="CO34"/>
  <c r="DE34"/>
  <c r="DU34"/>
  <c r="EK34"/>
  <c r="FA34"/>
  <c r="FQ34"/>
  <c r="AC36"/>
  <c r="AS36"/>
  <c r="BI36"/>
  <c r="BY36"/>
  <c r="CO36"/>
  <c r="DE36"/>
  <c r="DU36"/>
  <c r="EK36"/>
  <c r="FA36"/>
  <c r="FQ36"/>
  <c r="AC38"/>
  <c r="AS38"/>
  <c r="BI38"/>
  <c r="BY38"/>
  <c r="CO38"/>
  <c r="DE38"/>
  <c r="DU38"/>
  <c r="EK38"/>
  <c r="FA38"/>
  <c r="FQ38"/>
  <c r="AC40"/>
  <c r="AS40"/>
  <c r="BI40"/>
  <c r="BY40"/>
  <c r="CO40"/>
  <c r="DE40"/>
  <c r="DU40"/>
  <c r="EK40"/>
  <c r="FA40"/>
  <c r="FQ40"/>
  <c r="GG40"/>
  <c r="GW40"/>
  <c r="HM40"/>
  <c r="IC40"/>
  <c r="AC42"/>
  <c r="AS42"/>
  <c r="BI42"/>
  <c r="BY42"/>
  <c r="CO42"/>
  <c r="DE42"/>
  <c r="DU42"/>
  <c r="EK42"/>
  <c r="FA42"/>
  <c r="FQ42"/>
  <c r="BG37"/>
  <c r="BW37"/>
  <c r="CM37"/>
  <c r="DC37"/>
  <c r="DS37"/>
  <c r="EI37"/>
  <c r="EY37"/>
  <c r="FO37"/>
  <c r="GE37"/>
  <c r="GU37"/>
  <c r="BG33"/>
  <c r="BW33"/>
  <c r="CM33"/>
  <c r="DC33"/>
  <c r="DS33"/>
  <c r="EI33"/>
  <c r="EY33"/>
  <c r="FO33"/>
  <c r="GE33"/>
  <c r="GU33"/>
  <c r="CL16"/>
  <c r="DB16"/>
  <c r="DR16"/>
  <c r="EH16"/>
  <c r="EX16"/>
  <c r="FN16"/>
  <c r="GD16"/>
  <c r="GT16"/>
  <c r="HJ16"/>
  <c r="HZ16"/>
  <c r="BI13"/>
  <c r="BY13"/>
  <c r="CO13"/>
  <c r="DE13"/>
  <c r="DU13"/>
  <c r="EK13"/>
  <c r="FA13"/>
  <c r="FQ13"/>
  <c r="GG13"/>
  <c r="GW13"/>
  <c r="HM13"/>
  <c r="IC13"/>
  <c r="BI21"/>
  <c r="BY21"/>
  <c r="CO21"/>
  <c r="DE21"/>
  <c r="DU21"/>
  <c r="EK21"/>
  <c r="FA21"/>
  <c r="FQ21"/>
  <c r="GG21"/>
  <c r="GW21"/>
  <c r="HM21"/>
  <c r="IC21"/>
  <c r="BV14"/>
  <c r="CL14"/>
  <c r="DB14"/>
  <c r="DR14"/>
  <c r="EH14"/>
  <c r="EX14"/>
  <c r="FN14"/>
  <c r="GD14"/>
  <c r="GT14"/>
  <c r="HJ14"/>
  <c r="HZ14"/>
  <c r="BV22"/>
  <c r="CL22"/>
  <c r="DB22"/>
  <c r="DR22"/>
  <c r="EH22"/>
  <c r="EX22"/>
  <c r="FN22"/>
  <c r="GD22"/>
  <c r="GT22"/>
  <c r="HJ22"/>
  <c r="HZ22"/>
  <c r="BF30"/>
  <c r="BF42"/>
  <c r="BV42"/>
  <c r="CL42"/>
  <c r="DB42"/>
  <c r="DR42"/>
  <c r="EH42"/>
  <c r="EX42"/>
  <c r="FN42"/>
  <c r="GD42"/>
  <c r="GT42"/>
  <c r="HJ42"/>
  <c r="HZ42"/>
  <c r="BF12"/>
  <c r="BV12"/>
  <c r="CL12"/>
  <c r="DB12"/>
  <c r="DR12"/>
  <c r="EH12"/>
  <c r="EX12"/>
  <c r="FN12"/>
  <c r="GD12"/>
  <c r="GT12"/>
  <c r="HJ12"/>
  <c r="HZ12"/>
  <c r="BF20"/>
  <c r="BV20"/>
  <c r="CL20"/>
  <c r="DB20"/>
  <c r="DR20"/>
  <c r="EH20"/>
  <c r="EX20"/>
  <c r="FN20"/>
  <c r="GD20"/>
  <c r="GT20"/>
  <c r="HJ20"/>
  <c r="HZ20"/>
  <c r="AA32"/>
  <c r="AQ32"/>
  <c r="BG32"/>
  <c r="BW32"/>
  <c r="CM32"/>
  <c r="DC32"/>
  <c r="DS32"/>
  <c r="EI32"/>
  <c r="EY32"/>
  <c r="FO32"/>
  <c r="GE32"/>
  <c r="GU32"/>
  <c r="HK32"/>
  <c r="AA34"/>
  <c r="AQ34"/>
  <c r="BG34"/>
  <c r="BW34"/>
  <c r="CM34"/>
  <c r="DC34"/>
  <c r="DS34"/>
  <c r="EI34"/>
  <c r="EY34"/>
  <c r="FO34"/>
  <c r="GE34"/>
  <c r="GU34"/>
  <c r="AA36"/>
  <c r="AQ36"/>
  <c r="BG36"/>
  <c r="BW36"/>
  <c r="CM36"/>
  <c r="DC36"/>
  <c r="DS36"/>
  <c r="EI36"/>
  <c r="EY36"/>
  <c r="FO36"/>
  <c r="GE36"/>
  <c r="GU36"/>
  <c r="AA38"/>
  <c r="AQ38"/>
  <c r="BG38"/>
  <c r="BW38"/>
  <c r="CM38"/>
  <c r="DC38"/>
  <c r="DS38"/>
  <c r="EI38"/>
  <c r="EY38"/>
  <c r="FO38"/>
  <c r="GE38"/>
  <c r="GU38"/>
  <c r="HK38"/>
  <c r="AA40"/>
  <c r="AQ40"/>
  <c r="BG40"/>
  <c r="BW40"/>
  <c r="CM40"/>
  <c r="DC40"/>
  <c r="DS40"/>
  <c r="EI40"/>
  <c r="EY40"/>
  <c r="FO40"/>
  <c r="GE40"/>
  <c r="GU40"/>
  <c r="HK40"/>
  <c r="AA42"/>
  <c r="AQ42"/>
  <c r="BG42"/>
  <c r="BW42"/>
  <c r="CM42"/>
  <c r="DC42"/>
  <c r="DS42"/>
  <c r="EI42"/>
  <c r="EY42"/>
  <c r="FO42"/>
  <c r="GE42"/>
  <c r="GU42"/>
  <c r="HK42"/>
  <c r="BG13"/>
  <c r="BW13"/>
  <c r="CM13"/>
  <c r="DC13"/>
  <c r="DS13"/>
  <c r="EI13"/>
  <c r="EY13"/>
  <c r="FO13"/>
  <c r="GE13"/>
  <c r="GU13"/>
  <c r="HK13"/>
  <c r="IA13"/>
  <c r="BG21"/>
  <c r="BW21"/>
  <c r="CM21"/>
  <c r="DC21"/>
  <c r="DS21"/>
  <c r="EI21"/>
  <c r="EY21"/>
  <c r="FO21"/>
  <c r="GE21"/>
  <c r="GU21"/>
  <c r="HK21"/>
  <c r="IA21"/>
  <c r="AO32"/>
  <c r="BE32"/>
  <c r="BU32"/>
  <c r="CK32"/>
  <c r="DA32"/>
  <c r="DQ32"/>
  <c r="EG32"/>
  <c r="EW32"/>
  <c r="FM32"/>
  <c r="GC32"/>
  <c r="GS32"/>
  <c r="HI32"/>
  <c r="HY32"/>
  <c r="AO34"/>
  <c r="BE34"/>
  <c r="BU34"/>
  <c r="CK34"/>
  <c r="DA34"/>
  <c r="DQ34"/>
  <c r="EG34"/>
  <c r="EW34"/>
  <c r="FM34"/>
  <c r="GC34"/>
  <c r="GS34"/>
  <c r="HI34"/>
  <c r="HY34"/>
  <c r="AO36"/>
  <c r="BE36"/>
  <c r="BU36"/>
  <c r="CK36"/>
  <c r="DA36"/>
  <c r="DQ36"/>
  <c r="EG36"/>
  <c r="EW36"/>
  <c r="FM36"/>
  <c r="GC36"/>
  <c r="GS36"/>
  <c r="HI36"/>
  <c r="HY36"/>
  <c r="AO38"/>
  <c r="BE38"/>
  <c r="BU38"/>
  <c r="CK38"/>
  <c r="DA38"/>
  <c r="DQ38"/>
  <c r="EG38"/>
  <c r="EW38"/>
  <c r="FM38"/>
  <c r="GC38"/>
  <c r="GS38"/>
  <c r="HI38"/>
  <c r="HY38"/>
  <c r="AO40"/>
  <c r="BE40"/>
  <c r="BU40"/>
  <c r="CK40"/>
  <c r="DA40"/>
  <c r="DQ40"/>
  <c r="EG40"/>
  <c r="EW40"/>
  <c r="FM40"/>
  <c r="GC40"/>
  <c r="GS40"/>
  <c r="HI40"/>
  <c r="HY40"/>
  <c r="AO42"/>
  <c r="BE42"/>
  <c r="BU42"/>
  <c r="CK42"/>
  <c r="DA42"/>
  <c r="DQ42"/>
  <c r="EG42"/>
  <c r="EW42"/>
  <c r="FM42"/>
  <c r="GC42"/>
  <c r="GS42"/>
  <c r="HI42"/>
  <c r="HY42"/>
  <c r="AP17"/>
  <c r="BF17"/>
  <c r="BV17"/>
  <c r="CL17"/>
  <c r="DB17"/>
  <c r="DR17"/>
  <c r="EH17"/>
  <c r="EX17"/>
  <c r="FN17"/>
  <c r="GD17"/>
  <c r="GT17"/>
  <c r="HJ17"/>
  <c r="HZ17"/>
  <c r="AO15"/>
  <c r="BE15"/>
  <c r="BU15"/>
  <c r="CK15"/>
  <c r="DA15"/>
  <c r="DQ15"/>
  <c r="EG15"/>
  <c r="EW15"/>
  <c r="FM15"/>
  <c r="GC15"/>
  <c r="GS15"/>
  <c r="HI15"/>
  <c r="HY15"/>
  <c r="AO23"/>
  <c r="BE23"/>
  <c r="BU23"/>
  <c r="CK23"/>
  <c r="DA23"/>
  <c r="DQ23"/>
  <c r="EG23"/>
  <c r="EW23"/>
  <c r="FM23"/>
  <c r="GC23"/>
  <c r="GS23"/>
  <c r="HI23"/>
  <c r="HY23"/>
  <c r="W31"/>
  <c r="W33"/>
  <c r="W35"/>
  <c r="W37"/>
  <c r="W39"/>
  <c r="W41"/>
  <c r="W43"/>
  <c r="X9"/>
  <c r="CO14"/>
  <c r="DE14"/>
  <c r="DU14"/>
  <c r="EK14"/>
  <c r="FA14"/>
  <c r="FQ14"/>
  <c r="GG14"/>
  <c r="GW14"/>
  <c r="HM14"/>
  <c r="IC14"/>
  <c r="CO22"/>
  <c r="DE22"/>
  <c r="DU22"/>
  <c r="EK22"/>
  <c r="FA22"/>
  <c r="FQ22"/>
  <c r="GG22"/>
  <c r="GW22"/>
  <c r="HM22"/>
  <c r="IC22"/>
  <c r="BI17"/>
  <c r="BY17"/>
  <c r="CO17"/>
  <c r="DE17"/>
  <c r="DU17"/>
  <c r="EK17"/>
  <c r="FA17"/>
  <c r="FQ17"/>
  <c r="GG17"/>
  <c r="GW17"/>
  <c r="HM17"/>
  <c r="IC17"/>
  <c r="DA12"/>
  <c r="DQ12"/>
  <c r="EG12"/>
  <c r="EW12"/>
  <c r="FM12"/>
  <c r="GC12"/>
  <c r="GS12"/>
  <c r="HI12"/>
  <c r="HY12"/>
  <c r="BF40"/>
  <c r="BV40"/>
  <c r="CL40"/>
  <c r="DB40"/>
  <c r="DR40"/>
  <c r="EH40"/>
  <c r="EX40"/>
  <c r="FN40"/>
  <c r="GD40"/>
  <c r="GT40"/>
  <c r="HJ40"/>
  <c r="HZ40"/>
  <c r="BF36"/>
  <c r="BV36"/>
  <c r="CL36"/>
  <c r="DB36"/>
  <c r="DR36"/>
  <c r="EH36"/>
  <c r="EX36"/>
  <c r="FN36"/>
  <c r="GD36"/>
  <c r="GT36"/>
  <c r="HJ36"/>
  <c r="BF32"/>
  <c r="BV32"/>
  <c r="CL32"/>
  <c r="DB32"/>
  <c r="DR32"/>
  <c r="EH32"/>
  <c r="EX32"/>
  <c r="FN32"/>
  <c r="GD32"/>
  <c r="GT32"/>
  <c r="HJ32"/>
  <c r="HZ32"/>
  <c r="CL10"/>
  <c r="DB10"/>
  <c r="DR10"/>
  <c r="EH10"/>
  <c r="EX10"/>
  <c r="FN10"/>
  <c r="GD10"/>
  <c r="GT10"/>
  <c r="HJ10"/>
  <c r="HZ10"/>
  <c r="CL18"/>
  <c r="DB18"/>
  <c r="DR18"/>
  <c r="EH18"/>
  <c r="EX18"/>
  <c r="FN18"/>
  <c r="GD18"/>
  <c r="GT18"/>
  <c r="HJ18"/>
  <c r="HZ18"/>
  <c r="BG17"/>
  <c r="BW17"/>
  <c r="CM17"/>
  <c r="DC17"/>
  <c r="DS17"/>
  <c r="EI17"/>
  <c r="EY17"/>
  <c r="FO17"/>
  <c r="GE17"/>
  <c r="GU17"/>
  <c r="HK17"/>
  <c r="IA17"/>
  <c r="AO31"/>
  <c r="BE31"/>
  <c r="BU31"/>
  <c r="CK31"/>
  <c r="DA31"/>
  <c r="DQ31"/>
  <c r="EG31"/>
  <c r="EW31"/>
  <c r="FM31"/>
  <c r="GC31"/>
  <c r="GS31"/>
  <c r="HI31"/>
  <c r="HY31"/>
  <c r="AO33"/>
  <c r="BE33"/>
  <c r="BU33"/>
  <c r="CK33"/>
  <c r="DA33"/>
  <c r="DQ33"/>
  <c r="EG33"/>
  <c r="EW33"/>
  <c r="FM33"/>
  <c r="GC33"/>
  <c r="GS33"/>
  <c r="HI33"/>
  <c r="HY33"/>
  <c r="AO35"/>
  <c r="BE35"/>
  <c r="BU35"/>
  <c r="CK35"/>
  <c r="DA35"/>
  <c r="DQ35"/>
  <c r="EG35"/>
  <c r="EW35"/>
  <c r="FM35"/>
  <c r="GC35"/>
  <c r="GS35"/>
  <c r="HI35"/>
  <c r="HY35"/>
  <c r="AO37"/>
  <c r="BE37"/>
  <c r="BU37"/>
  <c r="CK37"/>
  <c r="DA37"/>
  <c r="DQ37"/>
  <c r="EG37"/>
  <c r="EW37"/>
  <c r="FM37"/>
  <c r="GC37"/>
  <c r="GS37"/>
  <c r="HI37"/>
  <c r="HY37"/>
  <c r="AO39"/>
  <c r="BE39"/>
  <c r="BU39"/>
  <c r="CK39"/>
  <c r="DA39"/>
  <c r="DQ39"/>
  <c r="EG39"/>
  <c r="EW39"/>
  <c r="FM39"/>
  <c r="GC39"/>
  <c r="GS39"/>
  <c r="HI39"/>
  <c r="HY39"/>
  <c r="AO41"/>
  <c r="BE41"/>
  <c r="BU41"/>
  <c r="CK41"/>
  <c r="DA41"/>
  <c r="DQ41"/>
  <c r="EG41"/>
  <c r="EW41"/>
  <c r="FM41"/>
  <c r="GC41"/>
  <c r="GS41"/>
  <c r="HI41"/>
  <c r="HY41"/>
  <c r="AO43"/>
  <c r="BE43"/>
  <c r="BU43"/>
  <c r="CK43"/>
  <c r="DA43"/>
  <c r="DQ43"/>
  <c r="EG43"/>
  <c r="EW43"/>
  <c r="FM43"/>
  <c r="GC43"/>
  <c r="GS43"/>
  <c r="HI43"/>
  <c r="HY43"/>
  <c r="BF13"/>
  <c r="BV13"/>
  <c r="CL13"/>
  <c r="DB13"/>
  <c r="DR13"/>
  <c r="EH13"/>
  <c r="EX13"/>
  <c r="FN13"/>
  <c r="GD13"/>
  <c r="GT13"/>
  <c r="HJ13"/>
  <c r="HZ13"/>
  <c r="BF21"/>
  <c r="BV21"/>
  <c r="CL21"/>
  <c r="DB21"/>
  <c r="DR21"/>
  <c r="EH21"/>
  <c r="EX21"/>
  <c r="FN21"/>
  <c r="GD21"/>
  <c r="GT21"/>
  <c r="HJ21"/>
  <c r="HZ21"/>
  <c r="BE11"/>
  <c r="BU11"/>
  <c r="CK11"/>
  <c r="DA11"/>
  <c r="DQ11"/>
  <c r="EG11"/>
  <c r="EW11"/>
  <c r="FM11"/>
  <c r="GC11"/>
  <c r="GS11"/>
  <c r="HI11"/>
  <c r="HY11"/>
  <c r="BE19"/>
  <c r="BU19"/>
  <c r="CK19"/>
  <c r="DA19"/>
  <c r="DQ19"/>
  <c r="EG19"/>
  <c r="EW19"/>
  <c r="FM19"/>
  <c r="GC19"/>
  <c r="GS19"/>
  <c r="HI19"/>
  <c r="HY19"/>
  <c r="E31" i="55"/>
  <c r="B12"/>
  <c r="D11"/>
  <c r="D11" i="57"/>
  <c r="B11" i="55"/>
  <c r="IH9" i="46"/>
  <c r="IH12"/>
  <c r="HR30"/>
  <c r="HC14"/>
  <c r="HS14"/>
  <c r="II14"/>
  <c r="HC13"/>
  <c r="HS13"/>
  <c r="II13"/>
  <c r="HC22"/>
  <c r="HS22"/>
  <c r="II22"/>
  <c r="IA41"/>
  <c r="IA32"/>
  <c r="IA40"/>
  <c r="IH18"/>
  <c r="HD10"/>
  <c r="HT10"/>
  <c r="IJ10"/>
  <c r="HR21"/>
  <c r="HR15"/>
  <c r="GN13"/>
  <c r="HD13"/>
  <c r="HT13"/>
  <c r="IJ13"/>
  <c r="IF31"/>
  <c r="GN14"/>
  <c r="HD14"/>
  <c r="HT14"/>
  <c r="IJ14"/>
  <c r="GN22"/>
  <c r="HD22"/>
  <c r="HT22"/>
  <c r="IJ22"/>
  <c r="ID38"/>
  <c r="IF42"/>
  <c r="FX41"/>
  <c r="ID42"/>
  <c r="GM38"/>
  <c r="ID37"/>
  <c r="ID32"/>
  <c r="HC10"/>
  <c r="HS10"/>
  <c r="II10"/>
  <c r="GN21"/>
  <c r="HD21"/>
  <c r="HT21"/>
  <c r="IJ21"/>
  <c r="GN20"/>
  <c r="HD20"/>
  <c r="HT20"/>
  <c r="IJ20"/>
  <c r="HC19"/>
  <c r="HS19"/>
  <c r="II19"/>
  <c r="GN30"/>
  <c r="HC30"/>
  <c r="HC33"/>
  <c r="HS33"/>
  <c r="II33"/>
  <c r="HC21"/>
  <c r="HS21"/>
  <c r="II21"/>
  <c r="GN15"/>
  <c r="HD15"/>
  <c r="HT15"/>
  <c r="IJ15"/>
  <c r="HR22"/>
  <c r="IH22"/>
  <c r="GN12"/>
  <c r="HD12"/>
  <c r="HT12"/>
  <c r="IJ12"/>
  <c r="HR17"/>
  <c r="IH17"/>
  <c r="HR16"/>
  <c r="IH16"/>
  <c r="HR11"/>
  <c r="IH11"/>
  <c r="IF41"/>
  <c r="FX34"/>
  <c r="GN34"/>
  <c r="HD34"/>
  <c r="HT34"/>
  <c r="IJ34"/>
  <c r="IF38"/>
  <c r="IF33"/>
  <c r="FX42"/>
  <c r="GN42"/>
  <c r="HD42"/>
  <c r="HT42"/>
  <c r="IJ42"/>
  <c r="GM32"/>
  <c r="ID31"/>
  <c r="HC16"/>
  <c r="HS16"/>
  <c r="II16"/>
  <c r="HC20"/>
  <c r="HS20"/>
  <c r="II20"/>
  <c r="ID33"/>
  <c r="GM40"/>
  <c r="IA38"/>
  <c r="IA42"/>
  <c r="GN17"/>
  <c r="HD17"/>
  <c r="HT17"/>
  <c r="IJ17"/>
  <c r="IF37"/>
  <c r="IF32"/>
  <c r="FX36"/>
  <c r="GN36"/>
  <c r="HD36"/>
  <c r="HT36"/>
  <c r="IJ36"/>
  <c r="FX35"/>
  <c r="GN35"/>
  <c r="HD35"/>
  <c r="HT35"/>
  <c r="IJ35"/>
  <c r="IF36"/>
  <c r="ID39"/>
  <c r="GM35"/>
  <c r="HC35"/>
  <c r="HS35"/>
  <c r="II35"/>
  <c r="ID40"/>
  <c r="HZ36"/>
  <c r="ID35"/>
  <c r="ID34"/>
  <c r="IF22"/>
  <c r="GL30"/>
  <c r="GL40"/>
  <c r="HB40"/>
  <c r="HR40"/>
  <c r="IE30"/>
  <c r="GK30"/>
  <c r="ID12"/>
  <c r="EQ34"/>
  <c r="FG34"/>
  <c r="FW34"/>
  <c r="GM34"/>
  <c r="EQ36"/>
  <c r="FG36"/>
  <c r="FW36"/>
  <c r="GM36"/>
  <c r="HN41"/>
  <c r="ID41"/>
  <c r="HO22"/>
  <c r="IE22"/>
  <c r="GK21"/>
  <c r="HA21"/>
  <c r="HQ21"/>
  <c r="IG21"/>
  <c r="GZ21"/>
  <c r="HP21"/>
  <c r="IF21"/>
  <c r="ID21"/>
  <c r="HM15"/>
  <c r="IC15"/>
  <c r="FS42"/>
  <c r="GI42"/>
  <c r="GY42"/>
  <c r="HO42"/>
  <c r="IE42"/>
  <c r="HK35"/>
  <c r="IA35"/>
  <c r="DJ35"/>
  <c r="DZ35"/>
  <c r="EP35"/>
  <c r="FF35"/>
  <c r="FV35"/>
  <c r="GL35"/>
  <c r="HB35"/>
  <c r="HR35"/>
  <c r="HK36"/>
  <c r="IA36"/>
  <c r="HK34"/>
  <c r="IA34"/>
  <c r="HK39"/>
  <c r="IA39"/>
  <c r="HK31"/>
  <c r="IA31"/>
  <c r="HK33"/>
  <c r="IA33"/>
  <c r="HK37"/>
  <c r="IA37"/>
  <c r="GG31"/>
  <c r="GW31"/>
  <c r="HM31"/>
  <c r="IC31"/>
  <c r="GG42"/>
  <c r="GW42"/>
  <c r="HM42"/>
  <c r="IC42"/>
  <c r="GG33"/>
  <c r="GW33"/>
  <c r="HM33"/>
  <c r="IC33"/>
  <c r="DK17"/>
  <c r="EA17"/>
  <c r="EQ17"/>
  <c r="FG17"/>
  <c r="FW17"/>
  <c r="GM17"/>
  <c r="HC17"/>
  <c r="HS17"/>
  <c r="II17"/>
  <c r="GW10"/>
  <c r="HM10"/>
  <c r="IC10"/>
  <c r="GG38"/>
  <c r="GW38"/>
  <c r="HM38"/>
  <c r="IC38"/>
  <c r="GG32"/>
  <c r="GW32"/>
  <c r="HM32"/>
  <c r="IC32"/>
  <c r="GG36"/>
  <c r="GW36"/>
  <c r="HM36"/>
  <c r="IC36"/>
  <c r="GG34"/>
  <c r="GW34"/>
  <c r="HM34"/>
  <c r="IC34"/>
  <c r="DX40"/>
  <c r="EN40"/>
  <c r="FD40"/>
  <c r="FT40"/>
  <c r="GJ40"/>
  <c r="GZ40"/>
  <c r="HP40"/>
  <c r="IF40"/>
  <c r="CF11"/>
  <c r="CV11"/>
  <c r="DL11"/>
  <c r="EB11"/>
  <c r="ER11"/>
  <c r="FH11"/>
  <c r="FX11"/>
  <c r="GN11"/>
  <c r="HD11"/>
  <c r="HT11"/>
  <c r="IJ11"/>
  <c r="CF19"/>
  <c r="CV19"/>
  <c r="DL19"/>
  <c r="EB19"/>
  <c r="ER19"/>
  <c r="FH19"/>
  <c r="FX19"/>
  <c r="GN19"/>
  <c r="HD19"/>
  <c r="HT19"/>
  <c r="IJ19"/>
  <c r="DX34"/>
  <c r="EN34"/>
  <c r="FD34"/>
  <c r="FT34"/>
  <c r="GJ34"/>
  <c r="GZ34"/>
  <c r="HP34"/>
  <c r="IF34"/>
  <c r="IE19"/>
  <c r="BC20"/>
  <c r="BC21"/>
  <c r="BC9"/>
  <c r="BC10"/>
  <c r="AM30"/>
  <c r="AM42"/>
  <c r="BB9"/>
  <c r="BB15"/>
  <c r="AL30"/>
  <c r="AL41"/>
  <c r="AM41"/>
  <c r="B13" i="55"/>
  <c r="A14"/>
  <c r="A15"/>
  <c r="AF21" i="26"/>
  <c r="AN9" i="46"/>
  <c r="X22"/>
  <c r="AN22"/>
  <c r="X20"/>
  <c r="AN20"/>
  <c r="X14"/>
  <c r="AN14"/>
  <c r="X12"/>
  <c r="AN12"/>
  <c r="X10"/>
  <c r="AN10"/>
  <c r="X30"/>
  <c r="X23"/>
  <c r="AN23"/>
  <c r="BD23"/>
  <c r="BT23"/>
  <c r="CJ23"/>
  <c r="CZ23"/>
  <c r="DP23"/>
  <c r="EF23"/>
  <c r="EV23"/>
  <c r="FL23"/>
  <c r="GB23"/>
  <c r="GR23"/>
  <c r="HH23"/>
  <c r="HX23"/>
  <c r="X21"/>
  <c r="AN21"/>
  <c r="X19"/>
  <c r="AN19"/>
  <c r="X18"/>
  <c r="AN18"/>
  <c r="X17"/>
  <c r="AN17"/>
  <c r="X16"/>
  <c r="AN16"/>
  <c r="X15"/>
  <c r="AN15"/>
  <c r="X13"/>
  <c r="AN13"/>
  <c r="X11"/>
  <c r="AN11"/>
  <c r="BH9"/>
  <c r="BH13"/>
  <c r="AR30"/>
  <c r="AB42"/>
  <c r="AR42"/>
  <c r="AB40"/>
  <c r="AR40"/>
  <c r="AB38"/>
  <c r="AR38"/>
  <c r="AB36"/>
  <c r="AR36"/>
  <c r="AB34"/>
  <c r="AR34"/>
  <c r="AB32"/>
  <c r="AR32"/>
  <c r="AB43"/>
  <c r="AR43"/>
  <c r="BH43"/>
  <c r="BX43"/>
  <c r="CN43"/>
  <c r="DD43"/>
  <c r="DT43"/>
  <c r="EJ43"/>
  <c r="EZ43"/>
  <c r="FP43"/>
  <c r="GF43"/>
  <c r="GV43"/>
  <c r="HL43"/>
  <c r="IB43"/>
  <c r="AB41"/>
  <c r="AR41"/>
  <c r="AB39"/>
  <c r="AR39"/>
  <c r="AB37"/>
  <c r="AR37"/>
  <c r="AB35"/>
  <c r="AR35"/>
  <c r="AB33"/>
  <c r="AR33"/>
  <c r="AB31"/>
  <c r="AR31"/>
  <c r="BB20"/>
  <c r="BC17"/>
  <c r="BB19"/>
  <c r="BR19" s="1"/>
  <c r="CH19" s="1"/>
  <c r="CX19" s="1"/>
  <c r="DN19" s="1"/>
  <c r="ED19" s="1"/>
  <c r="ET19" s="1"/>
  <c r="FJ19" s="1"/>
  <c r="FZ19" s="1"/>
  <c r="GP19" s="1"/>
  <c r="HF19" s="1"/>
  <c r="HV19" s="1"/>
  <c r="BC16"/>
  <c r="HC36"/>
  <c r="HS36"/>
  <c r="II36"/>
  <c r="HC34"/>
  <c r="HS34"/>
  <c r="II34"/>
  <c r="HC40"/>
  <c r="HS40"/>
  <c r="II40"/>
  <c r="HC32"/>
  <c r="HS32"/>
  <c r="II32"/>
  <c r="BF34"/>
  <c r="BV34"/>
  <c r="CL34"/>
  <c r="DB34"/>
  <c r="DR34"/>
  <c r="EH34"/>
  <c r="EX34"/>
  <c r="FN34"/>
  <c r="GD34"/>
  <c r="GT34"/>
  <c r="HJ34"/>
  <c r="HZ34"/>
  <c r="BH10"/>
  <c r="BH18"/>
  <c r="AR14"/>
  <c r="BH14"/>
  <c r="AR17"/>
  <c r="AR22"/>
  <c r="BH22"/>
  <c r="BF41"/>
  <c r="BV41"/>
  <c r="CL41"/>
  <c r="DB41"/>
  <c r="DR41"/>
  <c r="EH41"/>
  <c r="EX41"/>
  <c r="FN41"/>
  <c r="GD41"/>
  <c r="GT41"/>
  <c r="HJ41"/>
  <c r="HZ41"/>
  <c r="BF33"/>
  <c r="BV33"/>
  <c r="CL33"/>
  <c r="DB33"/>
  <c r="DR33"/>
  <c r="EH33"/>
  <c r="EX33"/>
  <c r="FN33"/>
  <c r="GD33"/>
  <c r="GT33"/>
  <c r="HJ33"/>
  <c r="HZ33"/>
  <c r="BF39"/>
  <c r="BV39"/>
  <c r="CL39"/>
  <c r="DB39"/>
  <c r="DR39"/>
  <c r="EH39"/>
  <c r="EX39"/>
  <c r="FN39"/>
  <c r="GD39"/>
  <c r="GT39"/>
  <c r="HJ39"/>
  <c r="HZ39"/>
  <c r="BF31"/>
  <c r="BV31"/>
  <c r="CL31"/>
  <c r="DB31"/>
  <c r="DR31"/>
  <c r="EH31"/>
  <c r="EX31"/>
  <c r="FN31"/>
  <c r="GD31"/>
  <c r="GT31"/>
  <c r="HJ31"/>
  <c r="HZ31"/>
  <c r="BF37"/>
  <c r="BV37"/>
  <c r="CL37"/>
  <c r="DB37"/>
  <c r="DR37"/>
  <c r="EH37"/>
  <c r="EX37"/>
  <c r="FN37"/>
  <c r="GD37"/>
  <c r="GT37"/>
  <c r="HJ37"/>
  <c r="HZ37"/>
  <c r="BF43"/>
  <c r="BV43"/>
  <c r="CL43"/>
  <c r="DB43"/>
  <c r="DR43"/>
  <c r="EH43"/>
  <c r="EX43"/>
  <c r="FN43"/>
  <c r="GD43"/>
  <c r="GT43"/>
  <c r="HJ43"/>
  <c r="HZ43"/>
  <c r="BF35"/>
  <c r="BV35"/>
  <c r="CL35"/>
  <c r="DB35"/>
  <c r="DR35"/>
  <c r="EH35"/>
  <c r="EX35"/>
  <c r="FN35"/>
  <c r="GD35"/>
  <c r="GT35"/>
  <c r="HJ35"/>
  <c r="HZ35"/>
  <c r="BB16"/>
  <c r="BR16" s="1"/>
  <c r="CH16" s="1"/>
  <c r="CX16" s="1"/>
  <c r="DN16" s="1"/>
  <c r="ED16" s="1"/>
  <c r="ET16" s="1"/>
  <c r="FJ16" s="1"/>
  <c r="FZ16" s="1"/>
  <c r="GP16" s="1"/>
  <c r="HF16" s="1"/>
  <c r="HV16" s="1"/>
  <c r="BB10"/>
  <c r="BF38"/>
  <c r="BV38"/>
  <c r="CL38"/>
  <c r="DB38"/>
  <c r="DR38"/>
  <c r="EH38"/>
  <c r="EX38"/>
  <c r="FN38"/>
  <c r="GD38"/>
  <c r="GT38"/>
  <c r="HJ38"/>
  <c r="HZ38"/>
  <c r="BH11"/>
  <c r="BH16"/>
  <c r="BH19"/>
  <c r="BH12"/>
  <c r="BH15"/>
  <c r="BH20"/>
  <c r="BR9"/>
  <c r="BB30"/>
  <c r="BB41"/>
  <c r="BS9"/>
  <c r="BC30"/>
  <c r="BC42"/>
  <c r="GN31"/>
  <c r="HD31"/>
  <c r="HT31"/>
  <c r="IJ31"/>
  <c r="GN32"/>
  <c r="HD32"/>
  <c r="HT32"/>
  <c r="IJ32"/>
  <c r="GN37"/>
  <c r="HD37"/>
  <c r="HT37"/>
  <c r="IJ37"/>
  <c r="GN38"/>
  <c r="HD38"/>
  <c r="HT38"/>
  <c r="IJ38"/>
  <c r="AM43"/>
  <c r="AL42"/>
  <c r="BB13"/>
  <c r="BR13"/>
  <c r="BB22"/>
  <c r="BR22"/>
  <c r="BC19"/>
  <c r="BS19"/>
  <c r="BB18"/>
  <c r="BR18"/>
  <c r="CH18" s="1"/>
  <c r="CX18" s="1"/>
  <c r="DN18" s="1"/>
  <c r="ED18" s="1"/>
  <c r="ET18" s="1"/>
  <c r="FJ18" s="1"/>
  <c r="FZ18" s="1"/>
  <c r="GP18" s="1"/>
  <c r="HF18" s="1"/>
  <c r="HV18" s="1"/>
  <c r="BC15"/>
  <c r="BS15"/>
  <c r="BB14"/>
  <c r="BR14"/>
  <c r="BB12"/>
  <c r="BR12"/>
  <c r="BC22"/>
  <c r="BS22"/>
  <c r="BB21"/>
  <c r="BR21"/>
  <c r="BC18"/>
  <c r="BS18"/>
  <c r="BB17"/>
  <c r="BR17"/>
  <c r="CH17" s="1"/>
  <c r="CX17" s="1"/>
  <c r="DN17" s="1"/>
  <c r="ED17" s="1"/>
  <c r="ET17" s="1"/>
  <c r="FJ17" s="1"/>
  <c r="FZ17" s="1"/>
  <c r="GP17" s="1"/>
  <c r="HF17" s="1"/>
  <c r="HV17" s="1"/>
  <c r="BC14"/>
  <c r="BS14"/>
  <c r="BB11"/>
  <c r="BR11"/>
  <c r="GK38"/>
  <c r="HA38"/>
  <c r="HQ38"/>
  <c r="IG38"/>
  <c r="GK35"/>
  <c r="HA35"/>
  <c r="HQ35"/>
  <c r="IG35"/>
  <c r="GL41"/>
  <c r="HB41"/>
  <c r="HR41"/>
  <c r="GL42"/>
  <c r="HB42"/>
  <c r="HR42"/>
  <c r="IE38"/>
  <c r="IE41"/>
  <c r="GL36"/>
  <c r="HB36"/>
  <c r="HR36"/>
  <c r="GL32"/>
  <c r="HB32"/>
  <c r="HR32"/>
  <c r="IE34"/>
  <c r="GK36"/>
  <c r="HA36"/>
  <c r="HQ36"/>
  <c r="IG36"/>
  <c r="GK31"/>
  <c r="HA31"/>
  <c r="HQ31"/>
  <c r="IG31"/>
  <c r="GN41"/>
  <c r="HD41"/>
  <c r="HT41"/>
  <c r="IJ41"/>
  <c r="GL33"/>
  <c r="HB33"/>
  <c r="HR33"/>
  <c r="GK42"/>
  <c r="HA42"/>
  <c r="HQ42"/>
  <c r="IG42"/>
  <c r="IE31"/>
  <c r="IH15"/>
  <c r="IH21"/>
  <c r="IH10"/>
  <c r="HC31"/>
  <c r="HS31"/>
  <c r="II31"/>
  <c r="GN33"/>
  <c r="HD33"/>
  <c r="HT33"/>
  <c r="IJ33"/>
  <c r="GN39"/>
  <c r="HD39"/>
  <c r="HT39"/>
  <c r="IJ39"/>
  <c r="AL40"/>
  <c r="BB40"/>
  <c r="AL39"/>
  <c r="BB39"/>
  <c r="AL38"/>
  <c r="BB38"/>
  <c r="AL37"/>
  <c r="BB37"/>
  <c r="AL36"/>
  <c r="BB36"/>
  <c r="AL35"/>
  <c r="BB35"/>
  <c r="AL34"/>
  <c r="BB34"/>
  <c r="AL33"/>
  <c r="BB33"/>
  <c r="AL32"/>
  <c r="BB32"/>
  <c r="AL31"/>
  <c r="BB31"/>
  <c r="AM40"/>
  <c r="BC40"/>
  <c r="AM39"/>
  <c r="BC39"/>
  <c r="AM38"/>
  <c r="BC38"/>
  <c r="AM37"/>
  <c r="BC37"/>
  <c r="AM36"/>
  <c r="BC36"/>
  <c r="AM35"/>
  <c r="BC35"/>
  <c r="AM34"/>
  <c r="BC34"/>
  <c r="AM33"/>
  <c r="BC33"/>
  <c r="AM32"/>
  <c r="BC32"/>
  <c r="AM31"/>
  <c r="BC31"/>
  <c r="GK33"/>
  <c r="HA33"/>
  <c r="HQ33"/>
  <c r="IG33"/>
  <c r="GK39"/>
  <c r="HA39"/>
  <c r="HQ39"/>
  <c r="IG39"/>
  <c r="GK41"/>
  <c r="HA41"/>
  <c r="HQ41"/>
  <c r="IG41"/>
  <c r="HC41"/>
  <c r="HS41"/>
  <c r="II41"/>
  <c r="HC37"/>
  <c r="HS37"/>
  <c r="II37"/>
  <c r="IH30"/>
  <c r="IH40"/>
  <c r="IH19"/>
  <c r="IH13"/>
  <c r="IH20"/>
  <c r="BC41"/>
  <c r="AL43"/>
  <c r="BB43"/>
  <c r="BR43"/>
  <c r="CH43"/>
  <c r="CX43"/>
  <c r="DN43"/>
  <c r="ED43"/>
  <c r="ET43"/>
  <c r="FJ43"/>
  <c r="FZ43"/>
  <c r="GP43"/>
  <c r="HF43"/>
  <c r="HV43"/>
  <c r="BS21"/>
  <c r="BR20"/>
  <c r="BS17"/>
  <c r="BR10"/>
  <c r="BS20"/>
  <c r="BS16"/>
  <c r="BR15"/>
  <c r="BS10"/>
  <c r="IH35"/>
  <c r="GK34"/>
  <c r="HA34"/>
  <c r="HQ34"/>
  <c r="IG34"/>
  <c r="IE40"/>
  <c r="IE39"/>
  <c r="GL34"/>
  <c r="HB34"/>
  <c r="HR34"/>
  <c r="IH34"/>
  <c r="GK40"/>
  <c r="HA40"/>
  <c r="HQ40"/>
  <c r="IG40"/>
  <c r="IE32"/>
  <c r="HC38"/>
  <c r="HS38"/>
  <c r="II38"/>
  <c r="GL38"/>
  <c r="HB38"/>
  <c r="HR38"/>
  <c r="IH38"/>
  <c r="GL39"/>
  <c r="HB39"/>
  <c r="HR39"/>
  <c r="IH39"/>
  <c r="GL31"/>
  <c r="HB31"/>
  <c r="HR31"/>
  <c r="IH31"/>
  <c r="IE35"/>
  <c r="IE36"/>
  <c r="GK37"/>
  <c r="HA37"/>
  <c r="HQ37"/>
  <c r="IG37"/>
  <c r="GK32"/>
  <c r="HA32"/>
  <c r="HQ32"/>
  <c r="IG32"/>
  <c r="IE37"/>
  <c r="GL37"/>
  <c r="HB37"/>
  <c r="HR37"/>
  <c r="IH37"/>
  <c r="HC39"/>
  <c r="HS39"/>
  <c r="II39"/>
  <c r="HC42"/>
  <c r="HS42"/>
  <c r="II42"/>
  <c r="GN40"/>
  <c r="HD40"/>
  <c r="HT40"/>
  <c r="IJ40"/>
  <c r="BD9"/>
  <c r="BD11"/>
  <c r="AN30"/>
  <c r="BH17"/>
  <c r="BH21"/>
  <c r="BH33"/>
  <c r="BH41"/>
  <c r="BH34"/>
  <c r="BH42"/>
  <c r="BD17"/>
  <c r="BD22"/>
  <c r="BH30"/>
  <c r="BH37"/>
  <c r="BX9"/>
  <c r="BX13"/>
  <c r="X43"/>
  <c r="X41"/>
  <c r="AN41"/>
  <c r="X39"/>
  <c r="AN39"/>
  <c r="X37"/>
  <c r="AN37"/>
  <c r="X35"/>
  <c r="AN35"/>
  <c r="X33"/>
  <c r="AN33"/>
  <c r="X31"/>
  <c r="AN31"/>
  <c r="X42"/>
  <c r="AN42"/>
  <c r="X40"/>
  <c r="AN40"/>
  <c r="X38"/>
  <c r="AN38"/>
  <c r="X36"/>
  <c r="AN36"/>
  <c r="X34"/>
  <c r="AN34"/>
  <c r="X32"/>
  <c r="AN32"/>
  <c r="BB42"/>
  <c r="BX15"/>
  <c r="BX16"/>
  <c r="BX14"/>
  <c r="BX10"/>
  <c r="BH31"/>
  <c r="BH35"/>
  <c r="BH39"/>
  <c r="BH32"/>
  <c r="BH36"/>
  <c r="BH40"/>
  <c r="BD18"/>
  <c r="BD12"/>
  <c r="CI9"/>
  <c r="BS30"/>
  <c r="BS42"/>
  <c r="CH9"/>
  <c r="BR30"/>
  <c r="BR41"/>
  <c r="CI10"/>
  <c r="CI16"/>
  <c r="CI17"/>
  <c r="BS32"/>
  <c r="BS34"/>
  <c r="BS36"/>
  <c r="BS38"/>
  <c r="BS40"/>
  <c r="BR32"/>
  <c r="BR34"/>
  <c r="BR36"/>
  <c r="BR38"/>
  <c r="BR40"/>
  <c r="IH33"/>
  <c r="IH36"/>
  <c r="IH42"/>
  <c r="CI18"/>
  <c r="CH14"/>
  <c r="CI19"/>
  <c r="BC43"/>
  <c r="BS43"/>
  <c r="CI43"/>
  <c r="CY43"/>
  <c r="DO43"/>
  <c r="EE43"/>
  <c r="EU43"/>
  <c r="FK43"/>
  <c r="GA43"/>
  <c r="GQ43"/>
  <c r="HG43"/>
  <c r="HW43"/>
  <c r="BS41"/>
  <c r="BS31"/>
  <c r="BS33"/>
  <c r="BS35"/>
  <c r="BS37"/>
  <c r="BS39"/>
  <c r="BR31"/>
  <c r="BR33"/>
  <c r="BR35"/>
  <c r="BR37"/>
  <c r="BR39"/>
  <c r="IH32"/>
  <c r="IH41"/>
  <c r="CH11"/>
  <c r="CI22"/>
  <c r="CI15"/>
  <c r="BR42"/>
  <c r="CH12"/>
  <c r="CI14"/>
  <c r="CI21"/>
  <c r="CH10"/>
  <c r="CI20"/>
  <c r="CH15"/>
  <c r="CH13"/>
  <c r="CH22"/>
  <c r="CH21"/>
  <c r="CH20"/>
  <c r="BD21"/>
  <c r="BD13"/>
  <c r="BX18"/>
  <c r="BX22"/>
  <c r="BD14"/>
  <c r="BH38"/>
  <c r="BX38"/>
  <c r="BX21"/>
  <c r="BX11"/>
  <c r="BX12"/>
  <c r="AN43"/>
  <c r="CN9"/>
  <c r="BX30"/>
  <c r="BT9"/>
  <c r="BD20"/>
  <c r="BD15"/>
  <c r="BD30"/>
  <c r="BD16"/>
  <c r="BT16"/>
  <c r="BD10"/>
  <c r="BD19"/>
  <c r="BT19"/>
  <c r="BT12"/>
  <c r="BT18"/>
  <c r="BX36"/>
  <c r="BX35"/>
  <c r="CN10"/>
  <c r="CN14"/>
  <c r="CN16"/>
  <c r="CN15"/>
  <c r="BD34"/>
  <c r="BD38"/>
  <c r="BD42"/>
  <c r="BD31"/>
  <c r="BD35"/>
  <c r="BD39"/>
  <c r="BT22"/>
  <c r="BT17"/>
  <c r="BX42"/>
  <c r="BX34"/>
  <c r="BX41"/>
  <c r="BX33"/>
  <c r="BX17"/>
  <c r="CN17"/>
  <c r="BX19"/>
  <c r="CN19"/>
  <c r="BX20"/>
  <c r="CN20"/>
  <c r="CH33"/>
  <c r="CI31"/>
  <c r="CH40"/>
  <c r="CI38"/>
  <c r="CX9"/>
  <c r="CX12"/>
  <c r="CH30"/>
  <c r="CH41"/>
  <c r="CY9"/>
  <c r="CI30"/>
  <c r="CI42"/>
  <c r="CH42"/>
  <c r="CH39"/>
  <c r="CH35"/>
  <c r="CH31"/>
  <c r="CI37"/>
  <c r="CI33"/>
  <c r="CY21"/>
  <c r="CH38"/>
  <c r="CH34"/>
  <c r="CI40"/>
  <c r="CI36"/>
  <c r="CI32"/>
  <c r="CY17"/>
  <c r="BD43"/>
  <c r="BD40"/>
  <c r="CJ9"/>
  <c r="BT30"/>
  <c r="BT43"/>
  <c r="CN11"/>
  <c r="DD9"/>
  <c r="DD17"/>
  <c r="CN30"/>
  <c r="DD20"/>
  <c r="CN41"/>
  <c r="CN42"/>
  <c r="CJ22"/>
  <c r="BT42"/>
  <c r="DD16"/>
  <c r="CN36"/>
  <c r="CJ18"/>
  <c r="CJ19"/>
  <c r="CJ16"/>
  <c r="CN12"/>
  <c r="CN21"/>
  <c r="DD21"/>
  <c r="CN38"/>
  <c r="BD37"/>
  <c r="BD32"/>
  <c r="CN18"/>
  <c r="BX39"/>
  <c r="CN39"/>
  <c r="BX40"/>
  <c r="CN40"/>
  <c r="BT21"/>
  <c r="CJ21"/>
  <c r="BT11"/>
  <c r="CJ11"/>
  <c r="CN13"/>
  <c r="DD13"/>
  <c r="CY19"/>
  <c r="DO19"/>
  <c r="CX10"/>
  <c r="CH32"/>
  <c r="CI41"/>
  <c r="CI39"/>
  <c r="CN33"/>
  <c r="CN34"/>
  <c r="CJ17"/>
  <c r="BT31"/>
  <c r="DD15"/>
  <c r="CN35"/>
  <c r="CJ12"/>
  <c r="BT10"/>
  <c r="CJ10"/>
  <c r="BT15"/>
  <c r="CJ15"/>
  <c r="BT20"/>
  <c r="CJ20"/>
  <c r="BT14"/>
  <c r="CJ14"/>
  <c r="BD41"/>
  <c r="BT41"/>
  <c r="BD33"/>
  <c r="BD36"/>
  <c r="BT36"/>
  <c r="CN22"/>
  <c r="DD22"/>
  <c r="BX31"/>
  <c r="CN31"/>
  <c r="BX32"/>
  <c r="BT13"/>
  <c r="CJ13"/>
  <c r="BX37"/>
  <c r="CN37"/>
  <c r="CX21"/>
  <c r="CX14"/>
  <c r="CX11"/>
  <c r="CY22"/>
  <c r="CY15"/>
  <c r="CY10"/>
  <c r="CI34"/>
  <c r="CH36"/>
  <c r="CY18"/>
  <c r="CX22"/>
  <c r="CY20"/>
  <c r="CI35"/>
  <c r="CH37"/>
  <c r="DO9"/>
  <c r="CY30"/>
  <c r="CY36"/>
  <c r="DN9"/>
  <c r="CX30"/>
  <c r="CX38"/>
  <c r="DO17"/>
  <c r="CY32"/>
  <c r="CX34"/>
  <c r="DN10"/>
  <c r="CX31"/>
  <c r="CY16"/>
  <c r="CX20"/>
  <c r="DN20"/>
  <c r="CY38"/>
  <c r="CX40"/>
  <c r="CX13"/>
  <c r="DN13"/>
  <c r="CX15"/>
  <c r="DN15"/>
  <c r="CY31"/>
  <c r="CX33"/>
  <c r="CY14"/>
  <c r="DT17"/>
  <c r="CJ30"/>
  <c r="CJ31"/>
  <c r="CZ9"/>
  <c r="DO14"/>
  <c r="DO16"/>
  <c r="DO21"/>
  <c r="DN22"/>
  <c r="DO18"/>
  <c r="DO10"/>
  <c r="DO22"/>
  <c r="DN14"/>
  <c r="CZ13"/>
  <c r="BT33"/>
  <c r="CJ33"/>
  <c r="CZ15"/>
  <c r="DD14"/>
  <c r="DT14"/>
  <c r="BT38"/>
  <c r="BT39"/>
  <c r="CJ39"/>
  <c r="DD19"/>
  <c r="DT19"/>
  <c r="DD18"/>
  <c r="DT18"/>
  <c r="BT32"/>
  <c r="BT37"/>
  <c r="CJ37"/>
  <c r="DD12"/>
  <c r="DD10"/>
  <c r="DT10"/>
  <c r="BT34"/>
  <c r="BT35"/>
  <c r="CJ35"/>
  <c r="CN32"/>
  <c r="DD11"/>
  <c r="DD30"/>
  <c r="DD38"/>
  <c r="DT9"/>
  <c r="DT22"/>
  <c r="CJ41"/>
  <c r="CZ20"/>
  <c r="DT15"/>
  <c r="CZ17"/>
  <c r="DD33"/>
  <c r="DT13"/>
  <c r="DD39"/>
  <c r="DT21"/>
  <c r="DT16"/>
  <c r="DD41"/>
  <c r="DT20"/>
  <c r="CJ43"/>
  <c r="CZ43"/>
  <c r="DP43"/>
  <c r="EF43"/>
  <c r="EV43"/>
  <c r="FL43"/>
  <c r="GB43"/>
  <c r="GR43"/>
  <c r="HH43"/>
  <c r="HX43"/>
  <c r="BT40"/>
  <c r="ED9"/>
  <c r="DN30"/>
  <c r="DN38"/>
  <c r="EE9"/>
  <c r="EE16"/>
  <c r="DO30"/>
  <c r="DO36"/>
  <c r="EE14"/>
  <c r="CY39"/>
  <c r="DO39"/>
  <c r="CY41"/>
  <c r="DO41"/>
  <c r="ED15"/>
  <c r="CX32"/>
  <c r="DN32"/>
  <c r="ED20"/>
  <c r="CX39"/>
  <c r="DN39"/>
  <c r="CY37"/>
  <c r="DO37"/>
  <c r="ED10"/>
  <c r="CY40"/>
  <c r="DO40"/>
  <c r="EE17"/>
  <c r="DO20"/>
  <c r="EE20"/>
  <c r="CX36"/>
  <c r="DN36"/>
  <c r="CY34"/>
  <c r="DO34"/>
  <c r="CX42"/>
  <c r="DN42"/>
  <c r="DO15"/>
  <c r="EE15"/>
  <c r="DN11"/>
  <c r="DN21"/>
  <c r="ED21"/>
  <c r="CY42"/>
  <c r="DO42"/>
  <c r="DN12"/>
  <c r="ED12"/>
  <c r="CX41"/>
  <c r="DN41"/>
  <c r="DN33"/>
  <c r="DO31"/>
  <c r="DN40"/>
  <c r="DO38"/>
  <c r="DN31"/>
  <c r="EE21"/>
  <c r="DN34"/>
  <c r="DO32"/>
  <c r="CX37"/>
  <c r="DN37"/>
  <c r="CY35"/>
  <c r="DO35"/>
  <c r="EE18"/>
  <c r="EE10"/>
  <c r="CX35"/>
  <c r="DN35"/>
  <c r="CY33"/>
  <c r="DO33"/>
  <c r="CZ31"/>
  <c r="EJ9"/>
  <c r="DT30"/>
  <c r="CZ19"/>
  <c r="DP19"/>
  <c r="CZ21"/>
  <c r="DP21"/>
  <c r="CZ10"/>
  <c r="CZ12"/>
  <c r="DP12"/>
  <c r="DP9"/>
  <c r="CZ11"/>
  <c r="DP11"/>
  <c r="CZ14"/>
  <c r="DP14"/>
  <c r="CZ30"/>
  <c r="CZ16"/>
  <c r="DP16"/>
  <c r="CZ18"/>
  <c r="DP18"/>
  <c r="ED14"/>
  <c r="EE22"/>
  <c r="ED22"/>
  <c r="ED11"/>
  <c r="EE19"/>
  <c r="ED13"/>
  <c r="CJ40"/>
  <c r="CZ40"/>
  <c r="EJ20"/>
  <c r="CJ42"/>
  <c r="CZ42"/>
  <c r="DD36"/>
  <c r="DT36"/>
  <c r="DP17"/>
  <c r="DD35"/>
  <c r="DT35"/>
  <c r="CJ36"/>
  <c r="CZ36"/>
  <c r="DD37"/>
  <c r="DT37"/>
  <c r="DT11"/>
  <c r="DD42"/>
  <c r="DT42"/>
  <c r="CJ34"/>
  <c r="CZ34"/>
  <c r="DT12"/>
  <c r="EJ12"/>
  <c r="CJ32"/>
  <c r="CZ32"/>
  <c r="DD40"/>
  <c r="DT40"/>
  <c r="DD34"/>
  <c r="DT34"/>
  <c r="CJ38"/>
  <c r="CZ38"/>
  <c r="DP13"/>
  <c r="CZ22"/>
  <c r="DP22"/>
  <c r="DT41"/>
  <c r="EJ16"/>
  <c r="DT39"/>
  <c r="DT33"/>
  <c r="DP20"/>
  <c r="DT38"/>
  <c r="DD32"/>
  <c r="DT32"/>
  <c r="EJ10"/>
  <c r="CZ37"/>
  <c r="EJ18"/>
  <c r="EJ14"/>
  <c r="DP15"/>
  <c r="DD31"/>
  <c r="DT31"/>
  <c r="EE33"/>
  <c r="EE32"/>
  <c r="ED40"/>
  <c r="ED41"/>
  <c r="EE34"/>
  <c r="EE37"/>
  <c r="EU9"/>
  <c r="EU18"/>
  <c r="EE30"/>
  <c r="EE36"/>
  <c r="ET9"/>
  <c r="ED30"/>
  <c r="ED38"/>
  <c r="ED35"/>
  <c r="ET22"/>
  <c r="EE35"/>
  <c r="ED34"/>
  <c r="EE38"/>
  <c r="ED33"/>
  <c r="ET11"/>
  <c r="ED42"/>
  <c r="ED36"/>
  <c r="EE40"/>
  <c r="ED39"/>
  <c r="EE39"/>
  <c r="EZ9"/>
  <c r="EJ30"/>
  <c r="EJ31"/>
  <c r="EZ14"/>
  <c r="EZ18"/>
  <c r="EZ10"/>
  <c r="EF20"/>
  <c r="EZ16"/>
  <c r="EJ40"/>
  <c r="EZ12"/>
  <c r="EJ42"/>
  <c r="EZ20"/>
  <c r="EF14"/>
  <c r="EF12"/>
  <c r="EF19"/>
  <c r="CZ41"/>
  <c r="CZ39"/>
  <c r="CZ33"/>
  <c r="EF9"/>
  <c r="DP30"/>
  <c r="ET13"/>
  <c r="EU17"/>
  <c r="EU22"/>
  <c r="ED32"/>
  <c r="ED31"/>
  <c r="ED37"/>
  <c r="EJ17"/>
  <c r="EZ17"/>
  <c r="EF15"/>
  <c r="EJ19"/>
  <c r="EZ19"/>
  <c r="DP37"/>
  <c r="EJ22"/>
  <c r="EZ22"/>
  <c r="EJ15"/>
  <c r="EZ15"/>
  <c r="EJ39"/>
  <c r="EJ21"/>
  <c r="EZ21"/>
  <c r="EJ41"/>
  <c r="EF22"/>
  <c r="EJ34"/>
  <c r="DP34"/>
  <c r="EJ11"/>
  <c r="EZ11"/>
  <c r="DP36"/>
  <c r="EJ13"/>
  <c r="EZ13"/>
  <c r="DP42"/>
  <c r="EF18"/>
  <c r="EF11"/>
  <c r="DP10"/>
  <c r="EF10"/>
  <c r="CZ35"/>
  <c r="DP35"/>
  <c r="EU14"/>
  <c r="EU16"/>
  <c r="EU20"/>
  <c r="ET12"/>
  <c r="EU10"/>
  <c r="EE41"/>
  <c r="ET20"/>
  <c r="ET10"/>
  <c r="EE42"/>
  <c r="EE31"/>
  <c r="EU21"/>
  <c r="FK21"/>
  <c r="FJ9"/>
  <c r="ET30"/>
  <c r="ET39"/>
  <c r="FK9"/>
  <c r="FK18"/>
  <c r="EU30"/>
  <c r="EU36"/>
  <c r="FJ13"/>
  <c r="FK17"/>
  <c r="FJ11"/>
  <c r="ET33"/>
  <c r="EU38"/>
  <c r="FJ22"/>
  <c r="FK22"/>
  <c r="ET15"/>
  <c r="FJ15"/>
  <c r="EU37"/>
  <c r="EU19"/>
  <c r="FK19"/>
  <c r="EU15"/>
  <c r="FK15"/>
  <c r="ET21"/>
  <c r="FJ21"/>
  <c r="ET41"/>
  <c r="ET40"/>
  <c r="ET37"/>
  <c r="ET14"/>
  <c r="FJ14"/>
  <c r="EZ31"/>
  <c r="EF30"/>
  <c r="EV9"/>
  <c r="EZ30"/>
  <c r="FP9"/>
  <c r="FP21"/>
  <c r="EU33"/>
  <c r="EU32"/>
  <c r="ET31"/>
  <c r="EU34"/>
  <c r="ET32"/>
  <c r="EU35"/>
  <c r="EU39"/>
  <c r="DP40"/>
  <c r="EF40"/>
  <c r="EJ35"/>
  <c r="EZ35"/>
  <c r="FP11"/>
  <c r="DP32"/>
  <c r="EF32"/>
  <c r="FP15"/>
  <c r="EJ32"/>
  <c r="EZ32"/>
  <c r="FP19"/>
  <c r="DP39"/>
  <c r="EF39"/>
  <c r="DP31"/>
  <c r="EF31"/>
  <c r="EF21"/>
  <c r="EV21"/>
  <c r="EF16"/>
  <c r="EV16"/>
  <c r="EJ36"/>
  <c r="EZ36"/>
  <c r="EF17"/>
  <c r="EV17"/>
  <c r="EJ37"/>
  <c r="EZ37"/>
  <c r="FP12"/>
  <c r="DP38"/>
  <c r="EF38"/>
  <c r="EF13"/>
  <c r="EV13"/>
  <c r="EJ33"/>
  <c r="EZ33"/>
  <c r="EJ38"/>
  <c r="EZ38"/>
  <c r="FP18"/>
  <c r="EF35"/>
  <c r="EV10"/>
  <c r="EF42"/>
  <c r="FP13"/>
  <c r="EF36"/>
  <c r="EF34"/>
  <c r="EZ34"/>
  <c r="EZ41"/>
  <c r="EZ39"/>
  <c r="EV15"/>
  <c r="DP33"/>
  <c r="EF33"/>
  <c r="DP41"/>
  <c r="EZ42"/>
  <c r="EZ40"/>
  <c r="EV20"/>
  <c r="FP14"/>
  <c r="EU31"/>
  <c r="EU42"/>
  <c r="FK10"/>
  <c r="ET34"/>
  <c r="ET36"/>
  <c r="FK16"/>
  <c r="ET38"/>
  <c r="GA9"/>
  <c r="GA18"/>
  <c r="FK30"/>
  <c r="FK32"/>
  <c r="FZ9"/>
  <c r="FZ14"/>
  <c r="FJ30"/>
  <c r="FJ40"/>
  <c r="FK33"/>
  <c r="FZ21"/>
  <c r="FK37"/>
  <c r="GA22"/>
  <c r="FK38"/>
  <c r="FZ13"/>
  <c r="FJ10"/>
  <c r="FJ20"/>
  <c r="FZ20"/>
  <c r="EU41"/>
  <c r="FK41"/>
  <c r="ET35"/>
  <c r="FJ35"/>
  <c r="FJ12"/>
  <c r="ET42"/>
  <c r="FK20"/>
  <c r="GA20"/>
  <c r="EU40"/>
  <c r="FK14"/>
  <c r="GA14"/>
  <c r="EF41"/>
  <c r="EF37"/>
  <c r="FK40"/>
  <c r="FJ42"/>
  <c r="FJ33"/>
  <c r="FZ33"/>
  <c r="FJ32"/>
  <c r="FZ32"/>
  <c r="FJ41"/>
  <c r="FJ37"/>
  <c r="FK34"/>
  <c r="FP10"/>
  <c r="FP40"/>
  <c r="FP20"/>
  <c r="FP22"/>
  <c r="FP34"/>
  <c r="FP16"/>
  <c r="FP36"/>
  <c r="FP17"/>
  <c r="FP35"/>
  <c r="GF9"/>
  <c r="GF21"/>
  <c r="FP30"/>
  <c r="EV14"/>
  <c r="EV18"/>
  <c r="EV30"/>
  <c r="EV12"/>
  <c r="EV11"/>
  <c r="FL9"/>
  <c r="EV22"/>
  <c r="EV19"/>
  <c r="FL19"/>
  <c r="FJ36"/>
  <c r="FJ34"/>
  <c r="FK31"/>
  <c r="FK35"/>
  <c r="GA35"/>
  <c r="FL20"/>
  <c r="FP42"/>
  <c r="FL15"/>
  <c r="FP39"/>
  <c r="FL10"/>
  <c r="FP33"/>
  <c r="GF19"/>
  <c r="FP31"/>
  <c r="FZ12"/>
  <c r="FZ10"/>
  <c r="FZ22"/>
  <c r="GA15"/>
  <c r="FJ38"/>
  <c r="GA16"/>
  <c r="FK42"/>
  <c r="FK39"/>
  <c r="FJ31"/>
  <c r="FJ39"/>
  <c r="FK36"/>
  <c r="GP9"/>
  <c r="FZ30"/>
  <c r="FZ40"/>
  <c r="GQ9"/>
  <c r="GQ18"/>
  <c r="GA30"/>
  <c r="GA32"/>
  <c r="GQ20"/>
  <c r="GP20"/>
  <c r="GP13"/>
  <c r="GQ22"/>
  <c r="GP21"/>
  <c r="FZ34"/>
  <c r="GA10"/>
  <c r="GA21"/>
  <c r="GA17"/>
  <c r="GQ17"/>
  <c r="FZ11"/>
  <c r="FZ15"/>
  <c r="GP15"/>
  <c r="GA19"/>
  <c r="GA34"/>
  <c r="GA31"/>
  <c r="FZ36"/>
  <c r="GA37"/>
  <c r="GA38"/>
  <c r="FZ39"/>
  <c r="GA33"/>
  <c r="GF11"/>
  <c r="GF15"/>
  <c r="GF12"/>
  <c r="GF18"/>
  <c r="GF13"/>
  <c r="GF14"/>
  <c r="FL22"/>
  <c r="FL11"/>
  <c r="FL18"/>
  <c r="FP32"/>
  <c r="GF32"/>
  <c r="FP37"/>
  <c r="FP38"/>
  <c r="EV36"/>
  <c r="FL36"/>
  <c r="FP41"/>
  <c r="EV33"/>
  <c r="FL33"/>
  <c r="EV37"/>
  <c r="FL14"/>
  <c r="FL30"/>
  <c r="FL17"/>
  <c r="FL21"/>
  <c r="GB9"/>
  <c r="GB10"/>
  <c r="FL16"/>
  <c r="FL13"/>
  <c r="GB13"/>
  <c r="EV41"/>
  <c r="EV39"/>
  <c r="FL39"/>
  <c r="EV35"/>
  <c r="FL35"/>
  <c r="EV38"/>
  <c r="FL38"/>
  <c r="EV40"/>
  <c r="FL40"/>
  <c r="EV34"/>
  <c r="FL34"/>
  <c r="EV32"/>
  <c r="FL32"/>
  <c r="EV31"/>
  <c r="FL31"/>
  <c r="GF30"/>
  <c r="GV9"/>
  <c r="FZ31"/>
  <c r="GA42"/>
  <c r="GQ42"/>
  <c r="GV19"/>
  <c r="GF33"/>
  <c r="GF42"/>
  <c r="FL12"/>
  <c r="GB12"/>
  <c r="GF35"/>
  <c r="GF17"/>
  <c r="GV17"/>
  <c r="GF36"/>
  <c r="GF16"/>
  <c r="GV16"/>
  <c r="EV42"/>
  <c r="FL42"/>
  <c r="GF34"/>
  <c r="GF22"/>
  <c r="GF20"/>
  <c r="GV20"/>
  <c r="GF40"/>
  <c r="GF10"/>
  <c r="GV10"/>
  <c r="GQ19"/>
  <c r="GP11"/>
  <c r="GQ21"/>
  <c r="GQ10"/>
  <c r="GA36"/>
  <c r="GA39"/>
  <c r="FZ38"/>
  <c r="FZ37"/>
  <c r="FZ41"/>
  <c r="GP10"/>
  <c r="FZ35"/>
  <c r="FZ42"/>
  <c r="GQ14"/>
  <c r="HG9"/>
  <c r="HG18"/>
  <c r="GQ30"/>
  <c r="GQ32"/>
  <c r="HF9"/>
  <c r="GP30"/>
  <c r="GP40"/>
  <c r="GQ34"/>
  <c r="GQ35"/>
  <c r="HG17"/>
  <c r="GQ31"/>
  <c r="GP34"/>
  <c r="GQ37"/>
  <c r="GQ38"/>
  <c r="HF20"/>
  <c r="GP39"/>
  <c r="GP31"/>
  <c r="GQ16"/>
  <c r="HG16"/>
  <c r="GQ33"/>
  <c r="GQ15"/>
  <c r="GP32"/>
  <c r="GP22"/>
  <c r="GP33"/>
  <c r="GA41"/>
  <c r="GQ41"/>
  <c r="GP12"/>
  <c r="GA40"/>
  <c r="GQ40"/>
  <c r="GP14"/>
  <c r="GR13"/>
  <c r="FL41"/>
  <c r="GB41"/>
  <c r="HF14"/>
  <c r="HV14"/>
  <c r="HF12"/>
  <c r="HG22"/>
  <c r="HF21"/>
  <c r="GP41"/>
  <c r="GP38"/>
  <c r="GQ36"/>
  <c r="HG36"/>
  <c r="HW36"/>
  <c r="GV22"/>
  <c r="GV35"/>
  <c r="GB19"/>
  <c r="GB15"/>
  <c r="GR15"/>
  <c r="GF37"/>
  <c r="GB40"/>
  <c r="GB16"/>
  <c r="GR16"/>
  <c r="GB21"/>
  <c r="FL37"/>
  <c r="GB37"/>
  <c r="GF41"/>
  <c r="GF38"/>
  <c r="GV38"/>
  <c r="GB22"/>
  <c r="GR22"/>
  <c r="GF39"/>
  <c r="GV39"/>
  <c r="GV18"/>
  <c r="GV15"/>
  <c r="GF31"/>
  <c r="GV30"/>
  <c r="GV36"/>
  <c r="HL9"/>
  <c r="HL17"/>
  <c r="GB30"/>
  <c r="GB20"/>
  <c r="GR20"/>
  <c r="GR9"/>
  <c r="HL20"/>
  <c r="GV34"/>
  <c r="HL16"/>
  <c r="GV42"/>
  <c r="HL19"/>
  <c r="GB31"/>
  <c r="GB34"/>
  <c r="GB38"/>
  <c r="GB17"/>
  <c r="GR17"/>
  <c r="GB14"/>
  <c r="GR14"/>
  <c r="GB33"/>
  <c r="GV32"/>
  <c r="GB18"/>
  <c r="GR18"/>
  <c r="GB11"/>
  <c r="GR11"/>
  <c r="GV14"/>
  <c r="HL14"/>
  <c r="GV13"/>
  <c r="HL13"/>
  <c r="GV12"/>
  <c r="GV11"/>
  <c r="HL11"/>
  <c r="GV21"/>
  <c r="HL21"/>
  <c r="HF22"/>
  <c r="HG15"/>
  <c r="HG20"/>
  <c r="HW20"/>
  <c r="HF13"/>
  <c r="HF15"/>
  <c r="HV15"/>
  <c r="GP42"/>
  <c r="GP35"/>
  <c r="GP37"/>
  <c r="GQ39"/>
  <c r="GP36"/>
  <c r="HG10"/>
  <c r="HG19"/>
  <c r="HV9"/>
  <c r="HV30"/>
  <c r="HF30"/>
  <c r="HF31"/>
  <c r="HV31"/>
  <c r="HW9"/>
  <c r="HW30"/>
  <c r="HG30"/>
  <c r="HG32"/>
  <c r="HW32"/>
  <c r="HV12"/>
  <c r="HF32"/>
  <c r="HV32"/>
  <c r="HW16"/>
  <c r="HV20"/>
  <c r="HW22"/>
  <c r="HV21"/>
  <c r="HW17"/>
  <c r="HG34"/>
  <c r="HW34"/>
  <c r="HG14"/>
  <c r="HW14"/>
  <c r="HF10"/>
  <c r="HV10"/>
  <c r="HG21"/>
  <c r="HW21"/>
  <c r="HF11"/>
  <c r="HV11"/>
  <c r="IB17"/>
  <c r="HH9"/>
  <c r="GR30"/>
  <c r="GR41"/>
  <c r="GB39"/>
  <c r="GR39"/>
  <c r="GB36"/>
  <c r="GR36"/>
  <c r="GB32"/>
  <c r="GR32"/>
  <c r="HF41"/>
  <c r="HV41"/>
  <c r="HW19"/>
  <c r="HW10"/>
  <c r="HL12"/>
  <c r="HH14"/>
  <c r="GR38"/>
  <c r="GR31"/>
  <c r="GV31"/>
  <c r="HL18"/>
  <c r="GV41"/>
  <c r="GR21"/>
  <c r="HH21"/>
  <c r="GB35"/>
  <c r="GR35"/>
  <c r="GV37"/>
  <c r="GV33"/>
  <c r="GR19"/>
  <c r="HH19"/>
  <c r="GB42"/>
  <c r="GR42"/>
  <c r="GV40"/>
  <c r="GR10"/>
  <c r="HH10"/>
  <c r="GR12"/>
  <c r="HL10"/>
  <c r="IB10"/>
  <c r="IB9"/>
  <c r="IB30"/>
  <c r="HL30"/>
  <c r="HL32"/>
  <c r="IB32"/>
  <c r="IB21"/>
  <c r="IB11"/>
  <c r="IB13"/>
  <c r="IB14"/>
  <c r="GR33"/>
  <c r="GR34"/>
  <c r="IB19"/>
  <c r="HL42"/>
  <c r="IB42"/>
  <c r="IB16"/>
  <c r="IB20"/>
  <c r="HL15"/>
  <c r="IB15"/>
  <c r="GR37"/>
  <c r="GR40"/>
  <c r="HL22"/>
  <c r="IB22"/>
  <c r="HF38"/>
  <c r="HV38"/>
  <c r="HG35"/>
  <c r="HW35"/>
  <c r="HG31"/>
  <c r="HW31"/>
  <c r="HF33"/>
  <c r="HV33"/>
  <c r="HG41"/>
  <c r="HW41"/>
  <c r="HF36"/>
  <c r="HV36"/>
  <c r="HF35"/>
  <c r="HV35"/>
  <c r="HG37"/>
  <c r="HW37"/>
  <c r="HV13"/>
  <c r="HF39"/>
  <c r="HV39"/>
  <c r="HG42"/>
  <c r="HW42"/>
  <c r="HW15"/>
  <c r="HF40"/>
  <c r="HV40"/>
  <c r="HG39"/>
  <c r="HW39"/>
  <c r="HF37"/>
  <c r="HV37"/>
  <c r="HF42"/>
  <c r="HV42"/>
  <c r="HF34"/>
  <c r="HV34"/>
  <c r="HG38"/>
  <c r="HW38"/>
  <c r="HG33"/>
  <c r="HW33"/>
  <c r="HV22"/>
  <c r="HG40"/>
  <c r="HW40"/>
  <c r="HW18"/>
  <c r="HH41"/>
  <c r="HH39"/>
  <c r="HH17"/>
  <c r="HH15"/>
  <c r="HH11"/>
  <c r="HH20"/>
  <c r="HH30"/>
  <c r="HX9"/>
  <c r="HX10"/>
  <c r="HL40"/>
  <c r="IB40"/>
  <c r="HX19"/>
  <c r="HL37"/>
  <c r="IB37"/>
  <c r="HL31"/>
  <c r="IB31"/>
  <c r="HL34"/>
  <c r="IB34"/>
  <c r="HX14"/>
  <c r="HH16"/>
  <c r="HX16"/>
  <c r="HH13"/>
  <c r="HL35"/>
  <c r="IB35"/>
  <c r="HL38"/>
  <c r="IB38"/>
  <c r="HL39"/>
  <c r="IB39"/>
  <c r="HH33"/>
  <c r="HH12"/>
  <c r="HX12"/>
  <c r="HL33"/>
  <c r="IB33"/>
  <c r="HL41"/>
  <c r="IB41"/>
  <c r="IB18"/>
  <c r="HL36"/>
  <c r="IB36"/>
  <c r="IB12"/>
  <c r="HH22"/>
  <c r="HX22"/>
  <c r="HH18"/>
  <c r="HX30"/>
  <c r="HX21"/>
  <c r="HH40"/>
  <c r="HX40"/>
  <c r="HH35"/>
  <c r="HX35"/>
  <c r="HH36"/>
  <c r="HX36"/>
  <c r="HH37"/>
  <c r="HX37"/>
  <c r="HH34"/>
  <c r="HX34"/>
  <c r="HH31"/>
  <c r="HX31"/>
  <c r="HH42"/>
  <c r="HX42"/>
  <c r="HH38"/>
  <c r="HX38"/>
  <c r="HX20"/>
  <c r="HX15"/>
  <c r="HX39"/>
  <c r="HX41"/>
  <c r="HX18"/>
  <c r="HX33"/>
  <c r="HX13"/>
  <c r="HX11"/>
  <c r="HX17"/>
  <c r="HH32"/>
  <c r="HX32"/>
  <c r="AK7" i="55"/>
  <c r="V7" i="57" s="1"/>
  <c r="B10" i="63"/>
  <c r="C10"/>
  <c r="AB12" i="62"/>
  <c r="AB13"/>
  <c r="AB14" s="1"/>
  <c r="AB15" s="1"/>
  <c r="AB16" s="1"/>
  <c r="AB17" s="1"/>
  <c r="AB18" s="1"/>
  <c r="AB19" s="1"/>
  <c r="AB20" s="1"/>
  <c r="D35"/>
  <c r="M34"/>
  <c r="I34"/>
  <c r="J34" s="1"/>
  <c r="E34"/>
  <c r="AB23" i="26"/>
  <c r="AC23"/>
  <c r="X23"/>
  <c r="AE90" i="62"/>
  <c r="AA90" s="1"/>
  <c r="AE89"/>
  <c r="AE88"/>
  <c r="AA88"/>
  <c r="AE87"/>
  <c r="AA87"/>
  <c r="AE86"/>
  <c r="AA86"/>
  <c r="AE85"/>
  <c r="AE84"/>
  <c r="AA84" s="1"/>
  <c r="AE83"/>
  <c r="AA83" s="1"/>
  <c r="AE82"/>
  <c r="AA82" s="1"/>
  <c r="AE81"/>
  <c r="AE80"/>
  <c r="AA80"/>
  <c r="AE79"/>
  <c r="AA79"/>
  <c r="AE78"/>
  <c r="AA78"/>
  <c r="AE77"/>
  <c r="AE76"/>
  <c r="AA76" s="1"/>
  <c r="AE75"/>
  <c r="AA75" s="1"/>
  <c r="AE74"/>
  <c r="AA74" s="1"/>
  <c r="AD90"/>
  <c r="Z90" s="1"/>
  <c r="AD89"/>
  <c r="AB89" s="1"/>
  <c r="AD88"/>
  <c r="Z88" s="1"/>
  <c r="AD87"/>
  <c r="AB87" s="1"/>
  <c r="AD86"/>
  <c r="Z86" s="1"/>
  <c r="AD85"/>
  <c r="Z85" s="1"/>
  <c r="AD84"/>
  <c r="Z84" s="1"/>
  <c r="AD83"/>
  <c r="AD82"/>
  <c r="Z82"/>
  <c r="AD81"/>
  <c r="Z81"/>
  <c r="AD80"/>
  <c r="Z80"/>
  <c r="AD79"/>
  <c r="AD78"/>
  <c r="Z78" s="1"/>
  <c r="AD77"/>
  <c r="Z77" s="1"/>
  <c r="AD76"/>
  <c r="Z76" s="1"/>
  <c r="AD75"/>
  <c r="AD74"/>
  <c r="Z74"/>
  <c r="AD73"/>
  <c r="G38" i="58"/>
  <c r="I38" s="1"/>
  <c r="K11" i="62"/>
  <c r="K12"/>
  <c r="K13"/>
  <c r="K14"/>
  <c r="K15"/>
  <c r="K16"/>
  <c r="K17"/>
  <c r="K18"/>
  <c r="J22"/>
  <c r="J23"/>
  <c r="J24"/>
  <c r="R24" s="1"/>
  <c r="J32"/>
  <c r="E33"/>
  <c r="I33"/>
  <c r="J33" s="1"/>
  <c r="M33"/>
  <c r="J10"/>
  <c r="J11"/>
  <c r="J12"/>
  <c r="J17"/>
  <c r="J18"/>
  <c r="J19"/>
  <c r="J20"/>
  <c r="K11" i="61"/>
  <c r="K12"/>
  <c r="K13"/>
  <c r="K14"/>
  <c r="K15"/>
  <c r="K16"/>
  <c r="K17"/>
  <c r="K18"/>
  <c r="J22"/>
  <c r="J23"/>
  <c r="J24"/>
  <c r="R24" s="1"/>
  <c r="J32"/>
  <c r="E33"/>
  <c r="D34"/>
  <c r="AD34"/>
  <c r="V34"/>
  <c r="J10"/>
  <c r="J11"/>
  <c r="J12"/>
  <c r="J17"/>
  <c r="J18"/>
  <c r="J19"/>
  <c r="J20"/>
  <c r="AF71"/>
  <c r="AF72"/>
  <c r="AD73"/>
  <c r="AF73"/>
  <c r="AD74"/>
  <c r="AB74" s="1"/>
  <c r="AD75"/>
  <c r="AF75"/>
  <c r="AD76"/>
  <c r="AB76" s="1"/>
  <c r="AD77"/>
  <c r="AB77" s="1"/>
  <c r="AF77"/>
  <c r="AD78"/>
  <c r="AB78"/>
  <c r="AD79"/>
  <c r="AB79"/>
  <c r="AF79"/>
  <c r="AD80"/>
  <c r="AB80" s="1"/>
  <c r="AD81"/>
  <c r="AB81" s="1"/>
  <c r="AF81"/>
  <c r="AD82"/>
  <c r="AB82"/>
  <c r="AD83"/>
  <c r="AB83"/>
  <c r="AF83"/>
  <c r="AD84"/>
  <c r="AB84" s="1"/>
  <c r="AD85"/>
  <c r="AB85" s="1"/>
  <c r="AF85"/>
  <c r="AD86"/>
  <c r="AB86"/>
  <c r="AD87"/>
  <c r="AB87"/>
  <c r="AF87"/>
  <c r="AD88"/>
  <c r="AB88" s="1"/>
  <c r="AD89"/>
  <c r="AB89" s="1"/>
  <c r="AF89"/>
  <c r="AD90"/>
  <c r="AB90"/>
  <c r="AE75"/>
  <c r="AC75"/>
  <c r="AZ75" s="1"/>
  <c r="AE77"/>
  <c r="AE79"/>
  <c r="AC79"/>
  <c r="AZ79" s="1"/>
  <c r="AE81"/>
  <c r="AA81" s="1"/>
  <c r="AE83"/>
  <c r="AC83" s="1"/>
  <c r="AZ83" s="1"/>
  <c r="AE85"/>
  <c r="AA85"/>
  <c r="AE87"/>
  <c r="AC87"/>
  <c r="AZ87" s="1"/>
  <c r="AE89"/>
  <c r="AA89" s="1"/>
  <c r="AB12" i="3"/>
  <c r="AB13" s="1"/>
  <c r="AB14" s="1"/>
  <c r="AB15" s="1"/>
  <c r="AB16" s="1"/>
  <c r="AB17" s="1"/>
  <c r="AB18" s="1"/>
  <c r="AB19" s="1"/>
  <c r="AB20" s="1"/>
  <c r="D34"/>
  <c r="D35"/>
  <c r="AD33"/>
  <c r="V33"/>
  <c r="AR9" i="55"/>
  <c r="AP9"/>
  <c r="AP31" s="1"/>
  <c r="AP37" s="1"/>
  <c r="AS9"/>
  <c r="AK9"/>
  <c r="AC75" i="62"/>
  <c r="AZ75" s="1"/>
  <c r="AC76"/>
  <c r="AZ76" s="1"/>
  <c r="BA76"/>
  <c r="AA77"/>
  <c r="AC78"/>
  <c r="AZ78" s="1"/>
  <c r="BA78"/>
  <c r="BA79"/>
  <c r="AC80"/>
  <c r="AZ80" s="1"/>
  <c r="BA80"/>
  <c r="AC83"/>
  <c r="AZ83" s="1"/>
  <c r="AC84"/>
  <c r="AZ84" s="1"/>
  <c r="BA84"/>
  <c r="AA85"/>
  <c r="AC86"/>
  <c r="AZ86" s="1"/>
  <c r="BA86"/>
  <c r="BA87"/>
  <c r="AC88"/>
  <c r="AZ88" s="1"/>
  <c r="BA88"/>
  <c r="D36"/>
  <c r="I35"/>
  <c r="J35"/>
  <c r="E35"/>
  <c r="D35" i="61"/>
  <c r="M34"/>
  <c r="I34"/>
  <c r="J34" s="1"/>
  <c r="E34"/>
  <c r="D37" i="62"/>
  <c r="M36"/>
  <c r="I36"/>
  <c r="J36"/>
  <c r="AB22" i="3"/>
  <c r="M82" i="26"/>
  <c r="Q82" s="1"/>
  <c r="U82" s="1"/>
  <c r="AB22" i="62"/>
  <c r="AB22" i="61"/>
  <c r="M37" i="62"/>
  <c r="D36" i="61"/>
  <c r="M36"/>
  <c r="I35"/>
  <c r="J35" s="1"/>
  <c r="E37" i="62"/>
  <c r="E35" i="61"/>
  <c r="BA75"/>
  <c r="Z76" i="3"/>
  <c r="Z84"/>
  <c r="K18"/>
  <c r="K20"/>
  <c r="AD89"/>
  <c r="AB89"/>
  <c r="AD85"/>
  <c r="Z85"/>
  <c r="AD81"/>
  <c r="AB81"/>
  <c r="AE74"/>
  <c r="AC74"/>
  <c r="AE80"/>
  <c r="AE82"/>
  <c r="BA82" s="1"/>
  <c r="AE84"/>
  <c r="AA84" s="1"/>
  <c r="AE86"/>
  <c r="AA86" s="1"/>
  <c r="AE88"/>
  <c r="M32"/>
  <c r="AD74"/>
  <c r="AB74" s="1"/>
  <c r="AA89"/>
  <c r="V108" i="50"/>
  <c r="V109"/>
  <c r="V110" s="1"/>
  <c r="V111" s="1"/>
  <c r="V112" s="1"/>
  <c r="V113" s="1"/>
  <c r="V114" s="1"/>
  <c r="V115" s="1"/>
  <c r="Z108"/>
  <c r="Z109"/>
  <c r="Z110" s="1"/>
  <c r="Z111" s="1"/>
  <c r="Z112" s="1"/>
  <c r="Z113" s="1"/>
  <c r="Z114" s="1"/>
  <c r="Z115" s="1"/>
  <c r="T108"/>
  <c r="T109"/>
  <c r="T110" s="1"/>
  <c r="T111" s="1"/>
  <c r="T112" s="1"/>
  <c r="T113" s="1"/>
  <c r="T114" s="1"/>
  <c r="T115" s="1"/>
  <c r="X108"/>
  <c r="X109"/>
  <c r="X110" s="1"/>
  <c r="X111" s="1"/>
  <c r="X112" s="1"/>
  <c r="X113" s="1"/>
  <c r="X114" s="1"/>
  <c r="X115" s="1"/>
  <c r="AB108"/>
  <c r="AB109"/>
  <c r="AB110" s="1"/>
  <c r="AB111" s="1"/>
  <c r="AB112" s="1"/>
  <c r="AB113" s="1"/>
  <c r="AB114" s="1"/>
  <c r="AB115" s="1"/>
  <c r="AF108"/>
  <c r="AF109"/>
  <c r="AF110" s="1"/>
  <c r="AF111" s="1"/>
  <c r="AF112" s="1"/>
  <c r="AF113" s="1"/>
  <c r="AF114" s="1"/>
  <c r="AF115" s="1"/>
  <c r="AD108"/>
  <c r="AD109"/>
  <c r="AD110" s="1"/>
  <c r="AD111" s="1"/>
  <c r="AD112" s="1"/>
  <c r="AD113" s="1"/>
  <c r="AD114" s="1"/>
  <c r="AD115" s="1"/>
  <c r="AA108"/>
  <c r="AA109"/>
  <c r="AA110" s="1"/>
  <c r="AA111" s="1"/>
  <c r="AA112" s="1"/>
  <c r="AA113" s="1"/>
  <c r="AA114" s="1"/>
  <c r="AA115" s="1"/>
  <c r="W108"/>
  <c r="W109"/>
  <c r="W110" s="1"/>
  <c r="W111" s="1"/>
  <c r="W112" s="1"/>
  <c r="W113" s="1"/>
  <c r="W114" s="1"/>
  <c r="W115" s="1"/>
  <c r="AE108"/>
  <c r="AE109"/>
  <c r="AE110" s="1"/>
  <c r="AE111" s="1"/>
  <c r="AE112" s="1"/>
  <c r="AE113" s="1"/>
  <c r="AE114" s="1"/>
  <c r="AE115" s="1"/>
  <c r="AG108"/>
  <c r="AG109"/>
  <c r="AG110" s="1"/>
  <c r="AG111" s="1"/>
  <c r="AG112" s="1"/>
  <c r="AG113" s="1"/>
  <c r="AG114" s="1"/>
  <c r="AG115" s="1"/>
  <c r="AC108"/>
  <c r="AC109"/>
  <c r="AC110" s="1"/>
  <c r="AC111"/>
  <c r="AC112" s="1"/>
  <c r="AC113" s="1"/>
  <c r="AC114" s="1"/>
  <c r="AC115" s="1"/>
  <c r="Y108"/>
  <c r="Y109"/>
  <c r="Y110" s="1"/>
  <c r="Y111" s="1"/>
  <c r="Y112" s="1"/>
  <c r="Y113" s="1"/>
  <c r="Y114" s="1"/>
  <c r="Y115" s="1"/>
  <c r="U108"/>
  <c r="U109"/>
  <c r="U110" s="1"/>
  <c r="U111"/>
  <c r="U112" s="1"/>
  <c r="U113" s="1"/>
  <c r="U114" s="1"/>
  <c r="U115" s="1"/>
  <c r="T144"/>
  <c r="T145"/>
  <c r="T146" s="1"/>
  <c r="T147" s="1"/>
  <c r="T148" s="1"/>
  <c r="T149" s="1"/>
  <c r="T150" s="1"/>
  <c r="T151" s="1"/>
  <c r="AG314"/>
  <c r="AG315" s="1"/>
  <c r="AG316"/>
  <c r="AG317" s="1"/>
  <c r="AG318" s="1"/>
  <c r="AG319" s="1"/>
  <c r="AG320" s="1"/>
  <c r="AG321" s="1"/>
  <c r="U472"/>
  <c r="U473" s="1"/>
  <c r="Y472"/>
  <c r="Y473" s="1"/>
  <c r="Y474" s="1"/>
  <c r="Y475" s="1"/>
  <c r="Y476" s="1"/>
  <c r="Y477" s="1"/>
  <c r="Y478" s="1"/>
  <c r="Y479" s="1"/>
  <c r="AC472"/>
  <c r="AC473" s="1"/>
  <c r="AC474" s="1"/>
  <c r="AC475" s="1"/>
  <c r="AC476" s="1"/>
  <c r="AC477" s="1"/>
  <c r="AC478" s="1"/>
  <c r="AC479" s="1"/>
  <c r="AG472"/>
  <c r="AG473" s="1"/>
  <c r="AG474" s="1"/>
  <c r="AG475" s="1"/>
  <c r="AG476" s="1"/>
  <c r="AG477" s="1"/>
  <c r="AG478" s="1"/>
  <c r="AG479" s="1"/>
  <c r="T472"/>
  <c r="T473" s="1"/>
  <c r="T474" s="1"/>
  <c r="T475" s="1"/>
  <c r="T476" s="1"/>
  <c r="T477" s="1"/>
  <c r="T478" s="1"/>
  <c r="T479" s="1"/>
  <c r="E116" i="49"/>
  <c r="F69"/>
  <c r="I69"/>
  <c r="J69"/>
  <c r="D23"/>
  <c r="AD72" i="62"/>
  <c r="I37"/>
  <c r="J37" s="1"/>
  <c r="D38"/>
  <c r="AE76" i="3"/>
  <c r="AA76"/>
  <c r="AE77"/>
  <c r="AC77"/>
  <c r="AZ77" s="1"/>
  <c r="AE78"/>
  <c r="BA78" s="1"/>
  <c r="AE79"/>
  <c r="AA79" s="1"/>
  <c r="S7" i="55"/>
  <c r="AD75" i="3"/>
  <c r="Z75" s="1"/>
  <c r="AD73"/>
  <c r="I36" i="61"/>
  <c r="J36"/>
  <c r="E36"/>
  <c r="F8"/>
  <c r="E23" i="49"/>
  <c r="B387" i="50"/>
  <c r="B205"/>
  <c r="B23"/>
  <c r="S3" i="26"/>
  <c r="D70" i="49"/>
  <c r="F23"/>
  <c r="I116"/>
  <c r="L116"/>
  <c r="F116"/>
  <c r="J116"/>
  <c r="K116"/>
  <c r="D39" i="62"/>
  <c r="I38"/>
  <c r="J38" s="1"/>
  <c r="E38"/>
  <c r="X9" i="55"/>
  <c r="X31" s="1"/>
  <c r="X37" s="1"/>
  <c r="D117" i="49"/>
  <c r="C387" i="50"/>
  <c r="C23"/>
  <c r="E70" i="49"/>
  <c r="I23"/>
  <c r="D24"/>
  <c r="S4" i="26"/>
  <c r="L23" i="49"/>
  <c r="C205" i="50"/>
  <c r="W206"/>
  <c r="W207" s="1"/>
  <c r="W208"/>
  <c r="W209" s="1"/>
  <c r="W210" s="1"/>
  <c r="W211" s="1"/>
  <c r="W212" s="1"/>
  <c r="W213" s="1"/>
  <c r="J23" i="49"/>
  <c r="K23"/>
  <c r="G8" i="61"/>
  <c r="D40" i="62"/>
  <c r="I39"/>
  <c r="J39" s="1"/>
  <c r="F8"/>
  <c r="B217" i="50"/>
  <c r="B399"/>
  <c r="U400" s="1"/>
  <c r="U401" s="1"/>
  <c r="U402" s="1"/>
  <c r="U403" s="1"/>
  <c r="U404" s="1"/>
  <c r="U405" s="1"/>
  <c r="U406" s="1"/>
  <c r="U407" s="1"/>
  <c r="D71" i="49"/>
  <c r="F24"/>
  <c r="W3" i="26"/>
  <c r="B35" i="50"/>
  <c r="Y36" s="1"/>
  <c r="Y37" s="1"/>
  <c r="Y38" s="1"/>
  <c r="Y39" s="1"/>
  <c r="Y40" s="1"/>
  <c r="Y41" s="1"/>
  <c r="Y42" s="1"/>
  <c r="Y43" s="1"/>
  <c r="I70" i="49"/>
  <c r="E117"/>
  <c r="J70"/>
  <c r="F70"/>
  <c r="D41" i="62"/>
  <c r="I40"/>
  <c r="J40" s="1"/>
  <c r="J117" i="49"/>
  <c r="K117"/>
  <c r="I117"/>
  <c r="L117"/>
  <c r="E71"/>
  <c r="F71"/>
  <c r="C217" i="50"/>
  <c r="AD218" s="1"/>
  <c r="L24" i="49"/>
  <c r="J24"/>
  <c r="C35" i="50"/>
  <c r="I24" i="49"/>
  <c r="W4" i="26"/>
  <c r="K24" i="49"/>
  <c r="C399" i="50"/>
  <c r="G8" i="62"/>
  <c r="F117" i="49"/>
  <c r="D118"/>
  <c r="D42" i="62"/>
  <c r="E41"/>
  <c r="I41"/>
  <c r="J41"/>
  <c r="AD219" i="50"/>
  <c r="AD220" s="1"/>
  <c r="AD221" s="1"/>
  <c r="AD222" s="1"/>
  <c r="AD223" s="1"/>
  <c r="AD224" s="1"/>
  <c r="AD225" s="1"/>
  <c r="I71" i="49"/>
  <c r="D43" i="62"/>
  <c r="M43"/>
  <c r="M42"/>
  <c r="E42"/>
  <c r="I42"/>
  <c r="J42" s="1"/>
  <c r="E43"/>
  <c r="I43"/>
  <c r="J43"/>
  <c r="M54" i="65"/>
  <c r="M58"/>
  <c r="M54" i="66"/>
  <c r="M58"/>
  <c r="M57" i="67"/>
  <c r="M57" i="65"/>
  <c r="M59" i="67"/>
  <c r="M59" i="66"/>
  <c r="P21" i="59"/>
  <c r="M59" i="65"/>
  <c r="AC86" i="3"/>
  <c r="AZ86"/>
  <c r="F30" i="58"/>
  <c r="H30"/>
  <c r="G31"/>
  <c r="I31"/>
  <c r="L36" i="49"/>
  <c r="L25"/>
  <c r="L26"/>
  <c r="L30"/>
  <c r="L33"/>
  <c r="P23" i="26"/>
  <c r="AL269" i="50"/>
  <c r="A270"/>
  <c r="AL365"/>
  <c r="A366"/>
  <c r="AL329"/>
  <c r="A330"/>
  <c r="AD532"/>
  <c r="AD533"/>
  <c r="AD534" s="1"/>
  <c r="AD535" s="1"/>
  <c r="AD536" s="1"/>
  <c r="AD537" s="1"/>
  <c r="AD538" s="1"/>
  <c r="AD539" s="1"/>
  <c r="V326"/>
  <c r="V327"/>
  <c r="V328" s="1"/>
  <c r="V329" s="1"/>
  <c r="V330" s="1"/>
  <c r="V331" s="1"/>
  <c r="V332" s="1"/>
  <c r="AA326"/>
  <c r="AA327"/>
  <c r="AA328" s="1"/>
  <c r="AA329" s="1"/>
  <c r="AA330" s="1"/>
  <c r="AA331" s="1"/>
  <c r="AA332" s="1"/>
  <c r="AA333" s="1"/>
  <c r="T484"/>
  <c r="T485"/>
  <c r="T486" s="1"/>
  <c r="T487" s="1"/>
  <c r="T488" s="1"/>
  <c r="T489" s="1"/>
  <c r="T490" s="1"/>
  <c r="T491" s="1"/>
  <c r="X484"/>
  <c r="X485"/>
  <c r="X486" s="1"/>
  <c r="X487" s="1"/>
  <c r="X488" s="1"/>
  <c r="X489" s="1"/>
  <c r="X490" s="1"/>
  <c r="X491" s="1"/>
  <c r="V484"/>
  <c r="V485"/>
  <c r="V486" s="1"/>
  <c r="V487" s="1"/>
  <c r="V488" s="1"/>
  <c r="V489" s="1"/>
  <c r="V490" s="1"/>
  <c r="V491" s="1"/>
  <c r="Z484"/>
  <c r="Z485"/>
  <c r="Z486" s="1"/>
  <c r="Z487" s="1"/>
  <c r="Z488" s="1"/>
  <c r="Z489" s="1"/>
  <c r="Z490" s="1"/>
  <c r="Z491" s="1"/>
  <c r="AC484"/>
  <c r="AC485" s="1"/>
  <c r="AC486" s="1"/>
  <c r="AC487" s="1"/>
  <c r="AC488" s="1"/>
  <c r="AC489" s="1"/>
  <c r="AC490" s="1"/>
  <c r="AC491" s="1"/>
  <c r="AF302"/>
  <c r="AF303" s="1"/>
  <c r="AF304" s="1"/>
  <c r="AF305" s="1"/>
  <c r="AF306" s="1"/>
  <c r="AF307" s="1"/>
  <c r="AF308" s="1"/>
  <c r="AF309" s="1"/>
  <c r="AA290"/>
  <c r="AA291" s="1"/>
  <c r="AA292" s="1"/>
  <c r="AA293" s="1"/>
  <c r="AA294" s="1"/>
  <c r="AA295" s="1"/>
  <c r="AA296" s="1"/>
  <c r="AA297" s="1"/>
  <c r="X290"/>
  <c r="X291" s="1"/>
  <c r="X292" s="1"/>
  <c r="X293" s="1"/>
  <c r="X294" s="1"/>
  <c r="X295" s="1"/>
  <c r="X296" s="1"/>
  <c r="X297" s="1"/>
  <c r="Y290"/>
  <c r="Y291" s="1"/>
  <c r="Y292" s="1"/>
  <c r="Y293" s="1"/>
  <c r="Y294" s="1"/>
  <c r="Y295" s="1"/>
  <c r="Y296" s="1"/>
  <c r="Y297" s="1"/>
  <c r="AL317"/>
  <c r="A318"/>
  <c r="AL281"/>
  <c r="A282"/>
  <c r="B429"/>
  <c r="G417"/>
  <c r="H417"/>
  <c r="L417"/>
  <c r="M417"/>
  <c r="I417"/>
  <c r="E417"/>
  <c r="F417"/>
  <c r="J417"/>
  <c r="K417"/>
  <c r="B406"/>
  <c r="F394"/>
  <c r="E391"/>
  <c r="B403"/>
  <c r="A376"/>
  <c r="C375"/>
  <c r="B375"/>
  <c r="A194"/>
  <c r="B193"/>
  <c r="C193"/>
  <c r="G11" i="46"/>
  <c r="W11" s="1"/>
  <c r="AM11" s="1"/>
  <c r="BC11" s="1"/>
  <c r="BS11" s="1"/>
  <c r="CI11" s="1"/>
  <c r="CY11" s="1"/>
  <c r="DO11" s="1"/>
  <c r="EE11" s="1"/>
  <c r="EU11" s="1"/>
  <c r="FK11" s="1"/>
  <c r="GA11" s="1"/>
  <c r="GQ11" s="1"/>
  <c r="HG11" s="1"/>
  <c r="HW11" s="1"/>
  <c r="W12"/>
  <c r="AM12"/>
  <c r="BC12" s="1"/>
  <c r="BS12" s="1"/>
  <c r="CI12" s="1"/>
  <c r="CY12" s="1"/>
  <c r="DO12" s="1"/>
  <c r="EE12" s="1"/>
  <c r="EU12" s="1"/>
  <c r="FK12" s="1"/>
  <c r="GA12" s="1"/>
  <c r="GQ12" s="1"/>
  <c r="HG12" s="1"/>
  <c r="HW12" s="1"/>
  <c r="M99" i="49"/>
  <c r="E276" i="50"/>
  <c r="M10" i="61"/>
  <c r="AF10"/>
  <c r="M13"/>
  <c r="AF13"/>
  <c r="M16"/>
  <c r="AF16"/>
  <c r="M18"/>
  <c r="AF18"/>
  <c r="M10" i="62"/>
  <c r="AF10"/>
  <c r="M14"/>
  <c r="AF14"/>
  <c r="M15"/>
  <c r="AF15"/>
  <c r="M17"/>
  <c r="AF17"/>
  <c r="M9" i="65"/>
  <c r="AB9"/>
  <c r="M13"/>
  <c r="AB13"/>
  <c r="M16"/>
  <c r="AB16"/>
  <c r="M18"/>
  <c r="AB18"/>
  <c r="M9" i="66"/>
  <c r="AB9"/>
  <c r="K13"/>
  <c r="M14"/>
  <c r="AB14" s="1"/>
  <c r="M15"/>
  <c r="AB15" s="1"/>
  <c r="M16"/>
  <c r="AB16" s="1"/>
  <c r="M18"/>
  <c r="AB18" s="1"/>
  <c r="J10" i="67"/>
  <c r="M10"/>
  <c r="AB10"/>
  <c r="M13"/>
  <c r="AB13"/>
  <c r="M14"/>
  <c r="AB14"/>
  <c r="M15"/>
  <c r="AB15"/>
  <c r="M16"/>
  <c r="AB16"/>
  <c r="M17"/>
  <c r="AB17"/>
  <c r="M18"/>
  <c r="AB18"/>
  <c r="M9" i="61"/>
  <c r="AF9"/>
  <c r="M14"/>
  <c r="AF14"/>
  <c r="M15"/>
  <c r="AF15"/>
  <c r="M17"/>
  <c r="AF17"/>
  <c r="M9" i="62"/>
  <c r="AF9"/>
  <c r="M13"/>
  <c r="AF13"/>
  <c r="M16"/>
  <c r="AF16"/>
  <c r="M18"/>
  <c r="AF18"/>
  <c r="M10" i="65"/>
  <c r="AB10"/>
  <c r="M14"/>
  <c r="AB14"/>
  <c r="M17"/>
  <c r="AB17"/>
  <c r="M10" i="66"/>
  <c r="AB10"/>
  <c r="K11"/>
  <c r="M17"/>
  <c r="AB17" s="1"/>
  <c r="J11" i="67"/>
  <c r="K12"/>
  <c r="K14"/>
  <c r="K16"/>
  <c r="J17"/>
  <c r="K18"/>
  <c r="D44" i="62"/>
  <c r="D37" i="61"/>
  <c r="AT7" i="55"/>
  <c r="M34" i="3"/>
  <c r="I34"/>
  <c r="J34" s="1"/>
  <c r="I35"/>
  <c r="J35" s="1"/>
  <c r="D13" i="55"/>
  <c r="D13" i="57" s="1"/>
  <c r="E35" i="3"/>
  <c r="D36"/>
  <c r="D12" i="55"/>
  <c r="D12" i="57" s="1"/>
  <c r="E34" i="3"/>
  <c r="J23" i="65"/>
  <c r="J20"/>
  <c r="J18"/>
  <c r="D34"/>
  <c r="I33"/>
  <c r="J33"/>
  <c r="E33"/>
  <c r="J12"/>
  <c r="K14"/>
  <c r="K16"/>
  <c r="K18"/>
  <c r="J22"/>
  <c r="AA78"/>
  <c r="AA80"/>
  <c r="AA82"/>
  <c r="Y82"/>
  <c r="AV82" s="1"/>
  <c r="AA84"/>
  <c r="AA86"/>
  <c r="Y86"/>
  <c r="AV86" s="1"/>
  <c r="AA88"/>
  <c r="AA90"/>
  <c r="Y90"/>
  <c r="AV90" s="1"/>
  <c r="AA92"/>
  <c r="AA94"/>
  <c r="Y94"/>
  <c r="AV94" s="1"/>
  <c r="K19"/>
  <c r="K17"/>
  <c r="K15"/>
  <c r="K13"/>
  <c r="AF24" i="50"/>
  <c r="AF25" s="1"/>
  <c r="AF26" s="1"/>
  <c r="AF27" s="1"/>
  <c r="AF28" s="1"/>
  <c r="AF29" s="1"/>
  <c r="AF30" s="1"/>
  <c r="AF31" s="1"/>
  <c r="AA24"/>
  <c r="AA25" s="1"/>
  <c r="AA26" s="1"/>
  <c r="AA27" s="1"/>
  <c r="AA28" s="1"/>
  <c r="AA29" s="1"/>
  <c r="AA30" s="1"/>
  <c r="AA31" s="1"/>
  <c r="X27" i="26"/>
  <c r="AF27"/>
  <c r="G8" i="65"/>
  <c r="J10"/>
  <c r="J11"/>
  <c r="K12"/>
  <c r="J17"/>
  <c r="J19"/>
  <c r="J21"/>
  <c r="J24"/>
  <c r="R24"/>
  <c r="M33"/>
  <c r="Z33"/>
  <c r="S33" s="1"/>
  <c r="M32" i="66"/>
  <c r="Z78" i="65"/>
  <c r="X78"/>
  <c r="Z80"/>
  <c r="V80"/>
  <c r="Z82"/>
  <c r="V82"/>
  <c r="Z84"/>
  <c r="V84"/>
  <c r="Z86"/>
  <c r="V86"/>
  <c r="Z88"/>
  <c r="V88"/>
  <c r="Z90"/>
  <c r="X90"/>
  <c r="Z92"/>
  <c r="V92"/>
  <c r="Z94"/>
  <c r="X94" s="1"/>
  <c r="J12" i="66"/>
  <c r="K15"/>
  <c r="K17"/>
  <c r="J18"/>
  <c r="J20"/>
  <c r="J23"/>
  <c r="J32"/>
  <c r="AA85"/>
  <c r="AW85"/>
  <c r="AA93"/>
  <c r="AW93" s="1"/>
  <c r="D35"/>
  <c r="I34"/>
  <c r="E34"/>
  <c r="J32" i="65"/>
  <c r="G8" i="66"/>
  <c r="J10"/>
  <c r="J11"/>
  <c r="K12"/>
  <c r="K14"/>
  <c r="K16"/>
  <c r="J17"/>
  <c r="K18"/>
  <c r="J19"/>
  <c r="J21"/>
  <c r="J22"/>
  <c r="J34"/>
  <c r="AA78"/>
  <c r="AA80"/>
  <c r="AA82"/>
  <c r="AA84"/>
  <c r="AA86"/>
  <c r="AA88"/>
  <c r="AA90"/>
  <c r="AA92"/>
  <c r="AA94"/>
  <c r="AA95" i="67"/>
  <c r="AA93"/>
  <c r="Y93" s="1"/>
  <c r="AV93" s="1"/>
  <c r="AA91"/>
  <c r="AA89"/>
  <c r="Y89" s="1"/>
  <c r="AV89" s="1"/>
  <c r="AA87"/>
  <c r="AA85"/>
  <c r="Y85" s="1"/>
  <c r="AV85" s="1"/>
  <c r="AA83"/>
  <c r="AA81"/>
  <c r="Y81" s="1"/>
  <c r="AV81" s="1"/>
  <c r="AA79"/>
  <c r="AA78"/>
  <c r="Y78" s="1"/>
  <c r="AV78" s="1"/>
  <c r="Z95"/>
  <c r="V95" s="1"/>
  <c r="Z93"/>
  <c r="V93" s="1"/>
  <c r="Z91"/>
  <c r="V91" s="1"/>
  <c r="Z89"/>
  <c r="V89" s="1"/>
  <c r="Z87"/>
  <c r="V87" s="1"/>
  <c r="Z85"/>
  <c r="V85" s="1"/>
  <c r="Z83"/>
  <c r="V83" s="1"/>
  <c r="Z81"/>
  <c r="V81" s="1"/>
  <c r="Z79"/>
  <c r="V79" s="1"/>
  <c r="Z78"/>
  <c r="X78" s="1"/>
  <c r="J33" i="66"/>
  <c r="AB76"/>
  <c r="AB77"/>
  <c r="Z78"/>
  <c r="X78"/>
  <c r="AB78"/>
  <c r="AB79"/>
  <c r="Z80"/>
  <c r="X80"/>
  <c r="AB80"/>
  <c r="Z82"/>
  <c r="X82" s="1"/>
  <c r="AB82"/>
  <c r="AB83"/>
  <c r="Z84"/>
  <c r="X84" s="1"/>
  <c r="AB84"/>
  <c r="Z86"/>
  <c r="X86"/>
  <c r="AB86"/>
  <c r="AB87"/>
  <c r="Z88"/>
  <c r="X88"/>
  <c r="AB88"/>
  <c r="Z90"/>
  <c r="X90" s="1"/>
  <c r="AB90"/>
  <c r="AB91"/>
  <c r="Z92"/>
  <c r="X92" s="1"/>
  <c r="AB92"/>
  <c r="Z94"/>
  <c r="X94"/>
  <c r="AB94"/>
  <c r="AB95"/>
  <c r="V7" i="67"/>
  <c r="F8"/>
  <c r="K11"/>
  <c r="J12"/>
  <c r="K13"/>
  <c r="K15"/>
  <c r="K17"/>
  <c r="J18"/>
  <c r="J20"/>
  <c r="J23"/>
  <c r="J32"/>
  <c r="E33"/>
  <c r="I33"/>
  <c r="J33"/>
  <c r="M33"/>
  <c r="D34"/>
  <c r="G8"/>
  <c r="J19"/>
  <c r="J21"/>
  <c r="J22"/>
  <c r="T520" i="50"/>
  <c r="AE520"/>
  <c r="AE521" s="1"/>
  <c r="AE522" s="1"/>
  <c r="AE523" s="1"/>
  <c r="AE524" s="1"/>
  <c r="AE525" s="1"/>
  <c r="AE526" s="1"/>
  <c r="AE527" s="1"/>
  <c r="AA520"/>
  <c r="AA521" s="1"/>
  <c r="AA522" s="1"/>
  <c r="AA523" s="1"/>
  <c r="AA524" s="1"/>
  <c r="AA525" s="1"/>
  <c r="AA526" s="1"/>
  <c r="AA527" s="1"/>
  <c r="W532"/>
  <c r="W533" s="1"/>
  <c r="W534" s="1"/>
  <c r="W535" s="1"/>
  <c r="W536" s="1"/>
  <c r="W537" s="1"/>
  <c r="W538" s="1"/>
  <c r="W539" s="1"/>
  <c r="AA532"/>
  <c r="AA533" s="1"/>
  <c r="AA534" s="1"/>
  <c r="AA535" s="1"/>
  <c r="AA536" s="1"/>
  <c r="AA537" s="1"/>
  <c r="AA538" s="1"/>
  <c r="AA539" s="1"/>
  <c r="AE532"/>
  <c r="AE533" s="1"/>
  <c r="AE534" s="1"/>
  <c r="AE535" s="1"/>
  <c r="AE536" s="1"/>
  <c r="AE537" s="1"/>
  <c r="AE538" s="1"/>
  <c r="AE539" s="1"/>
  <c r="U532"/>
  <c r="U533" s="1"/>
  <c r="U534" s="1"/>
  <c r="U535" s="1"/>
  <c r="U536" s="1"/>
  <c r="U537" s="1"/>
  <c r="U538" s="1"/>
  <c r="U539" s="1"/>
  <c r="Y532"/>
  <c r="Y533" s="1"/>
  <c r="Y534" s="1"/>
  <c r="Y535" s="1"/>
  <c r="Y536" s="1"/>
  <c r="Y537" s="1"/>
  <c r="Y538" s="1"/>
  <c r="Y539" s="1"/>
  <c r="AC532"/>
  <c r="AC533" s="1"/>
  <c r="AC534" s="1"/>
  <c r="AC535" s="1"/>
  <c r="AC536" s="1"/>
  <c r="AC537" s="1"/>
  <c r="AC538" s="1"/>
  <c r="AC539" s="1"/>
  <c r="AG532"/>
  <c r="AG533" s="1"/>
  <c r="AG534" s="1"/>
  <c r="AG535" s="1"/>
  <c r="AG536" s="1"/>
  <c r="AG537" s="1"/>
  <c r="AG538" s="1"/>
  <c r="AG539" s="1"/>
  <c r="X532"/>
  <c r="X533" s="1"/>
  <c r="X534" s="1"/>
  <c r="X535" s="1"/>
  <c r="X536" s="1"/>
  <c r="X537" s="1"/>
  <c r="X538" s="1"/>
  <c r="X539" s="1"/>
  <c r="AF532"/>
  <c r="AF533" s="1"/>
  <c r="AF534" s="1"/>
  <c r="AF535" s="1"/>
  <c r="AF536" s="1"/>
  <c r="AF537" s="1"/>
  <c r="AF538" s="1"/>
  <c r="AF539" s="1"/>
  <c r="Z532"/>
  <c r="Z533" s="1"/>
  <c r="Z534" s="1"/>
  <c r="Z535" s="1"/>
  <c r="Z536" s="1"/>
  <c r="Z537" s="1"/>
  <c r="Z538" s="1"/>
  <c r="Z539" s="1"/>
  <c r="W302"/>
  <c r="Y302"/>
  <c r="Y303"/>
  <c r="Y304" s="1"/>
  <c r="Y305" s="1"/>
  <c r="Y306" s="1"/>
  <c r="Y307" s="1"/>
  <c r="Y308" s="1"/>
  <c r="Y309" s="1"/>
  <c r="AB302"/>
  <c r="AB303"/>
  <c r="AB304" s="1"/>
  <c r="AB305" s="1"/>
  <c r="AB306" s="1"/>
  <c r="AB307" s="1"/>
  <c r="AB308" s="1"/>
  <c r="AB309" s="1"/>
  <c r="AD290"/>
  <c r="AD291"/>
  <c r="AD292" s="1"/>
  <c r="AD293" s="1"/>
  <c r="AD294" s="1"/>
  <c r="AD295" s="1"/>
  <c r="AD296" s="1"/>
  <c r="AD297" s="1"/>
  <c r="L28" i="63"/>
  <c r="A12"/>
  <c r="C11"/>
  <c r="B11"/>
  <c r="T194" i="50"/>
  <c r="Y194"/>
  <c r="Y195" s="1"/>
  <c r="Y196" s="1"/>
  <c r="Y197" s="1"/>
  <c r="Y198" s="1"/>
  <c r="Y199" s="1"/>
  <c r="Y200" s="1"/>
  <c r="Y201" s="1"/>
  <c r="AC194"/>
  <c r="AC195" s="1"/>
  <c r="AC196" s="1"/>
  <c r="AC197" s="1"/>
  <c r="AC198" s="1"/>
  <c r="AC199" s="1"/>
  <c r="AC200" s="1"/>
  <c r="AC201" s="1"/>
  <c r="U194"/>
  <c r="U195" s="1"/>
  <c r="U196" s="1"/>
  <c r="U197" s="1"/>
  <c r="U198" s="1"/>
  <c r="U199" s="1"/>
  <c r="U200" s="1"/>
  <c r="U201" s="1"/>
  <c r="X194"/>
  <c r="X195" s="1"/>
  <c r="X196" s="1"/>
  <c r="X197" s="1"/>
  <c r="X198" s="1"/>
  <c r="X199" s="1"/>
  <c r="X200" s="1"/>
  <c r="X201" s="1"/>
  <c r="AB194"/>
  <c r="AB195" s="1"/>
  <c r="AB196" s="1"/>
  <c r="AB197" s="1"/>
  <c r="AB198" s="1"/>
  <c r="AB199" s="1"/>
  <c r="AB200" s="1"/>
  <c r="AB201" s="1"/>
  <c r="AF194"/>
  <c r="AF195" s="1"/>
  <c r="AF196" s="1"/>
  <c r="AF197" s="1"/>
  <c r="AF198" s="1"/>
  <c r="AF199" s="1"/>
  <c r="AF200" s="1"/>
  <c r="AF201" s="1"/>
  <c r="A195"/>
  <c r="AL194"/>
  <c r="AA376"/>
  <c r="AA377" s="1"/>
  <c r="AA378" s="1"/>
  <c r="AA379" s="1"/>
  <c r="AA380" s="1"/>
  <c r="AA381" s="1"/>
  <c r="AA382" s="1"/>
  <c r="AA383" s="1"/>
  <c r="AE376"/>
  <c r="AE377" s="1"/>
  <c r="AE378" s="1"/>
  <c r="AE379" s="1"/>
  <c r="AE380" s="1"/>
  <c r="AE381" s="1"/>
  <c r="AE382" s="1"/>
  <c r="AE383" s="1"/>
  <c r="Y376"/>
  <c r="Y377" s="1"/>
  <c r="Y378" s="1"/>
  <c r="Y379" s="1"/>
  <c r="Y380" s="1"/>
  <c r="Y381" s="1"/>
  <c r="Y382" s="1"/>
  <c r="Y383" s="1"/>
  <c r="AF376"/>
  <c r="AF377" s="1"/>
  <c r="AF378" s="1"/>
  <c r="AF379" s="1"/>
  <c r="AF380" s="1"/>
  <c r="AF381" s="1"/>
  <c r="AF382" s="1"/>
  <c r="AF383" s="1"/>
  <c r="V376"/>
  <c r="V377" s="1"/>
  <c r="V378" s="1"/>
  <c r="V379" s="1"/>
  <c r="V380" s="1"/>
  <c r="V381" s="1"/>
  <c r="V382" s="1"/>
  <c r="V383" s="1"/>
  <c r="AB376"/>
  <c r="AB377" s="1"/>
  <c r="AB378" s="1"/>
  <c r="AB379" s="1"/>
  <c r="AB380" s="1"/>
  <c r="AB381" s="1"/>
  <c r="AB382" s="1"/>
  <c r="AB383" s="1"/>
  <c r="AD376"/>
  <c r="AD377" s="1"/>
  <c r="AD378" s="1"/>
  <c r="AD379" s="1"/>
  <c r="AD380" s="1"/>
  <c r="AD381" s="1"/>
  <c r="AD382" s="1"/>
  <c r="AD383" s="1"/>
  <c r="B415"/>
  <c r="E403"/>
  <c r="G403"/>
  <c r="H403"/>
  <c r="I403"/>
  <c r="F403"/>
  <c r="L403"/>
  <c r="N403"/>
  <c r="J403"/>
  <c r="K403"/>
  <c r="M403"/>
  <c r="O403"/>
  <c r="B418"/>
  <c r="F406"/>
  <c r="E406"/>
  <c r="H406"/>
  <c r="I406"/>
  <c r="M406"/>
  <c r="G406"/>
  <c r="K406"/>
  <c r="J406"/>
  <c r="L406"/>
  <c r="O406"/>
  <c r="N406"/>
  <c r="P406"/>
  <c r="Q406"/>
  <c r="R406"/>
  <c r="A283"/>
  <c r="AL282"/>
  <c r="A319"/>
  <c r="AL318"/>
  <c r="A377"/>
  <c r="AL376"/>
  <c r="E429"/>
  <c r="F429"/>
  <c r="I429"/>
  <c r="H429"/>
  <c r="J429"/>
  <c r="K429"/>
  <c r="N429"/>
  <c r="B441"/>
  <c r="G429"/>
  <c r="M429"/>
  <c r="L429"/>
  <c r="O429"/>
  <c r="P429"/>
  <c r="Q429"/>
  <c r="R429" s="1"/>
  <c r="A331"/>
  <c r="AL330"/>
  <c r="A367"/>
  <c r="AL366"/>
  <c r="A271"/>
  <c r="AL270"/>
  <c r="D38" i="61"/>
  <c r="M37"/>
  <c r="I37"/>
  <c r="J37" s="1"/>
  <c r="AA7" i="57"/>
  <c r="AZ9" i="55"/>
  <c r="AT9"/>
  <c r="AU9"/>
  <c r="AX9"/>
  <c r="AX31" s="1"/>
  <c r="BA9"/>
  <c r="AV9"/>
  <c r="AY9"/>
  <c r="AY31" s="1"/>
  <c r="AY37" s="1"/>
  <c r="BB9"/>
  <c r="M44" i="62"/>
  <c r="D45"/>
  <c r="E44"/>
  <c r="I44"/>
  <c r="J44"/>
  <c r="M36" i="3"/>
  <c r="D37"/>
  <c r="I36"/>
  <c r="J36"/>
  <c r="D14" i="55"/>
  <c r="D14" i="57"/>
  <c r="AD72" i="3"/>
  <c r="V94" i="66"/>
  <c r="V88"/>
  <c r="V82"/>
  <c r="X91" i="67"/>
  <c r="AW78"/>
  <c r="Y94" i="66"/>
  <c r="AV94" s="1"/>
  <c r="W94"/>
  <c r="AW94"/>
  <c r="Y90"/>
  <c r="AV90" s="1"/>
  <c r="W90"/>
  <c r="AW90"/>
  <c r="Y86"/>
  <c r="AV86" s="1"/>
  <c r="W86"/>
  <c r="AW86"/>
  <c r="Y82"/>
  <c r="AV82" s="1"/>
  <c r="W82"/>
  <c r="AW82"/>
  <c r="Y78"/>
  <c r="AV78" s="1"/>
  <c r="W78"/>
  <c r="AW78"/>
  <c r="D36"/>
  <c r="I35"/>
  <c r="J35"/>
  <c r="E35"/>
  <c r="Y93"/>
  <c r="AV93" s="1"/>
  <c r="W93"/>
  <c r="Y85"/>
  <c r="AV85"/>
  <c r="W85"/>
  <c r="V94" i="65"/>
  <c r="X86"/>
  <c r="X84"/>
  <c r="X80"/>
  <c r="M34"/>
  <c r="D35"/>
  <c r="I34"/>
  <c r="J34" s="1"/>
  <c r="E34"/>
  <c r="D35" i="67"/>
  <c r="M34"/>
  <c r="I34"/>
  <c r="J34"/>
  <c r="E34"/>
  <c r="V78"/>
  <c r="Y79"/>
  <c r="AV79"/>
  <c r="W79"/>
  <c r="AW79"/>
  <c r="AW81"/>
  <c r="Y83"/>
  <c r="AV83" s="1"/>
  <c r="W83"/>
  <c r="AW83"/>
  <c r="AW85"/>
  <c r="Y87"/>
  <c r="AV87"/>
  <c r="W87"/>
  <c r="AW87"/>
  <c r="AW89"/>
  <c r="Y91"/>
  <c r="AV91" s="1"/>
  <c r="W91"/>
  <c r="AW91"/>
  <c r="AW93"/>
  <c r="Y95"/>
  <c r="AV95"/>
  <c r="W95"/>
  <c r="AW95"/>
  <c r="Y92" i="66"/>
  <c r="AV92"/>
  <c r="W92"/>
  <c r="AW92"/>
  <c r="Y88"/>
  <c r="AV88"/>
  <c r="W88"/>
  <c r="AW88"/>
  <c r="Y84"/>
  <c r="AV84"/>
  <c r="W84"/>
  <c r="AW84"/>
  <c r="Y80"/>
  <c r="AV80"/>
  <c r="W80"/>
  <c r="AW80"/>
  <c r="AW94" i="65"/>
  <c r="Y92"/>
  <c r="AV92" s="1"/>
  <c r="W92"/>
  <c r="AW92"/>
  <c r="AW90"/>
  <c r="Y88"/>
  <c r="AV88"/>
  <c r="W88"/>
  <c r="AW88"/>
  <c r="AW86"/>
  <c r="Y84"/>
  <c r="AV84" s="1"/>
  <c r="W84"/>
  <c r="AW84"/>
  <c r="AW82"/>
  <c r="Y80"/>
  <c r="AV80"/>
  <c r="W80"/>
  <c r="AW80"/>
  <c r="Y78"/>
  <c r="AV78"/>
  <c r="W78"/>
  <c r="AW78"/>
  <c r="T521" i="50"/>
  <c r="W303"/>
  <c r="A13" i="63"/>
  <c r="C13"/>
  <c r="B12"/>
  <c r="C12"/>
  <c r="B453" i="50"/>
  <c r="E441"/>
  <c r="J441"/>
  <c r="H441"/>
  <c r="I441"/>
  <c r="K441"/>
  <c r="L441"/>
  <c r="G441"/>
  <c r="F441"/>
  <c r="M441"/>
  <c r="N441"/>
  <c r="P441"/>
  <c r="Q441"/>
  <c r="R441"/>
  <c r="O441"/>
  <c r="AL319"/>
  <c r="A320"/>
  <c r="AL283"/>
  <c r="A284"/>
  <c r="B430"/>
  <c r="I418"/>
  <c r="E418"/>
  <c r="F418"/>
  <c r="J418"/>
  <c r="K418"/>
  <c r="M418"/>
  <c r="G418"/>
  <c r="H418"/>
  <c r="L418"/>
  <c r="O418"/>
  <c r="Q418"/>
  <c r="R418"/>
  <c r="N418"/>
  <c r="P418"/>
  <c r="B427"/>
  <c r="G415"/>
  <c r="E415"/>
  <c r="F415"/>
  <c r="H415"/>
  <c r="I415"/>
  <c r="K415"/>
  <c r="J415"/>
  <c r="L415"/>
  <c r="M415"/>
  <c r="N415"/>
  <c r="O415"/>
  <c r="AL195"/>
  <c r="A196"/>
  <c r="AL271"/>
  <c r="A272"/>
  <c r="A273" s="1"/>
  <c r="AL273" s="1"/>
  <c r="AL367"/>
  <c r="A368"/>
  <c r="AL331"/>
  <c r="A332"/>
  <c r="A333" s="1"/>
  <c r="AL333" s="1"/>
  <c r="A378"/>
  <c r="AL377"/>
  <c r="T195"/>
  <c r="T196"/>
  <c r="T197" s="1"/>
  <c r="T198" s="1"/>
  <c r="T199" s="1"/>
  <c r="T200" s="1"/>
  <c r="D46" i="62"/>
  <c r="E45"/>
  <c r="I45"/>
  <c r="J45"/>
  <c r="M45"/>
  <c r="I38" i="61"/>
  <c r="J38" s="1"/>
  <c r="D39"/>
  <c r="E38"/>
  <c r="I37" i="3"/>
  <c r="J37" s="1"/>
  <c r="M37"/>
  <c r="E13" i="69" s="1"/>
  <c r="E37" i="3"/>
  <c r="D38"/>
  <c r="D15" i="55"/>
  <c r="D15" i="57" s="1"/>
  <c r="Z77" i="66"/>
  <c r="X77" s="1"/>
  <c r="D36" i="67"/>
  <c r="Z35"/>
  <c r="Z77"/>
  <c r="I35"/>
  <c r="J35"/>
  <c r="E35"/>
  <c r="Z77" i="65"/>
  <c r="X77" s="1"/>
  <c r="I35"/>
  <c r="J35" s="1"/>
  <c r="E35"/>
  <c r="D36"/>
  <c r="M36" i="66"/>
  <c r="D37"/>
  <c r="I36"/>
  <c r="E36"/>
  <c r="J36"/>
  <c r="T522" i="50"/>
  <c r="T523"/>
  <c r="T524" s="1"/>
  <c r="T525" s="1"/>
  <c r="T526" s="1"/>
  <c r="T527" s="1"/>
  <c r="W304"/>
  <c r="B13" i="63"/>
  <c r="A14"/>
  <c r="C14"/>
  <c r="A369" i="50"/>
  <c r="AL369" s="1"/>
  <c r="AL368"/>
  <c r="B439"/>
  <c r="E427"/>
  <c r="F427"/>
  <c r="G427"/>
  <c r="H427"/>
  <c r="I427"/>
  <c r="J427"/>
  <c r="K427"/>
  <c r="L427"/>
  <c r="M427"/>
  <c r="N427"/>
  <c r="O427"/>
  <c r="B442"/>
  <c r="G430"/>
  <c r="L430"/>
  <c r="M430"/>
  <c r="N430"/>
  <c r="E430"/>
  <c r="F430"/>
  <c r="I430"/>
  <c r="H430"/>
  <c r="J430"/>
  <c r="K430"/>
  <c r="P430"/>
  <c r="O430"/>
  <c r="Q430"/>
  <c r="R430"/>
  <c r="I453"/>
  <c r="E453"/>
  <c r="H453"/>
  <c r="J453"/>
  <c r="G453"/>
  <c r="M453"/>
  <c r="N453"/>
  <c r="B465"/>
  <c r="B477" s="1"/>
  <c r="F453"/>
  <c r="K453"/>
  <c r="L453"/>
  <c r="O453"/>
  <c r="P453"/>
  <c r="Q453"/>
  <c r="R453"/>
  <c r="A379"/>
  <c r="A380"/>
  <c r="AL378"/>
  <c r="AL196"/>
  <c r="A197"/>
  <c r="A198"/>
  <c r="A285"/>
  <c r="AL285"/>
  <c r="AL284"/>
  <c r="A321"/>
  <c r="AL321" s="1"/>
  <c r="AL320"/>
  <c r="M46" i="62"/>
  <c r="E46"/>
  <c r="I46"/>
  <c r="J46"/>
  <c r="E39" i="61"/>
  <c r="I39"/>
  <c r="J39" s="1"/>
  <c r="D40"/>
  <c r="I38" i="3"/>
  <c r="J38"/>
  <c r="E38"/>
  <c r="D39"/>
  <c r="D38" i="66"/>
  <c r="I37"/>
  <c r="J37" s="1"/>
  <c r="E37"/>
  <c r="M37"/>
  <c r="D37" i="65"/>
  <c r="I36"/>
  <c r="J36"/>
  <c r="E36"/>
  <c r="M36"/>
  <c r="D37" i="67"/>
  <c r="I36"/>
  <c r="E36"/>
  <c r="J36"/>
  <c r="M36"/>
  <c r="W305" i="50"/>
  <c r="W306" s="1"/>
  <c r="W307" s="1"/>
  <c r="W308" s="1"/>
  <c r="W309" s="1"/>
  <c r="B14" i="63"/>
  <c r="A15"/>
  <c r="B15"/>
  <c r="AL379" i="50"/>
  <c r="AL197"/>
  <c r="K465"/>
  <c r="M465"/>
  <c r="N465"/>
  <c r="E465"/>
  <c r="G465"/>
  <c r="Q465"/>
  <c r="R465"/>
  <c r="P465"/>
  <c r="B454"/>
  <c r="G442"/>
  <c r="F442"/>
  <c r="K442"/>
  <c r="M442"/>
  <c r="L442"/>
  <c r="E442"/>
  <c r="J442"/>
  <c r="H442"/>
  <c r="I442"/>
  <c r="N442"/>
  <c r="Q442"/>
  <c r="R442"/>
  <c r="O442"/>
  <c r="P442"/>
  <c r="B451"/>
  <c r="E439"/>
  <c r="H439"/>
  <c r="G439"/>
  <c r="F439"/>
  <c r="I439"/>
  <c r="N439"/>
  <c r="O439"/>
  <c r="J439"/>
  <c r="K439"/>
  <c r="L439"/>
  <c r="M439"/>
  <c r="D41" i="61"/>
  <c r="I40"/>
  <c r="J40" s="1"/>
  <c r="E40"/>
  <c r="I39" i="3"/>
  <c r="J39"/>
  <c r="E39"/>
  <c r="D40"/>
  <c r="D38" i="67"/>
  <c r="M37"/>
  <c r="I37"/>
  <c r="J37"/>
  <c r="E37"/>
  <c r="M37" i="65"/>
  <c r="D38"/>
  <c r="I37"/>
  <c r="E37"/>
  <c r="J37"/>
  <c r="D39" i="66"/>
  <c r="I38"/>
  <c r="E38"/>
  <c r="J38"/>
  <c r="A16" i="63"/>
  <c r="B16"/>
  <c r="C15"/>
  <c r="B463" i="50"/>
  <c r="E451"/>
  <c r="H451"/>
  <c r="G451"/>
  <c r="F451"/>
  <c r="I451"/>
  <c r="O451"/>
  <c r="J451"/>
  <c r="K451"/>
  <c r="L451"/>
  <c r="M451"/>
  <c r="N451"/>
  <c r="B466"/>
  <c r="B478" s="1"/>
  <c r="F454"/>
  <c r="K454"/>
  <c r="I454"/>
  <c r="E454"/>
  <c r="H454"/>
  <c r="J454"/>
  <c r="G454"/>
  <c r="M454"/>
  <c r="L454"/>
  <c r="O454"/>
  <c r="N454"/>
  <c r="P454"/>
  <c r="Q454"/>
  <c r="R454" s="1"/>
  <c r="E41" i="61"/>
  <c r="AD41"/>
  <c r="AP41"/>
  <c r="D42"/>
  <c r="I41"/>
  <c r="J41" s="1"/>
  <c r="I40" i="3"/>
  <c r="J40" s="1"/>
  <c r="D41"/>
  <c r="E40"/>
  <c r="I39" i="66"/>
  <c r="J39" s="1"/>
  <c r="E39"/>
  <c r="D40"/>
  <c r="I38" i="65"/>
  <c r="J38" s="1"/>
  <c r="E38"/>
  <c r="D39"/>
  <c r="D39" i="67"/>
  <c r="I38"/>
  <c r="E38"/>
  <c r="J38"/>
  <c r="A17" i="63"/>
  <c r="C17"/>
  <c r="C16"/>
  <c r="L466" i="50"/>
  <c r="I466"/>
  <c r="J466"/>
  <c r="H466"/>
  <c r="F466"/>
  <c r="Q466"/>
  <c r="R466" s="1"/>
  <c r="O466"/>
  <c r="B475"/>
  <c r="J463"/>
  <c r="H463"/>
  <c r="F463"/>
  <c r="E463"/>
  <c r="I463"/>
  <c r="G463"/>
  <c r="O463"/>
  <c r="K463"/>
  <c r="L463"/>
  <c r="M463"/>
  <c r="N463"/>
  <c r="D43" i="61"/>
  <c r="M42"/>
  <c r="I42"/>
  <c r="J42"/>
  <c r="AD42"/>
  <c r="V42"/>
  <c r="E42"/>
  <c r="D42" i="3"/>
  <c r="I41"/>
  <c r="J41"/>
  <c r="E41"/>
  <c r="I39" i="67"/>
  <c r="J39" s="1"/>
  <c r="E39"/>
  <c r="D40"/>
  <c r="I40" i="66"/>
  <c r="J40" s="1"/>
  <c r="E40"/>
  <c r="D41"/>
  <c r="I39" i="65"/>
  <c r="J39" s="1"/>
  <c r="E39"/>
  <c r="D40"/>
  <c r="B17" i="63"/>
  <c r="B487" i="50"/>
  <c r="B499"/>
  <c r="G475"/>
  <c r="I475"/>
  <c r="K475"/>
  <c r="H475"/>
  <c r="F475"/>
  <c r="J475"/>
  <c r="M475"/>
  <c r="N475"/>
  <c r="E475"/>
  <c r="L475"/>
  <c r="O475"/>
  <c r="E43" i="61"/>
  <c r="I43"/>
  <c r="J43"/>
  <c r="M43"/>
  <c r="D44"/>
  <c r="E42" i="3"/>
  <c r="D43"/>
  <c r="I42"/>
  <c r="J42"/>
  <c r="M42"/>
  <c r="I40" i="65"/>
  <c r="J40" s="1"/>
  <c r="E40"/>
  <c r="D41"/>
  <c r="Z41" i="66"/>
  <c r="I41"/>
  <c r="J41"/>
  <c r="E41"/>
  <c r="D42"/>
  <c r="I40" i="67"/>
  <c r="J40"/>
  <c r="E40"/>
  <c r="D41"/>
  <c r="J487" i="50"/>
  <c r="K487"/>
  <c r="L487"/>
  <c r="G487"/>
  <c r="I487"/>
  <c r="O487"/>
  <c r="I44" i="61"/>
  <c r="J44"/>
  <c r="E44"/>
  <c r="M44"/>
  <c r="D45"/>
  <c r="I43" i="3"/>
  <c r="J43" s="1"/>
  <c r="D44"/>
  <c r="E43"/>
  <c r="M43"/>
  <c r="E15" i="69" s="1"/>
  <c r="I41" i="67"/>
  <c r="J41" s="1"/>
  <c r="E41"/>
  <c r="D42"/>
  <c r="I41" i="65"/>
  <c r="J41" s="1"/>
  <c r="E41"/>
  <c r="D42"/>
  <c r="D43" i="66"/>
  <c r="M42"/>
  <c r="I42"/>
  <c r="J42" s="1"/>
  <c r="E42"/>
  <c r="Z42"/>
  <c r="S42"/>
  <c r="I45" i="61"/>
  <c r="J45"/>
  <c r="D46"/>
  <c r="M45"/>
  <c r="E45"/>
  <c r="D45" i="3"/>
  <c r="E44"/>
  <c r="I44"/>
  <c r="J44" s="1"/>
  <c r="M44"/>
  <c r="D44" i="66"/>
  <c r="I43"/>
  <c r="J43" s="1"/>
  <c r="E43"/>
  <c r="M43"/>
  <c r="D43" i="65"/>
  <c r="I42"/>
  <c r="J42"/>
  <c r="E42"/>
  <c r="M42"/>
  <c r="D43" i="67"/>
  <c r="I42"/>
  <c r="J42" s="1"/>
  <c r="E42"/>
  <c r="Z42"/>
  <c r="S42"/>
  <c r="M42"/>
  <c r="I46" i="61"/>
  <c r="J46" s="1"/>
  <c r="E46"/>
  <c r="M46"/>
  <c r="M45" i="3"/>
  <c r="E45"/>
  <c r="D46"/>
  <c r="I45"/>
  <c r="J45"/>
  <c r="D44" i="65"/>
  <c r="M43"/>
  <c r="I43"/>
  <c r="E43"/>
  <c r="J43"/>
  <c r="D44" i="67"/>
  <c r="M43"/>
  <c r="I43"/>
  <c r="J43" s="1"/>
  <c r="E43"/>
  <c r="D45" i="66"/>
  <c r="M44"/>
  <c r="I44"/>
  <c r="J44"/>
  <c r="E44"/>
  <c r="I46" i="3"/>
  <c r="J46" s="1"/>
  <c r="E46"/>
  <c r="M46"/>
  <c r="D45" i="65"/>
  <c r="I44"/>
  <c r="J44"/>
  <c r="E44"/>
  <c r="M44"/>
  <c r="D46" i="66"/>
  <c r="I45"/>
  <c r="E45"/>
  <c r="J45"/>
  <c r="M45"/>
  <c r="D45" i="67"/>
  <c r="I44"/>
  <c r="J44"/>
  <c r="E44"/>
  <c r="M44"/>
  <c r="D46"/>
  <c r="M45"/>
  <c r="I45"/>
  <c r="J45"/>
  <c r="E45"/>
  <c r="M46" i="66"/>
  <c r="I46"/>
  <c r="J46"/>
  <c r="E46"/>
  <c r="D46" i="65"/>
  <c r="M45"/>
  <c r="I45"/>
  <c r="E45"/>
  <c r="J45"/>
  <c r="I46" i="67"/>
  <c r="J46"/>
  <c r="E46"/>
  <c r="M46"/>
  <c r="I46" i="65"/>
  <c r="J46"/>
  <c r="E46"/>
  <c r="M46"/>
  <c r="AG24" i="50"/>
  <c r="AG25"/>
  <c r="AG26" s="1"/>
  <c r="AG27" s="1"/>
  <c r="AG28" s="1"/>
  <c r="AG29" s="1"/>
  <c r="AG30" s="1"/>
  <c r="AG31" s="1"/>
  <c r="U24"/>
  <c r="U25"/>
  <c r="U26" s="1"/>
  <c r="V24"/>
  <c r="V25" s="1"/>
  <c r="V26" s="1"/>
  <c r="V27" s="1"/>
  <c r="V28" s="1"/>
  <c r="V29" s="1"/>
  <c r="V30" s="1"/>
  <c r="V31" s="1"/>
  <c r="Z24"/>
  <c r="Z25" s="1"/>
  <c r="Z26" s="1"/>
  <c r="Z27" s="1"/>
  <c r="Z28" s="1"/>
  <c r="Z29" s="1"/>
  <c r="Z30" s="1"/>
  <c r="Z31" s="1"/>
  <c r="X24"/>
  <c r="X25" s="1"/>
  <c r="X26" s="1"/>
  <c r="X27" s="1"/>
  <c r="X28" s="1"/>
  <c r="X29" s="1"/>
  <c r="X30" s="1"/>
  <c r="X31" s="1"/>
  <c r="W24"/>
  <c r="W25" s="1"/>
  <c r="W26" s="1"/>
  <c r="W27" s="1"/>
  <c r="W28" s="1"/>
  <c r="W29" s="1"/>
  <c r="W30" s="1"/>
  <c r="W31" s="1"/>
  <c r="T26" i="26"/>
  <c r="AB25"/>
  <c r="AC25"/>
  <c r="F52" i="58"/>
  <c r="H52"/>
  <c r="I209" i="50"/>
  <c r="B15" i="55"/>
  <c r="A16"/>
  <c r="G56" i="58"/>
  <c r="I56" s="1"/>
  <c r="P24" i="26"/>
  <c r="E23"/>
  <c r="B23" i="57"/>
  <c r="I186" i="49"/>
  <c r="O186"/>
  <c r="C24" i="58"/>
  <c r="E22" i="26"/>
  <c r="O185" i="49"/>
  <c r="I185"/>
  <c r="X16" i="26"/>
  <c r="AB16"/>
  <c r="AC16" s="1"/>
  <c r="AF16"/>
  <c r="P16"/>
  <c r="F44" i="58"/>
  <c r="H44" s="1"/>
  <c r="G44"/>
  <c r="I44" s="1"/>
  <c r="AF15" i="26"/>
  <c r="AB15"/>
  <c r="AC15"/>
  <c r="X15"/>
  <c r="K189" i="49"/>
  <c r="F51" i="58"/>
  <c r="H51"/>
  <c r="G51"/>
  <c r="I51"/>
  <c r="M181" i="49"/>
  <c r="Y181"/>
  <c r="Z181"/>
  <c r="AH181"/>
  <c r="I181"/>
  <c r="O179"/>
  <c r="I179"/>
  <c r="N174"/>
  <c r="I174"/>
  <c r="E17" i="26"/>
  <c r="B17" i="57"/>
  <c r="I182" i="49"/>
  <c r="O182"/>
  <c r="I180"/>
  <c r="M180"/>
  <c r="Y180"/>
  <c r="Z180"/>
  <c r="AH180"/>
  <c r="C46" i="58"/>
  <c r="B18" i="57"/>
  <c r="E24" i="52"/>
  <c r="B16" i="53"/>
  <c r="C42" i="58"/>
  <c r="E20" i="52"/>
  <c r="M183" i="49"/>
  <c r="Y183"/>
  <c r="Z183"/>
  <c r="AH183"/>
  <c r="I183"/>
  <c r="X21" i="26"/>
  <c r="P21"/>
  <c r="AB21"/>
  <c r="AC21" s="1"/>
  <c r="F49" i="58"/>
  <c r="H49" s="1"/>
  <c r="G49"/>
  <c r="I49" s="1"/>
  <c r="T22" i="26"/>
  <c r="AF22"/>
  <c r="P19"/>
  <c r="X19"/>
  <c r="AF19"/>
  <c r="X18"/>
  <c r="P18"/>
  <c r="G45" i="58"/>
  <c r="I45"/>
  <c r="F45"/>
  <c r="H45"/>
  <c r="F18"/>
  <c r="H18"/>
  <c r="G18"/>
  <c r="I18"/>
  <c r="G43"/>
  <c r="I43"/>
  <c r="F43"/>
  <c r="H43"/>
  <c r="F42"/>
  <c r="H42"/>
  <c r="G42"/>
  <c r="I42"/>
  <c r="T13" i="26"/>
  <c r="AB13"/>
  <c r="AC13" s="1"/>
  <c r="P13"/>
  <c r="F16" i="58"/>
  <c r="H16"/>
  <c r="G16"/>
  <c r="I16"/>
  <c r="P11" i="26"/>
  <c r="AB11"/>
  <c r="AC11" s="1"/>
  <c r="X11"/>
  <c r="W33" i="3"/>
  <c r="C25" i="58"/>
  <c r="P15" i="26"/>
  <c r="M19" i="52"/>
  <c r="M17"/>
  <c r="J189" i="49"/>
  <c r="L189"/>
  <c r="N173"/>
  <c r="E32" i="61"/>
  <c r="E32" i="62"/>
  <c r="E32" i="67"/>
  <c r="M173" i="49"/>
  <c r="Y173"/>
  <c r="Z173"/>
  <c r="AH173"/>
  <c r="O173"/>
  <c r="B9" i="63"/>
  <c r="E32" i="65"/>
  <c r="Z32" i="66"/>
  <c r="S32"/>
  <c r="AD32" i="61"/>
  <c r="V32"/>
  <c r="AD44" i="62"/>
  <c r="W44"/>
  <c r="Z44" i="67"/>
  <c r="T44"/>
  <c r="AD45" i="62"/>
  <c r="W45"/>
  <c r="Z45" i="67"/>
  <c r="T45"/>
  <c r="Z32"/>
  <c r="S32"/>
  <c r="AD32" i="62"/>
  <c r="W32"/>
  <c r="Z42" i="65"/>
  <c r="S42"/>
  <c r="AD42" i="3"/>
  <c r="W42"/>
  <c r="AD39"/>
  <c r="AP39"/>
  <c r="Z39" i="65"/>
  <c r="AD41" i="62"/>
  <c r="AP41" s="1"/>
  <c r="Z41" i="67"/>
  <c r="Z33" i="66"/>
  <c r="T33"/>
  <c r="AD33" i="61"/>
  <c r="W33"/>
  <c r="AD38" i="62"/>
  <c r="AP38"/>
  <c r="Z38" i="67"/>
  <c r="Z40" i="65"/>
  <c r="AD40" i="3"/>
  <c r="AP40"/>
  <c r="N64" i="66"/>
  <c r="P64" s="1"/>
  <c r="Y33" i="78"/>
  <c r="W33"/>
  <c r="AD88"/>
  <c r="Z88" s="1"/>
  <c r="AD86"/>
  <c r="Z86" s="1"/>
  <c r="AD84"/>
  <c r="Z84" s="1"/>
  <c r="AD82"/>
  <c r="Z82" s="1"/>
  <c r="AD80"/>
  <c r="Z80" s="1"/>
  <c r="AD78"/>
  <c r="Z78" s="1"/>
  <c r="AD76"/>
  <c r="Z76" s="1"/>
  <c r="AD74"/>
  <c r="Z74" s="1"/>
  <c r="AD72"/>
  <c r="J11"/>
  <c r="K12"/>
  <c r="K14"/>
  <c r="K16"/>
  <c r="J17"/>
  <c r="K18"/>
  <c r="J19"/>
  <c r="J21"/>
  <c r="J22"/>
  <c r="J24"/>
  <c r="R24" s="1"/>
  <c r="J32"/>
  <c r="D34"/>
  <c r="AE73"/>
  <c r="AA73" s="1"/>
  <c r="AE74"/>
  <c r="AE75"/>
  <c r="AC75"/>
  <c r="AZ75" s="1"/>
  <c r="AE76"/>
  <c r="AE77"/>
  <c r="AA77"/>
  <c r="AE78"/>
  <c r="AE79"/>
  <c r="AC79" s="1"/>
  <c r="AZ79" s="1"/>
  <c r="AE80"/>
  <c r="AC80"/>
  <c r="AZ80" s="1"/>
  <c r="AE81"/>
  <c r="AA81" s="1"/>
  <c r="AE82"/>
  <c r="AA82" s="1"/>
  <c r="AE83"/>
  <c r="AC83" s="1"/>
  <c r="AZ83" s="1"/>
  <c r="AE84"/>
  <c r="AC84"/>
  <c r="AZ84" s="1"/>
  <c r="AE85"/>
  <c r="AA85" s="1"/>
  <c r="AE86"/>
  <c r="AA86" s="1"/>
  <c r="AE87"/>
  <c r="AC87" s="1"/>
  <c r="AZ87" s="1"/>
  <c r="AE88"/>
  <c r="AC88"/>
  <c r="AZ88" s="1"/>
  <c r="AE89"/>
  <c r="AA89" s="1"/>
  <c r="Q146" i="49"/>
  <c r="P146"/>
  <c r="G8" i="78"/>
  <c r="J10"/>
  <c r="K11"/>
  <c r="J12"/>
  <c r="K13"/>
  <c r="K15"/>
  <c r="K17"/>
  <c r="J18"/>
  <c r="J20"/>
  <c r="M32"/>
  <c r="U32"/>
  <c r="E33"/>
  <c r="I33"/>
  <c r="J33" s="1"/>
  <c r="M33"/>
  <c r="U33" s="1"/>
  <c r="M34"/>
  <c r="U34" s="1"/>
  <c r="Z89" i="3"/>
  <c r="Z81"/>
  <c r="Z76" i="61"/>
  <c r="Z88"/>
  <c r="Z89"/>
  <c r="AB82" i="3"/>
  <c r="Z82"/>
  <c r="G395" i="50"/>
  <c r="G382"/>
  <c r="F381"/>
  <c r="G212"/>
  <c r="E201"/>
  <c r="G199"/>
  <c r="E197"/>
  <c r="E15"/>
  <c r="G17"/>
  <c r="E19"/>
  <c r="E26"/>
  <c r="E30"/>
  <c r="F213"/>
  <c r="F211"/>
  <c r="F29"/>
  <c r="E393"/>
  <c r="F31"/>
  <c r="G31"/>
  <c r="F30"/>
  <c r="E29"/>
  <c r="E25"/>
  <c r="G18"/>
  <c r="F17"/>
  <c r="E14"/>
  <c r="F199"/>
  <c r="G200"/>
  <c r="E209"/>
  <c r="G211"/>
  <c r="E213"/>
  <c r="G223"/>
  <c r="E379"/>
  <c r="G381"/>
  <c r="E383"/>
  <c r="F393"/>
  <c r="G394"/>
  <c r="F405"/>
  <c r="E407"/>
  <c r="G405"/>
  <c r="E389"/>
  <c r="I394"/>
  <c r="H383"/>
  <c r="H381"/>
  <c r="H394"/>
  <c r="I383"/>
  <c r="I381"/>
  <c r="H213"/>
  <c r="H211"/>
  <c r="I200"/>
  <c r="I17"/>
  <c r="I19"/>
  <c r="H30"/>
  <c r="H223"/>
  <c r="I212"/>
  <c r="H201"/>
  <c r="H199"/>
  <c r="I18"/>
  <c r="H29"/>
  <c r="H31"/>
  <c r="E416"/>
  <c r="F416"/>
  <c r="I407"/>
  <c r="H407"/>
  <c r="F379"/>
  <c r="F209"/>
  <c r="F197"/>
  <c r="F15"/>
  <c r="F380"/>
  <c r="F210"/>
  <c r="F16"/>
  <c r="I431"/>
  <c r="H431"/>
  <c r="F377"/>
  <c r="F207"/>
  <c r="F195"/>
  <c r="F25"/>
  <c r="F376"/>
  <c r="F206"/>
  <c r="F24"/>
  <c r="F378"/>
  <c r="F208"/>
  <c r="F14"/>
  <c r="F402"/>
  <c r="I395"/>
  <c r="G389"/>
  <c r="G219"/>
  <c r="G13"/>
  <c r="G207"/>
  <c r="G376"/>
  <c r="G194"/>
  <c r="G206"/>
  <c r="G391"/>
  <c r="G27"/>
  <c r="G392"/>
  <c r="G16"/>
  <c r="G28"/>
  <c r="G416"/>
  <c r="G378"/>
  <c r="G196"/>
  <c r="G208"/>
  <c r="J381"/>
  <c r="J393"/>
  <c r="J211"/>
  <c r="J30"/>
  <c r="J201"/>
  <c r="J19"/>
  <c r="K30"/>
  <c r="K395"/>
  <c r="K393"/>
  <c r="J394"/>
  <c r="K382"/>
  <c r="K223"/>
  <c r="K201"/>
  <c r="K199"/>
  <c r="K19"/>
  <c r="K212"/>
  <c r="J200"/>
  <c r="K18"/>
  <c r="J431"/>
  <c r="F12" i="58"/>
  <c r="H12"/>
  <c r="G12"/>
  <c r="I12"/>
  <c r="Z80" i="61"/>
  <c r="Z77"/>
  <c r="P27" i="26"/>
  <c r="X25"/>
  <c r="E378" i="50"/>
  <c r="J33" i="75"/>
  <c r="N63" i="26"/>
  <c r="R63" s="1"/>
  <c r="Z86" i="61"/>
  <c r="Z78"/>
  <c r="Z83"/>
  <c r="T28" i="26"/>
  <c r="G53" i="58"/>
  <c r="I53" s="1"/>
  <c r="F26"/>
  <c r="H26" s="1"/>
  <c r="AE16" i="55"/>
  <c r="AH16" s="1"/>
  <c r="E118" i="49"/>
  <c r="J71"/>
  <c r="U218" i="50"/>
  <c r="U219" s="1"/>
  <c r="U220" s="1"/>
  <c r="U221" s="1"/>
  <c r="U222" s="1"/>
  <c r="U223" s="1"/>
  <c r="U224" s="1"/>
  <c r="U225" s="1"/>
  <c r="AD388"/>
  <c r="AD389" s="1"/>
  <c r="AD390" s="1"/>
  <c r="AD391" s="1"/>
  <c r="AD392" s="1"/>
  <c r="AD393" s="1"/>
  <c r="AD394" s="1"/>
  <c r="AD395" s="1"/>
  <c r="AD206"/>
  <c r="AD207" s="1"/>
  <c r="AD208" s="1"/>
  <c r="AD209" s="1"/>
  <c r="AD210" s="1"/>
  <c r="AD211" s="1"/>
  <c r="AD212" s="1"/>
  <c r="AD213" s="1"/>
  <c r="X326"/>
  <c r="X327" s="1"/>
  <c r="X328" s="1"/>
  <c r="X329" s="1"/>
  <c r="X330" s="1"/>
  <c r="X331" s="1"/>
  <c r="AG194"/>
  <c r="AG195" s="1"/>
  <c r="AG196" s="1"/>
  <c r="AG197" s="1"/>
  <c r="AG198" s="1"/>
  <c r="AG199" s="1"/>
  <c r="AG200" s="1"/>
  <c r="AG201" s="1"/>
  <c r="AG376"/>
  <c r="AG377" s="1"/>
  <c r="AG378" s="1"/>
  <c r="AG379" s="1"/>
  <c r="AG380" s="1"/>
  <c r="AG381" s="1"/>
  <c r="AG382" s="1"/>
  <c r="AG383" s="1"/>
  <c r="AB218"/>
  <c r="AB219" s="1"/>
  <c r="AB220" s="1"/>
  <c r="AB221" s="1"/>
  <c r="AB222" s="1"/>
  <c r="AB223" s="1"/>
  <c r="AB224" s="1"/>
  <c r="AB225" s="1"/>
  <c r="T400"/>
  <c r="T401" s="1"/>
  <c r="T402" s="1"/>
  <c r="T403" s="1"/>
  <c r="T404" s="1"/>
  <c r="T405" s="1"/>
  <c r="T406" s="1"/>
  <c r="T407" s="1"/>
  <c r="AE36"/>
  <c r="AA206"/>
  <c r="AA207"/>
  <c r="AA208" s="1"/>
  <c r="AA209" s="1"/>
  <c r="AA210" s="1"/>
  <c r="AA211" s="1"/>
  <c r="AA212" s="1"/>
  <c r="AA213" s="1"/>
  <c r="X206"/>
  <c r="X207"/>
  <c r="X208" s="1"/>
  <c r="X209" s="1"/>
  <c r="X210" s="1"/>
  <c r="X211" s="1"/>
  <c r="X212" s="1"/>
  <c r="X213" s="1"/>
  <c r="Y206"/>
  <c r="Y207"/>
  <c r="Y208" s="1"/>
  <c r="Y209" s="1"/>
  <c r="Y210" s="1"/>
  <c r="Y211" s="1"/>
  <c r="Y212" s="1"/>
  <c r="Y213" s="1"/>
  <c r="Z206"/>
  <c r="Z207"/>
  <c r="Z208" s="1"/>
  <c r="Z209" s="1"/>
  <c r="Z210" s="1"/>
  <c r="Z211" s="1"/>
  <c r="Z212" s="1"/>
  <c r="Z213" s="1"/>
  <c r="T24"/>
  <c r="T25"/>
  <c r="T26" s="1"/>
  <c r="T27" s="1"/>
  <c r="T28" s="1"/>
  <c r="T29" s="1"/>
  <c r="T30" s="1"/>
  <c r="T31" s="1"/>
  <c r="AD168"/>
  <c r="AD169"/>
  <c r="AD170" s="1"/>
  <c r="AD171" s="1"/>
  <c r="AD172" s="1"/>
  <c r="AD173" s="1"/>
  <c r="AD174" s="1"/>
  <c r="AD175" s="1"/>
  <c r="AB520"/>
  <c r="AB521"/>
  <c r="AB522" s="1"/>
  <c r="AB523" s="1"/>
  <c r="AB524" s="1"/>
  <c r="AB525" s="1"/>
  <c r="AB526" s="1"/>
  <c r="AB527" s="1"/>
  <c r="X472"/>
  <c r="X473"/>
  <c r="X474" s="1"/>
  <c r="X475" s="1"/>
  <c r="X476" s="1"/>
  <c r="X477" s="1"/>
  <c r="X478" s="1"/>
  <c r="X479" s="1"/>
  <c r="U520"/>
  <c r="U521"/>
  <c r="U522" s="1"/>
  <c r="U523" s="1"/>
  <c r="U524" s="1"/>
  <c r="U525" s="1"/>
  <c r="U526" s="1"/>
  <c r="U527" s="1"/>
  <c r="AF520"/>
  <c r="AF521"/>
  <c r="AF522" s="1"/>
  <c r="AF523" s="1"/>
  <c r="AF524" s="1"/>
  <c r="AF525" s="1"/>
  <c r="AF526" s="1"/>
  <c r="AF527" s="1"/>
  <c r="AG326"/>
  <c r="AG327"/>
  <c r="AG328" s="1"/>
  <c r="AG329" s="1"/>
  <c r="AG330" s="1"/>
  <c r="AG331" s="1"/>
  <c r="AG332" s="1"/>
  <c r="AG333" s="1"/>
  <c r="W314"/>
  <c r="W315"/>
  <c r="W316" s="1"/>
  <c r="W317" s="1"/>
  <c r="W318" s="1"/>
  <c r="W319" s="1"/>
  <c r="W320" s="1"/>
  <c r="W321" s="1"/>
  <c r="W132"/>
  <c r="W133"/>
  <c r="W134" s="1"/>
  <c r="W135" s="1"/>
  <c r="W136" s="1"/>
  <c r="W137" s="1"/>
  <c r="W138" s="1"/>
  <c r="W139" s="1"/>
  <c r="AD496"/>
  <c r="AD497"/>
  <c r="AD498" s="1"/>
  <c r="AD499" s="1"/>
  <c r="AD500" s="1"/>
  <c r="AD501" s="1"/>
  <c r="AD502" s="1"/>
  <c r="AD503" s="1"/>
  <c r="AE484"/>
  <c r="AE485"/>
  <c r="AE486" s="1"/>
  <c r="AE487" s="1"/>
  <c r="AE488" s="1"/>
  <c r="AE489" s="1"/>
  <c r="AE490" s="1"/>
  <c r="AE491" s="1"/>
  <c r="T302"/>
  <c r="T303"/>
  <c r="T304" s="1"/>
  <c r="T305" s="1"/>
  <c r="T306" s="1"/>
  <c r="T307" s="1"/>
  <c r="T308" s="1"/>
  <c r="T309" s="1"/>
  <c r="AB533"/>
  <c r="AB534"/>
  <c r="AB535" s="1"/>
  <c r="AB536" s="1"/>
  <c r="AB537" s="1"/>
  <c r="AB538" s="1"/>
  <c r="AB539" s="1"/>
  <c r="Z376"/>
  <c r="Z377" s="1"/>
  <c r="Z378" s="1"/>
  <c r="Z379" s="1"/>
  <c r="Z380" s="1"/>
  <c r="Z381" s="1"/>
  <c r="Z382" s="1"/>
  <c r="Z383" s="1"/>
  <c r="X376"/>
  <c r="X377" s="1"/>
  <c r="X378" s="1"/>
  <c r="X379" s="1"/>
  <c r="X380" s="1"/>
  <c r="X381" s="1"/>
  <c r="X382" s="1"/>
  <c r="X383" s="1"/>
  <c r="T376"/>
  <c r="T377" s="1"/>
  <c r="T378" s="1"/>
  <c r="T379" s="1"/>
  <c r="T380" s="1"/>
  <c r="T381" s="1"/>
  <c r="T382" s="1"/>
  <c r="AC376"/>
  <c r="AC377"/>
  <c r="AC378" s="1"/>
  <c r="AC379" s="1"/>
  <c r="AC380" s="1"/>
  <c r="AC381" s="1"/>
  <c r="AC382" s="1"/>
  <c r="AC383" s="1"/>
  <c r="U376"/>
  <c r="U377"/>
  <c r="U378" s="1"/>
  <c r="U379" s="1"/>
  <c r="U380" s="1"/>
  <c r="U381" s="1"/>
  <c r="U382" s="1"/>
  <c r="U383" s="1"/>
  <c r="W376"/>
  <c r="W377"/>
  <c r="W378" s="1"/>
  <c r="W379" s="1"/>
  <c r="W380" s="1"/>
  <c r="W381" s="1"/>
  <c r="W382" s="1"/>
  <c r="W383" s="1"/>
  <c r="AD194"/>
  <c r="AD195"/>
  <c r="AD196" s="1"/>
  <c r="AD197" s="1"/>
  <c r="AD198" s="1"/>
  <c r="AD199" s="1"/>
  <c r="AD200" s="1"/>
  <c r="AD201" s="1"/>
  <c r="Z194"/>
  <c r="Z195"/>
  <c r="Z196" s="1"/>
  <c r="Z197" s="1"/>
  <c r="Z198" s="1"/>
  <c r="Z199" s="1"/>
  <c r="Z200" s="1"/>
  <c r="Z201" s="1"/>
  <c r="V194"/>
  <c r="V195"/>
  <c r="V196" s="1"/>
  <c r="V197" s="1"/>
  <c r="V198" s="1"/>
  <c r="V199" s="1"/>
  <c r="V200" s="1"/>
  <c r="V201" s="1"/>
  <c r="AE194"/>
  <c r="AE195"/>
  <c r="AE196" s="1"/>
  <c r="AE197" s="1"/>
  <c r="AE198" s="1"/>
  <c r="AE199" s="1"/>
  <c r="AE200" s="1"/>
  <c r="AE201" s="1"/>
  <c r="AA194"/>
  <c r="AA195"/>
  <c r="AA196" s="1"/>
  <c r="AA197" s="1"/>
  <c r="AA198" s="1"/>
  <c r="AA199" s="1"/>
  <c r="AA200" s="1"/>
  <c r="AA201" s="1"/>
  <c r="W194"/>
  <c r="W195"/>
  <c r="W196" s="1"/>
  <c r="W197" s="1"/>
  <c r="W198" s="1"/>
  <c r="W199" s="1"/>
  <c r="W200" s="1"/>
  <c r="W201" s="1"/>
  <c r="AC24"/>
  <c r="AC25"/>
  <c r="AC26" s="1"/>
  <c r="AC27" s="1"/>
  <c r="AC28" s="1"/>
  <c r="AC29" s="1"/>
  <c r="AC30" s="1"/>
  <c r="AC31" s="1"/>
  <c r="AD24"/>
  <c r="AD25"/>
  <c r="AD26" s="1"/>
  <c r="AD27" s="1"/>
  <c r="AD28" s="1"/>
  <c r="AD29" s="1"/>
  <c r="AD30" s="1"/>
  <c r="AD31" s="1"/>
  <c r="V218"/>
  <c r="V219"/>
  <c r="V220" s="1"/>
  <c r="V221" s="1"/>
  <c r="V222" s="1"/>
  <c r="V223" s="1"/>
  <c r="V224" s="1"/>
  <c r="V225" s="1"/>
  <c r="AC17" i="26"/>
  <c r="T168" i="50"/>
  <c r="T169" s="1"/>
  <c r="T170" s="1"/>
  <c r="T171" s="1"/>
  <c r="T172" s="1"/>
  <c r="T173" s="1"/>
  <c r="T174" s="1"/>
  <c r="T175" s="1"/>
  <c r="Z168"/>
  <c r="Z169" s="1"/>
  <c r="Z170" s="1"/>
  <c r="Z171" s="1"/>
  <c r="Z172" s="1"/>
  <c r="Z173" s="1"/>
  <c r="Z174" s="1"/>
  <c r="Z175" s="1"/>
  <c r="AC168"/>
  <c r="AC169" s="1"/>
  <c r="AC170" s="1"/>
  <c r="AC171" s="1"/>
  <c r="AC172" s="1"/>
  <c r="AC173" s="1"/>
  <c r="AC174" s="1"/>
  <c r="AC175" s="1"/>
  <c r="AE350"/>
  <c r="AE351" s="1"/>
  <c r="AE352" s="1"/>
  <c r="AE353" s="1"/>
  <c r="AE354" s="1"/>
  <c r="AE355" s="1"/>
  <c r="AE356" s="1"/>
  <c r="AE357" s="1"/>
  <c r="AG350"/>
  <c r="AG351" s="1"/>
  <c r="AG352" s="1"/>
  <c r="AG353" s="1"/>
  <c r="AG354" s="1"/>
  <c r="AG355" s="1"/>
  <c r="AG356" s="1"/>
  <c r="AG357" s="1"/>
  <c r="T350"/>
  <c r="T351" s="1"/>
  <c r="T352" s="1"/>
  <c r="T353" s="1"/>
  <c r="T354" s="1"/>
  <c r="T355" s="1"/>
  <c r="T356" s="1"/>
  <c r="T357" s="1"/>
  <c r="AB350"/>
  <c r="AB351" s="1"/>
  <c r="AB352" s="1"/>
  <c r="AB353" s="1"/>
  <c r="AB354" s="1"/>
  <c r="AB355" s="1"/>
  <c r="AB356" s="1"/>
  <c r="AB357" s="1"/>
  <c r="U180"/>
  <c r="U181" s="1"/>
  <c r="U182" s="1"/>
  <c r="U183" s="1"/>
  <c r="U184" s="1"/>
  <c r="U185" s="1"/>
  <c r="U186" s="1"/>
  <c r="U187" s="1"/>
  <c r="W180"/>
  <c r="W181" s="1"/>
  <c r="W182" s="1"/>
  <c r="W183" s="1"/>
  <c r="W184" s="1"/>
  <c r="W185" s="1"/>
  <c r="W186" s="1"/>
  <c r="W187" s="1"/>
  <c r="Y180"/>
  <c r="Y181" s="1"/>
  <c r="Y182" s="1"/>
  <c r="Y183" s="1"/>
  <c r="Y184" s="1"/>
  <c r="Y185" s="1"/>
  <c r="Y186" s="1"/>
  <c r="Y187" s="1"/>
  <c r="AG180"/>
  <c r="AG181" s="1"/>
  <c r="AG182" s="1"/>
  <c r="AG183" s="1"/>
  <c r="AG184" s="1"/>
  <c r="AG185" s="1"/>
  <c r="AG186" s="1"/>
  <c r="AG187" s="1"/>
  <c r="AF180"/>
  <c r="AF181" s="1"/>
  <c r="AF182" s="1"/>
  <c r="AF183" s="1"/>
  <c r="AF184" s="1"/>
  <c r="AF185" s="1"/>
  <c r="AF186" s="1"/>
  <c r="AF187" s="1"/>
  <c r="AB180"/>
  <c r="AB181" s="1"/>
  <c r="AB182" s="1"/>
  <c r="AB183" s="1"/>
  <c r="AB184" s="1"/>
  <c r="AB185" s="1"/>
  <c r="AB186" s="1"/>
  <c r="AB187" s="1"/>
  <c r="AG520"/>
  <c r="AG521" s="1"/>
  <c r="AG522" s="1"/>
  <c r="AG523" s="1"/>
  <c r="AG524" s="1"/>
  <c r="AG525" s="1"/>
  <c r="AG526" s="1"/>
  <c r="AG527" s="1"/>
  <c r="Y520"/>
  <c r="Y521" s="1"/>
  <c r="Y522" s="1"/>
  <c r="Y523" s="1"/>
  <c r="Y524" s="1"/>
  <c r="Y525" s="1"/>
  <c r="Y526" s="1"/>
  <c r="Y527" s="1"/>
  <c r="AD520"/>
  <c r="AD521" s="1"/>
  <c r="AD522" s="1"/>
  <c r="AD523" s="1"/>
  <c r="AD524" s="1"/>
  <c r="AD525" s="1"/>
  <c r="AD526" s="1"/>
  <c r="AD527" s="1"/>
  <c r="V520"/>
  <c r="V521" s="1"/>
  <c r="V522" s="1"/>
  <c r="V523" s="1"/>
  <c r="V524" s="1"/>
  <c r="V525" s="1"/>
  <c r="V526" s="1"/>
  <c r="V527" s="1"/>
  <c r="AC508"/>
  <c r="AC509" s="1"/>
  <c r="AC510" s="1"/>
  <c r="AC511" s="1"/>
  <c r="AC512" s="1"/>
  <c r="AC513" s="1"/>
  <c r="AC514" s="1"/>
  <c r="AC515" s="1"/>
  <c r="Y508"/>
  <c r="Y509" s="1"/>
  <c r="Y510" s="1"/>
  <c r="Y511" s="1"/>
  <c r="Y512" s="1"/>
  <c r="Y513" s="1"/>
  <c r="Y514" s="1"/>
  <c r="Y515" s="1"/>
  <c r="AF508"/>
  <c r="AF509" s="1"/>
  <c r="AF510" s="1"/>
  <c r="AF511" s="1"/>
  <c r="AF512" s="1"/>
  <c r="AF513" s="1"/>
  <c r="AF514" s="1"/>
  <c r="AF515" s="1"/>
  <c r="X508"/>
  <c r="X509" s="1"/>
  <c r="X510" s="1"/>
  <c r="X511" s="1"/>
  <c r="X512" s="1"/>
  <c r="X513" s="1"/>
  <c r="X514" s="1"/>
  <c r="X515" s="1"/>
  <c r="AB362"/>
  <c r="AB363" s="1"/>
  <c r="AB364" s="1"/>
  <c r="AB365" s="1"/>
  <c r="AB366" s="1"/>
  <c r="AB367" s="1"/>
  <c r="AB368" s="1"/>
  <c r="AB369" s="1"/>
  <c r="AC19" i="26"/>
  <c r="T290" i="50"/>
  <c r="T291"/>
  <c r="T292" s="1"/>
  <c r="T293" s="1"/>
  <c r="T294" s="1"/>
  <c r="T295" s="1"/>
  <c r="T296" s="1"/>
  <c r="T297" s="1"/>
  <c r="W290"/>
  <c r="W291"/>
  <c r="W292" s="1"/>
  <c r="W293" s="1"/>
  <c r="W294" s="1"/>
  <c r="W295" s="1"/>
  <c r="W296" s="1"/>
  <c r="W297" s="1"/>
  <c r="Z290"/>
  <c r="Z291"/>
  <c r="Z292" s="1"/>
  <c r="Z293" s="1"/>
  <c r="Z294" s="1"/>
  <c r="Z295" s="1"/>
  <c r="Z296" s="1"/>
  <c r="Z297" s="1"/>
  <c r="X302"/>
  <c r="X303"/>
  <c r="X304" s="1"/>
  <c r="X305" s="1"/>
  <c r="X306" s="1"/>
  <c r="X307" s="1"/>
  <c r="X308" s="1"/>
  <c r="X309" s="1"/>
  <c r="Z302"/>
  <c r="Z303"/>
  <c r="Z304" s="1"/>
  <c r="Z305" s="1"/>
  <c r="Z306" s="1"/>
  <c r="Z307" s="1"/>
  <c r="Z308" s="1"/>
  <c r="Z309" s="1"/>
  <c r="AG302"/>
  <c r="AG303"/>
  <c r="AG304" s="1"/>
  <c r="AG305" s="1"/>
  <c r="AG306" s="1"/>
  <c r="AG307" s="1"/>
  <c r="AG308" s="1"/>
  <c r="AG309" s="1"/>
  <c r="U302"/>
  <c r="U303"/>
  <c r="U304" s="1"/>
  <c r="U305" s="1"/>
  <c r="U306" s="1"/>
  <c r="U307" s="1"/>
  <c r="U308" s="1"/>
  <c r="U309" s="1"/>
  <c r="AC314"/>
  <c r="AC315"/>
  <c r="AC316" s="1"/>
  <c r="AC317" s="1"/>
  <c r="AC318" s="1"/>
  <c r="AC319" s="1"/>
  <c r="AC320" s="1"/>
  <c r="AC321" s="1"/>
  <c r="AB314"/>
  <c r="AB315"/>
  <c r="AB316" s="1"/>
  <c r="AB317" s="1"/>
  <c r="AB318" s="1"/>
  <c r="AB319" s="1"/>
  <c r="AB320" s="1"/>
  <c r="AB321" s="1"/>
  <c r="AD314"/>
  <c r="AD315"/>
  <c r="AD316" s="1"/>
  <c r="AD317" s="1"/>
  <c r="AD318" s="1"/>
  <c r="AD319" s="1"/>
  <c r="AD320" s="1"/>
  <c r="AD321" s="1"/>
  <c r="AG508"/>
  <c r="AG509"/>
  <c r="AG510" s="1"/>
  <c r="AG511" s="1"/>
  <c r="AG512" s="1"/>
  <c r="AG513" s="1"/>
  <c r="AG514" s="1"/>
  <c r="AG515" s="1"/>
  <c r="V508"/>
  <c r="V509"/>
  <c r="V510" s="1"/>
  <c r="V511" s="1"/>
  <c r="V512" s="1"/>
  <c r="V513" s="1"/>
  <c r="V514" s="1"/>
  <c r="V515" s="1"/>
  <c r="AF144"/>
  <c r="AF145"/>
  <c r="AF146" s="1"/>
  <c r="AF147" s="1"/>
  <c r="AF148" s="1"/>
  <c r="AF149" s="1"/>
  <c r="AF150" s="1"/>
  <c r="AF151" s="1"/>
  <c r="AA144"/>
  <c r="AA145"/>
  <c r="AA146" s="1"/>
  <c r="AA147" s="1"/>
  <c r="AA148" s="1"/>
  <c r="AA149" s="1"/>
  <c r="AA150" s="1"/>
  <c r="AA151" s="1"/>
  <c r="U144"/>
  <c r="U145"/>
  <c r="U146" s="1"/>
  <c r="U147" s="1"/>
  <c r="U148" s="1"/>
  <c r="U149" s="1"/>
  <c r="U150" s="1"/>
  <c r="U151" s="1"/>
  <c r="U314"/>
  <c r="U315"/>
  <c r="U316" s="1"/>
  <c r="U317" s="1"/>
  <c r="U318" s="1"/>
  <c r="U319" s="1"/>
  <c r="U320" s="1"/>
  <c r="U321" s="1"/>
  <c r="X132"/>
  <c r="X133"/>
  <c r="X134" s="1"/>
  <c r="X135" s="1"/>
  <c r="X136" s="1"/>
  <c r="X137" s="1"/>
  <c r="X138" s="1"/>
  <c r="X139" s="1"/>
  <c r="U132"/>
  <c r="U133"/>
  <c r="U134" s="1"/>
  <c r="U135" s="1"/>
  <c r="U136" s="1"/>
  <c r="U137" s="1"/>
  <c r="U138" s="1"/>
  <c r="U139" s="1"/>
  <c r="AE496"/>
  <c r="AE497"/>
  <c r="AE498" s="1"/>
  <c r="AE499" s="1"/>
  <c r="AE500" s="1"/>
  <c r="AE501" s="1"/>
  <c r="AE502" s="1"/>
  <c r="AE503" s="1"/>
  <c r="AF496"/>
  <c r="AF497"/>
  <c r="AF498" s="1"/>
  <c r="AF499" s="1"/>
  <c r="AF500" s="1"/>
  <c r="AF501" s="1"/>
  <c r="AF502" s="1"/>
  <c r="AF503" s="1"/>
  <c r="AG496"/>
  <c r="AG497"/>
  <c r="AG498" s="1"/>
  <c r="AG499" s="1"/>
  <c r="AG500" s="1"/>
  <c r="AG501" s="1"/>
  <c r="AG502" s="1"/>
  <c r="AG503" s="1"/>
  <c r="V144"/>
  <c r="V145"/>
  <c r="V146" s="1"/>
  <c r="V147" s="1"/>
  <c r="V148" s="1"/>
  <c r="V149" s="1"/>
  <c r="V150" s="1"/>
  <c r="V151" s="1"/>
  <c r="V132"/>
  <c r="V133"/>
  <c r="V134" s="1"/>
  <c r="V135" s="1"/>
  <c r="V136" s="1"/>
  <c r="V137" s="1"/>
  <c r="V138" s="1"/>
  <c r="V139" s="1"/>
  <c r="U496"/>
  <c r="U497"/>
  <c r="U498" s="1"/>
  <c r="U499" s="1"/>
  <c r="U500" s="1"/>
  <c r="U501" s="1"/>
  <c r="U502" s="1"/>
  <c r="U503" s="1"/>
  <c r="AE472"/>
  <c r="AE473"/>
  <c r="AE474" s="1"/>
  <c r="AE475" s="1"/>
  <c r="AE476" s="1"/>
  <c r="AE477" s="1"/>
  <c r="AE478" s="1"/>
  <c r="AE479" s="1"/>
  <c r="W472"/>
  <c r="W473"/>
  <c r="W474" s="1"/>
  <c r="W475" s="1"/>
  <c r="W476" s="1"/>
  <c r="W477" s="1"/>
  <c r="W478" s="1"/>
  <c r="W479" s="1"/>
  <c r="Z472"/>
  <c r="Z473"/>
  <c r="Z474" s="1"/>
  <c r="Z475" s="1"/>
  <c r="Z476" s="1"/>
  <c r="Z477" s="1"/>
  <c r="Z478" s="1"/>
  <c r="Z479" s="1"/>
  <c r="AF472"/>
  <c r="AF473"/>
  <c r="AF474" s="1"/>
  <c r="AF475" s="1"/>
  <c r="AF476" s="1"/>
  <c r="AF477" s="1"/>
  <c r="AF478" s="1"/>
  <c r="AF479" s="1"/>
  <c r="M122" i="49"/>
  <c r="M128"/>
  <c r="M129"/>
  <c r="M119"/>
  <c r="M125"/>
  <c r="M130"/>
  <c r="M117"/>
  <c r="M118"/>
  <c r="M120"/>
  <c r="M123"/>
  <c r="M126"/>
  <c r="M116"/>
  <c r="M121"/>
  <c r="M124"/>
  <c r="M127"/>
  <c r="K68"/>
  <c r="E66"/>
  <c r="L65"/>
  <c r="X218" i="50"/>
  <c r="X219"/>
  <c r="X220" s="1"/>
  <c r="X221" s="1"/>
  <c r="X222" s="1"/>
  <c r="X223" s="1"/>
  <c r="X224" s="1"/>
  <c r="X225" s="1"/>
  <c r="Y132"/>
  <c r="Y133"/>
  <c r="Y134" s="1"/>
  <c r="Y135" s="1"/>
  <c r="Y136" s="1"/>
  <c r="Y137" s="1"/>
  <c r="Y138" s="1"/>
  <c r="Y139" s="1"/>
  <c r="Y314"/>
  <c r="Y315"/>
  <c r="Y316" s="1"/>
  <c r="Y317" s="1"/>
  <c r="Y318" s="1"/>
  <c r="Y319" s="1"/>
  <c r="Y320" s="1"/>
  <c r="Y321" s="1"/>
  <c r="Z132"/>
  <c r="Z133"/>
  <c r="Z134" s="1"/>
  <c r="Z135" s="1"/>
  <c r="Z136" s="1"/>
  <c r="Z137" s="1"/>
  <c r="Z138" s="1"/>
  <c r="Z139" s="1"/>
  <c r="T496"/>
  <c r="T497"/>
  <c r="T498" s="1"/>
  <c r="T499" s="1"/>
  <c r="T500" s="1"/>
  <c r="T501" s="1"/>
  <c r="T502" s="1"/>
  <c r="T503" s="1"/>
  <c r="W484"/>
  <c r="W485"/>
  <c r="W486" s="1"/>
  <c r="W487" s="1"/>
  <c r="W488" s="1"/>
  <c r="W489" s="1"/>
  <c r="W490" s="1"/>
  <c r="W491" s="1"/>
  <c r="V290"/>
  <c r="V291"/>
  <c r="V292" s="1"/>
  <c r="V293" s="1"/>
  <c r="V294" s="1"/>
  <c r="V295" s="1"/>
  <c r="V296" s="1"/>
  <c r="V297" s="1"/>
  <c r="Z388"/>
  <c r="Z389"/>
  <c r="Z390" s="1"/>
  <c r="Z391" s="1"/>
  <c r="Z392" s="1"/>
  <c r="Z393" s="1"/>
  <c r="Z394" s="1"/>
  <c r="Z395" s="1"/>
  <c r="A18" i="63"/>
  <c r="W258" i="50"/>
  <c r="W259" s="1"/>
  <c r="W260" s="1"/>
  <c r="W261" s="1"/>
  <c r="T90"/>
  <c r="T91" s="1"/>
  <c r="AB400"/>
  <c r="AB401" s="1"/>
  <c r="AB402" s="1"/>
  <c r="AB403" s="1"/>
  <c r="AB404" s="1"/>
  <c r="AB405" s="1"/>
  <c r="AB406" s="1"/>
  <c r="AB407" s="1"/>
  <c r="V400"/>
  <c r="V401" s="1"/>
  <c r="V402" s="1"/>
  <c r="V403" s="1"/>
  <c r="V404" s="1"/>
  <c r="V405" s="1"/>
  <c r="V406" s="1"/>
  <c r="V407" s="1"/>
  <c r="AD400"/>
  <c r="AD401" s="1"/>
  <c r="AD402" s="1"/>
  <c r="AD403" s="1"/>
  <c r="AD404" s="1"/>
  <c r="AD405" s="1"/>
  <c r="AD406" s="1"/>
  <c r="AD407" s="1"/>
  <c r="AA400"/>
  <c r="AA401" s="1"/>
  <c r="AA402" s="1"/>
  <c r="AA403" s="1"/>
  <c r="AA404" s="1"/>
  <c r="AA405" s="1"/>
  <c r="AA406" s="1"/>
  <c r="AA407" s="1"/>
  <c r="AC400"/>
  <c r="AC401" s="1"/>
  <c r="AC402" s="1"/>
  <c r="AC403" s="1"/>
  <c r="AC404" s="1"/>
  <c r="AC405" s="1"/>
  <c r="AC406" s="1"/>
  <c r="AC407" s="1"/>
  <c r="AG36"/>
  <c r="AG37" s="1"/>
  <c r="AG38" s="1"/>
  <c r="AG39" s="1"/>
  <c r="AG40" s="1"/>
  <c r="AG41" s="1"/>
  <c r="AG42" s="1"/>
  <c r="AG43" s="1"/>
  <c r="AA36"/>
  <c r="AA37" s="1"/>
  <c r="AA38" s="1"/>
  <c r="AA39" s="1"/>
  <c r="AA40" s="1"/>
  <c r="AA41" s="1"/>
  <c r="AA42" s="1"/>
  <c r="AA43" s="1"/>
  <c r="AC36"/>
  <c r="AC37" s="1"/>
  <c r="AC38" s="1"/>
  <c r="AC39" s="1"/>
  <c r="AC40" s="1"/>
  <c r="AC41" s="1"/>
  <c r="AC42" s="1"/>
  <c r="AC43" s="1"/>
  <c r="X36"/>
  <c r="X37" s="1"/>
  <c r="X38" s="1"/>
  <c r="X39" s="1"/>
  <c r="X40" s="1"/>
  <c r="X41" s="1"/>
  <c r="X42" s="1"/>
  <c r="X43" s="1"/>
  <c r="T36"/>
  <c r="T37" s="1"/>
  <c r="T38" s="1"/>
  <c r="T39" s="1"/>
  <c r="T40" s="1"/>
  <c r="T41" s="1"/>
  <c r="T42" s="1"/>
  <c r="T43" s="1"/>
  <c r="AB36"/>
  <c r="AB37" s="1"/>
  <c r="AB38" s="1"/>
  <c r="AB39" s="1"/>
  <c r="AB40" s="1"/>
  <c r="AB41" s="1"/>
  <c r="AB42" s="1"/>
  <c r="AB43" s="1"/>
  <c r="W36"/>
  <c r="W37" s="1"/>
  <c r="W38" s="1"/>
  <c r="W39" s="1"/>
  <c r="W40" s="1"/>
  <c r="W41" s="1"/>
  <c r="W42" s="1"/>
  <c r="W43" s="1"/>
  <c r="AD36"/>
  <c r="AD37" s="1"/>
  <c r="AD38" s="1"/>
  <c r="AD39" s="1"/>
  <c r="AD40" s="1"/>
  <c r="AD41" s="1"/>
  <c r="AD42" s="1"/>
  <c r="AD43" s="1"/>
  <c r="Z36"/>
  <c r="Z37" s="1"/>
  <c r="Z38" s="1"/>
  <c r="Z39" s="1"/>
  <c r="Z40" s="1"/>
  <c r="Z41" s="1"/>
  <c r="Z42" s="1"/>
  <c r="Z43" s="1"/>
  <c r="U36"/>
  <c r="U37" s="1"/>
  <c r="U38" s="1"/>
  <c r="U39" s="1"/>
  <c r="U40" s="1"/>
  <c r="U41" s="1"/>
  <c r="U42" s="1"/>
  <c r="U43" s="1"/>
  <c r="AF36"/>
  <c r="AF37" s="1"/>
  <c r="AF38" s="1"/>
  <c r="AF39" s="1"/>
  <c r="AF40" s="1"/>
  <c r="AF41" s="1"/>
  <c r="AF42" s="1"/>
  <c r="AF43" s="1"/>
  <c r="AG400"/>
  <c r="AG401" s="1"/>
  <c r="AG402" s="1"/>
  <c r="AG403" s="1"/>
  <c r="AG404" s="1"/>
  <c r="AG405" s="1"/>
  <c r="AG406" s="1"/>
  <c r="AG407" s="1"/>
  <c r="Y400"/>
  <c r="Y401" s="1"/>
  <c r="Y402" s="1"/>
  <c r="Y403" s="1"/>
  <c r="Y404" s="1"/>
  <c r="Y405" s="1"/>
  <c r="Y406" s="1"/>
  <c r="Y407" s="1"/>
  <c r="AE400"/>
  <c r="AE401" s="1"/>
  <c r="AE402" s="1"/>
  <c r="AE403" s="1"/>
  <c r="AE404" s="1"/>
  <c r="AE405" s="1"/>
  <c r="AE406" s="1"/>
  <c r="AE407" s="1"/>
  <c r="W400"/>
  <c r="W401" s="1"/>
  <c r="W402" s="1"/>
  <c r="W403" s="1"/>
  <c r="W404" s="1"/>
  <c r="W405" s="1"/>
  <c r="W406" s="1"/>
  <c r="W407" s="1"/>
  <c r="Z400"/>
  <c r="Z401" s="1"/>
  <c r="Z402" s="1"/>
  <c r="Z403" s="1"/>
  <c r="Z404" s="1"/>
  <c r="Z405" s="1"/>
  <c r="Z406" s="1"/>
  <c r="Z407" s="1"/>
  <c r="AF400"/>
  <c r="AF401" s="1"/>
  <c r="AF402" s="1"/>
  <c r="AF403" s="1"/>
  <c r="AF404" s="1"/>
  <c r="AF405" s="1"/>
  <c r="AF406" s="1"/>
  <c r="AF407" s="1"/>
  <c r="X400"/>
  <c r="X401" s="1"/>
  <c r="X402" s="1"/>
  <c r="X403" s="1"/>
  <c r="X404" s="1"/>
  <c r="X405" s="1"/>
  <c r="X406" s="1"/>
  <c r="X407" s="1"/>
  <c r="Z218"/>
  <c r="Z219" s="1"/>
  <c r="Z220" s="1"/>
  <c r="Z221" s="1"/>
  <c r="Z222" s="1"/>
  <c r="Z223" s="1"/>
  <c r="Z224" s="1"/>
  <c r="Z225" s="1"/>
  <c r="AF218"/>
  <c r="AF219" s="1"/>
  <c r="AF220" s="1"/>
  <c r="AF221" s="1"/>
  <c r="AF222" s="1"/>
  <c r="AF223" s="1"/>
  <c r="AF224" s="1"/>
  <c r="AF225" s="1"/>
  <c r="T218"/>
  <c r="T219" s="1"/>
  <c r="T220" s="1"/>
  <c r="T221" s="1"/>
  <c r="T222" s="1"/>
  <c r="T223" s="1"/>
  <c r="T224" s="1"/>
  <c r="U388"/>
  <c r="U389"/>
  <c r="U390" s="1"/>
  <c r="U391" s="1"/>
  <c r="U392" s="1"/>
  <c r="U393" s="1"/>
  <c r="U394" s="1"/>
  <c r="U395" s="1"/>
  <c r="U206"/>
  <c r="U207"/>
  <c r="U208" s="1"/>
  <c r="U209" s="1"/>
  <c r="U210" s="1"/>
  <c r="U211" s="1"/>
  <c r="U212" s="1"/>
  <c r="U213" s="1"/>
  <c r="AF206"/>
  <c r="AF207"/>
  <c r="AF208" s="1"/>
  <c r="AF209" s="1"/>
  <c r="AF210" s="1"/>
  <c r="AF211" s="1"/>
  <c r="AF212" s="1"/>
  <c r="AF213" s="1"/>
  <c r="AB206"/>
  <c r="AB207"/>
  <c r="AB208" s="1"/>
  <c r="AB209" s="1"/>
  <c r="AB210" s="1"/>
  <c r="AB211" s="1"/>
  <c r="AB212" s="1"/>
  <c r="AB213" s="1"/>
  <c r="AE206"/>
  <c r="AE207"/>
  <c r="AE208" s="1"/>
  <c r="AE209" s="1"/>
  <c r="AE210" s="1"/>
  <c r="AE211" s="1"/>
  <c r="AE212" s="1"/>
  <c r="AE213" s="1"/>
  <c r="AG206"/>
  <c r="AG207"/>
  <c r="AG208" s="1"/>
  <c r="AG209" s="1"/>
  <c r="AG210" s="1"/>
  <c r="AG211" s="1"/>
  <c r="AG212" s="1"/>
  <c r="AG213" s="1"/>
  <c r="V206"/>
  <c r="V207"/>
  <c r="V208" s="1"/>
  <c r="V209" s="1"/>
  <c r="V210" s="1"/>
  <c r="V211" s="1"/>
  <c r="V212" s="1"/>
  <c r="V213" s="1"/>
  <c r="X388"/>
  <c r="X389"/>
  <c r="X390" s="1"/>
  <c r="X391" s="1"/>
  <c r="X392" s="1"/>
  <c r="X393" s="1"/>
  <c r="X394" s="1"/>
  <c r="X395" s="1"/>
  <c r="Y338"/>
  <c r="Y339"/>
  <c r="Y340" s="1"/>
  <c r="Y341" s="1"/>
  <c r="Y342" s="1"/>
  <c r="Y343" s="1"/>
  <c r="Y344" s="1"/>
  <c r="Y345" s="1"/>
  <c r="AC326"/>
  <c r="AC327"/>
  <c r="AC328" s="1"/>
  <c r="AC329" s="1"/>
  <c r="AC330" s="1"/>
  <c r="AC331" s="1"/>
  <c r="AC332" s="1"/>
  <c r="AC333" s="1"/>
  <c r="AA508"/>
  <c r="AA509"/>
  <c r="AA510" s="1"/>
  <c r="AA511" s="1"/>
  <c r="AA512" s="1"/>
  <c r="AA513" s="1"/>
  <c r="AA514" s="1"/>
  <c r="AA515" s="1"/>
  <c r="AA132"/>
  <c r="AA133"/>
  <c r="AA134" s="1"/>
  <c r="AA135" s="1"/>
  <c r="AA136" s="1"/>
  <c r="AA137" s="1"/>
  <c r="AA138" s="1"/>
  <c r="AA139" s="1"/>
  <c r="T132"/>
  <c r="T133"/>
  <c r="T134" s="1"/>
  <c r="T135" s="1"/>
  <c r="T136" s="1"/>
  <c r="T137" s="1"/>
  <c r="T138" s="1"/>
  <c r="T139" s="1"/>
  <c r="Z314"/>
  <c r="Z315"/>
  <c r="Z316" s="1"/>
  <c r="Z317" s="1"/>
  <c r="Z318" s="1"/>
  <c r="Z319" s="1"/>
  <c r="Z320" s="1"/>
  <c r="Z321" s="1"/>
  <c r="Z496"/>
  <c r="Z497"/>
  <c r="Z498" s="1"/>
  <c r="Z499" s="1"/>
  <c r="Z500" s="1"/>
  <c r="Z501" s="1"/>
  <c r="Z502" s="1"/>
  <c r="Z503" s="1"/>
  <c r="Y484"/>
  <c r="Y485"/>
  <c r="Y486" s="1"/>
  <c r="Y487" s="1"/>
  <c r="Y488" s="1"/>
  <c r="Y489" s="1"/>
  <c r="Y490" s="1"/>
  <c r="Y491" s="1"/>
  <c r="AC120"/>
  <c r="AC121"/>
  <c r="AC122" s="1"/>
  <c r="AC123" s="1"/>
  <c r="AC124" s="1"/>
  <c r="AC125" s="1"/>
  <c r="AC126" s="1"/>
  <c r="AC127" s="1"/>
  <c r="AF290"/>
  <c r="AF291"/>
  <c r="AF292" s="1"/>
  <c r="AF293" s="1"/>
  <c r="AF294" s="1"/>
  <c r="AF295" s="1"/>
  <c r="AF296" s="1"/>
  <c r="AF297" s="1"/>
  <c r="AE24"/>
  <c r="AE25"/>
  <c r="AE26" s="1"/>
  <c r="AE27" s="1"/>
  <c r="AE28" s="1"/>
  <c r="AE29" s="1"/>
  <c r="AE30" s="1"/>
  <c r="AE31" s="1"/>
  <c r="T273"/>
  <c r="T284"/>
  <c r="T285" s="1"/>
  <c r="X454"/>
  <c r="X455" s="1"/>
  <c r="AE218"/>
  <c r="AE219" s="1"/>
  <c r="AE220" s="1"/>
  <c r="AE221" s="1"/>
  <c r="AE222" s="1"/>
  <c r="AE223" s="1"/>
  <c r="AE224" s="1"/>
  <c r="AE225" s="1"/>
  <c r="AA218"/>
  <c r="AA219" s="1"/>
  <c r="AA220" s="1"/>
  <c r="AA221" s="1"/>
  <c r="AA222" s="1"/>
  <c r="AA223" s="1"/>
  <c r="AA224" s="1"/>
  <c r="AA225" s="1"/>
  <c r="W218"/>
  <c r="W219" s="1"/>
  <c r="W220" s="1"/>
  <c r="W221" s="1"/>
  <c r="W222" s="1"/>
  <c r="W223" s="1"/>
  <c r="W224" s="1"/>
  <c r="W225" s="1"/>
  <c r="AG218"/>
  <c r="AG219" s="1"/>
  <c r="AG220" s="1"/>
  <c r="AG221" s="1"/>
  <c r="AG222" s="1"/>
  <c r="AG223" s="1"/>
  <c r="AG224" s="1"/>
  <c r="AG225" s="1"/>
  <c r="AC218"/>
  <c r="AC219" s="1"/>
  <c r="AC220" s="1"/>
  <c r="AC221" s="1"/>
  <c r="AC222" s="1"/>
  <c r="AC223" s="1"/>
  <c r="AC224" s="1"/>
  <c r="AC225" s="1"/>
  <c r="Y218"/>
  <c r="Y219" s="1"/>
  <c r="Y220"/>
  <c r="Y221" s="1"/>
  <c r="Y222" s="1"/>
  <c r="Y223" s="1"/>
  <c r="Y224" s="1"/>
  <c r="T388"/>
  <c r="T389" s="1"/>
  <c r="T390" s="1"/>
  <c r="T391" s="1"/>
  <c r="T392" s="1"/>
  <c r="T393" s="1"/>
  <c r="AC388"/>
  <c r="AC389" s="1"/>
  <c r="AC390" s="1"/>
  <c r="AC391" s="1"/>
  <c r="AC392" s="1"/>
  <c r="AC393" s="1"/>
  <c r="AC394" s="1"/>
  <c r="AC395" s="1"/>
  <c r="Y388"/>
  <c r="Y389" s="1"/>
  <c r="Y390" s="1"/>
  <c r="Y391" s="1"/>
  <c r="Y392" s="1"/>
  <c r="Y393" s="1"/>
  <c r="Y394" s="1"/>
  <c r="Y395" s="1"/>
  <c r="AG388"/>
  <c r="AG389" s="1"/>
  <c r="AG390" s="1"/>
  <c r="AG391" s="1"/>
  <c r="AG392" s="1"/>
  <c r="AG393" s="1"/>
  <c r="AG394" s="1"/>
  <c r="AG395" s="1"/>
  <c r="AE388"/>
  <c r="AE389" s="1"/>
  <c r="AE390" s="1"/>
  <c r="AE391" s="1"/>
  <c r="AE392" s="1"/>
  <c r="AE393" s="1"/>
  <c r="AE394" s="1"/>
  <c r="AE395" s="1"/>
  <c r="AA388"/>
  <c r="AA389" s="1"/>
  <c r="AA390" s="1"/>
  <c r="AA391" s="1"/>
  <c r="AA392" s="1"/>
  <c r="AA393" s="1"/>
  <c r="AA394" s="1"/>
  <c r="AA395" s="1"/>
  <c r="W388"/>
  <c r="W389" s="1"/>
  <c r="W390" s="1"/>
  <c r="W391" s="1"/>
  <c r="W392" s="1"/>
  <c r="W393" s="1"/>
  <c r="W394" s="1"/>
  <c r="W395" s="1"/>
  <c r="AF388"/>
  <c r="AF389" s="1"/>
  <c r="AF390" s="1"/>
  <c r="AF391" s="1"/>
  <c r="AF392" s="1"/>
  <c r="AF393" s="1"/>
  <c r="AF394" s="1"/>
  <c r="AF395" s="1"/>
  <c r="AB388"/>
  <c r="AB389" s="1"/>
  <c r="AB390" s="1"/>
  <c r="AB391" s="1"/>
  <c r="AB392" s="1"/>
  <c r="AB393" s="1"/>
  <c r="AB394" s="1"/>
  <c r="AB395" s="1"/>
  <c r="AB24"/>
  <c r="AB25" s="1"/>
  <c r="AB26" s="1"/>
  <c r="AB27" s="1"/>
  <c r="AB28" s="1"/>
  <c r="AB29" s="1"/>
  <c r="AB30" s="1"/>
  <c r="AB31" s="1"/>
  <c r="X168"/>
  <c r="X169" s="1"/>
  <c r="X170" s="1"/>
  <c r="X171" s="1"/>
  <c r="X172" s="1"/>
  <c r="X173" s="1"/>
  <c r="X174" s="1"/>
  <c r="X175" s="1"/>
  <c r="AB168"/>
  <c r="AB169" s="1"/>
  <c r="AB170" s="1"/>
  <c r="AB171" s="1"/>
  <c r="AB172" s="1"/>
  <c r="AB173" s="1"/>
  <c r="AB174" s="1"/>
  <c r="AB175" s="1"/>
  <c r="Y168"/>
  <c r="Y169" s="1"/>
  <c r="Y170" s="1"/>
  <c r="Y171" s="1"/>
  <c r="Y172" s="1"/>
  <c r="Y173" s="1"/>
  <c r="Y174" s="1"/>
  <c r="Y175" s="1"/>
  <c r="AG168"/>
  <c r="AG169" s="1"/>
  <c r="AG170" s="1"/>
  <c r="AG171" s="1"/>
  <c r="AG172" s="1"/>
  <c r="AG173" s="1"/>
  <c r="AG174" s="1"/>
  <c r="AG175" s="1"/>
  <c r="AA168"/>
  <c r="AA169" s="1"/>
  <c r="AA170" s="1"/>
  <c r="AA171" s="1"/>
  <c r="AA172" s="1"/>
  <c r="AA173" s="1"/>
  <c r="AA174" s="1"/>
  <c r="AA175" s="1"/>
  <c r="AE168"/>
  <c r="AE169" s="1"/>
  <c r="AE170" s="1"/>
  <c r="AE171" s="1"/>
  <c r="AE172" s="1"/>
  <c r="AE173" s="1"/>
  <c r="AE174" s="1"/>
  <c r="AE175" s="1"/>
  <c r="AA350"/>
  <c r="AA351" s="1"/>
  <c r="AA352" s="1"/>
  <c r="AA353" s="1"/>
  <c r="AA354" s="1"/>
  <c r="AA355" s="1"/>
  <c r="AA356" s="1"/>
  <c r="AA357" s="1"/>
  <c r="U350"/>
  <c r="U351" s="1"/>
  <c r="U352" s="1"/>
  <c r="U353" s="1"/>
  <c r="U354" s="1"/>
  <c r="U355" s="1"/>
  <c r="U356" s="1"/>
  <c r="U357" s="1"/>
  <c r="AC350"/>
  <c r="AC351" s="1"/>
  <c r="AC352" s="1"/>
  <c r="AC353" s="1"/>
  <c r="AC354" s="1"/>
  <c r="AC355" s="1"/>
  <c r="AC356" s="1"/>
  <c r="AC357" s="1"/>
  <c r="V350"/>
  <c r="V351" s="1"/>
  <c r="V352" s="1"/>
  <c r="V353" s="1"/>
  <c r="V354" s="1"/>
  <c r="V355" s="1"/>
  <c r="V356" s="1"/>
  <c r="V357" s="1"/>
  <c r="W508"/>
  <c r="W509" s="1"/>
  <c r="W510" s="1"/>
  <c r="W511" s="1"/>
  <c r="W512" s="1"/>
  <c r="W513" s="1"/>
  <c r="W514" s="1"/>
  <c r="W515" s="1"/>
  <c r="AE144"/>
  <c r="AE145" s="1"/>
  <c r="AE146" s="1"/>
  <c r="AE147" s="1"/>
  <c r="AE148" s="1"/>
  <c r="AE149" s="1"/>
  <c r="AE150" s="1"/>
  <c r="AE151" s="1"/>
  <c r="AC496"/>
  <c r="AC497" s="1"/>
  <c r="AC498" s="1"/>
  <c r="AC499" s="1"/>
  <c r="AC500" s="1"/>
  <c r="AC501" s="1"/>
  <c r="AC502" s="1"/>
  <c r="AC503" s="1"/>
  <c r="AB496"/>
  <c r="AB497" s="1"/>
  <c r="AB498" s="1"/>
  <c r="AB499" s="1"/>
  <c r="AB500" s="1"/>
  <c r="AB501" s="1"/>
  <c r="AB502" s="1"/>
  <c r="AB503" s="1"/>
  <c r="AA496"/>
  <c r="AA497" s="1"/>
  <c r="AA498" s="1"/>
  <c r="AA499" s="1"/>
  <c r="AA500" s="1"/>
  <c r="AA501" s="1"/>
  <c r="AA502" s="1"/>
  <c r="AA503" s="1"/>
  <c r="V496"/>
  <c r="V497" s="1"/>
  <c r="V498" s="1"/>
  <c r="V499" s="1"/>
  <c r="V500" s="1"/>
  <c r="V501" s="1"/>
  <c r="V502" s="1"/>
  <c r="V503" s="1"/>
  <c r="AG132"/>
  <c r="AG133" s="1"/>
  <c r="AG134" s="1"/>
  <c r="AG135" s="1"/>
  <c r="AG136" s="1"/>
  <c r="AG137" s="1"/>
  <c r="AG138" s="1"/>
  <c r="AG139" s="1"/>
  <c r="AB132"/>
  <c r="AB133" s="1"/>
  <c r="AB134" s="1"/>
  <c r="AB135" s="1"/>
  <c r="AB136" s="1"/>
  <c r="AB137" s="1"/>
  <c r="AB138" s="1"/>
  <c r="AB139" s="1"/>
  <c r="AE314"/>
  <c r="AE315" s="1"/>
  <c r="AE316" s="1"/>
  <c r="AE317" s="1"/>
  <c r="AE318" s="1"/>
  <c r="AE319" s="1"/>
  <c r="AE320" s="1"/>
  <c r="AE321" s="1"/>
  <c r="X314"/>
  <c r="X315" s="1"/>
  <c r="X316" s="1"/>
  <c r="X317" s="1"/>
  <c r="X318" s="1"/>
  <c r="X319" s="1"/>
  <c r="X320" s="1"/>
  <c r="X321" s="1"/>
  <c r="AA484"/>
  <c r="AA485" s="1"/>
  <c r="AA486" s="1"/>
  <c r="AA487" s="1"/>
  <c r="AA488" s="1"/>
  <c r="AA489" s="1"/>
  <c r="AA490" s="1"/>
  <c r="AA491" s="1"/>
  <c r="AB484"/>
  <c r="AB485" s="1"/>
  <c r="AB486" s="1"/>
  <c r="AB487" s="1"/>
  <c r="AB488" s="1"/>
  <c r="AB489" s="1"/>
  <c r="AB490" s="1"/>
  <c r="AB491" s="1"/>
  <c r="AD484"/>
  <c r="AD485" s="1"/>
  <c r="AD486" s="1"/>
  <c r="AD487" s="1"/>
  <c r="AD488" s="1"/>
  <c r="AD489" s="1"/>
  <c r="AD490" s="1"/>
  <c r="AD491" s="1"/>
  <c r="Z120"/>
  <c r="Z121" s="1"/>
  <c r="Z122" s="1"/>
  <c r="Z123" s="1"/>
  <c r="Z124" s="1"/>
  <c r="Z125" s="1"/>
  <c r="Z126" s="1"/>
  <c r="Z127" s="1"/>
  <c r="AG484"/>
  <c r="AG485" s="1"/>
  <c r="AG486" s="1"/>
  <c r="AG487" s="1"/>
  <c r="AG488" s="1"/>
  <c r="AG489" s="1"/>
  <c r="AG490" s="1"/>
  <c r="AG491" s="1"/>
  <c r="T201"/>
  <c r="V333"/>
  <c r="U474"/>
  <c r="U475" s="1"/>
  <c r="U175"/>
  <c r="U163"/>
  <c r="AE37"/>
  <c r="AE38" s="1"/>
  <c r="AE39"/>
  <c r="AE40" s="1"/>
  <c r="AE41" s="1"/>
  <c r="AE42" s="1"/>
  <c r="AE43" s="1"/>
  <c r="T362"/>
  <c r="T363" s="1"/>
  <c r="T364"/>
  <c r="T365" s="1"/>
  <c r="T366" s="1"/>
  <c r="T367" s="1"/>
  <c r="T368" s="1"/>
  <c r="T369" s="1"/>
  <c r="AD362"/>
  <c r="AD363" s="1"/>
  <c r="AD364"/>
  <c r="AD365" s="1"/>
  <c r="AD366" s="1"/>
  <c r="AD367" s="1"/>
  <c r="AD368" s="1"/>
  <c r="AD369" s="1"/>
  <c r="V362"/>
  <c r="V363" s="1"/>
  <c r="V364"/>
  <c r="V365" s="1"/>
  <c r="V366" s="1"/>
  <c r="V367" s="1"/>
  <c r="V368" s="1"/>
  <c r="V369" s="1"/>
  <c r="AC362"/>
  <c r="AC363" s="1"/>
  <c r="AC364"/>
  <c r="AC365" s="1"/>
  <c r="AC366" s="1"/>
  <c r="AC367" s="1"/>
  <c r="AC368" s="1"/>
  <c r="AC369" s="1"/>
  <c r="U362"/>
  <c r="U363" s="1"/>
  <c r="U364"/>
  <c r="U365" s="1"/>
  <c r="U366" s="1"/>
  <c r="U367" s="1"/>
  <c r="U368" s="1"/>
  <c r="U369" s="1"/>
  <c r="AA362"/>
  <c r="AA363" s="1"/>
  <c r="AA364"/>
  <c r="AA365" s="1"/>
  <c r="AA366" s="1"/>
  <c r="AA367" s="1"/>
  <c r="AA368" s="1"/>
  <c r="AA369" s="1"/>
  <c r="AF362"/>
  <c r="AF363" s="1"/>
  <c r="AF364"/>
  <c r="AF365" s="1"/>
  <c r="AF366" s="1"/>
  <c r="AF367" s="1"/>
  <c r="AF368" s="1"/>
  <c r="AF369" s="1"/>
  <c r="X362"/>
  <c r="X363" s="1"/>
  <c r="X364"/>
  <c r="X365" s="1"/>
  <c r="X366" s="1"/>
  <c r="X367" s="1"/>
  <c r="X368" s="1"/>
  <c r="X369" s="1"/>
  <c r="Z362"/>
  <c r="Z363" s="1"/>
  <c r="Z364" s="1"/>
  <c r="Z365" s="1"/>
  <c r="Z366" s="1"/>
  <c r="Z367" s="1"/>
  <c r="Z368" s="1"/>
  <c r="Z369" s="1"/>
  <c r="AG362"/>
  <c r="AG363" s="1"/>
  <c r="AG364" s="1"/>
  <c r="AG365" s="1"/>
  <c r="AG366" s="1"/>
  <c r="AG367" s="1"/>
  <c r="AG368" s="1"/>
  <c r="AG369" s="1"/>
  <c r="Y362"/>
  <c r="Y363" s="1"/>
  <c r="Y364" s="1"/>
  <c r="Y365" s="1"/>
  <c r="Y366" s="1"/>
  <c r="Y367" s="1"/>
  <c r="Y368" s="1"/>
  <c r="Y369" s="1"/>
  <c r="AE362"/>
  <c r="AE363" s="1"/>
  <c r="AE364" s="1"/>
  <c r="AE365" s="1"/>
  <c r="AE366" s="1"/>
  <c r="AE367" s="1"/>
  <c r="AE368" s="1"/>
  <c r="AE369" s="1"/>
  <c r="W362"/>
  <c r="W363" s="1"/>
  <c r="W364" s="1"/>
  <c r="W365" s="1"/>
  <c r="W366" s="1"/>
  <c r="W367" s="1"/>
  <c r="W368" s="1"/>
  <c r="W369" s="1"/>
  <c r="U544"/>
  <c r="U545" s="1"/>
  <c r="U546" s="1"/>
  <c r="U547" s="1"/>
  <c r="U548" s="1"/>
  <c r="U549" s="1"/>
  <c r="U550" s="1"/>
  <c r="U551" s="1"/>
  <c r="AD544"/>
  <c r="AD545" s="1"/>
  <c r="AD546" s="1"/>
  <c r="AD547" s="1"/>
  <c r="AD548" s="1"/>
  <c r="AD549" s="1"/>
  <c r="AD550" s="1"/>
  <c r="AD551" s="1"/>
  <c r="AD144"/>
  <c r="AD145" s="1"/>
  <c r="AD146" s="1"/>
  <c r="AD147" s="1"/>
  <c r="AD148" s="1"/>
  <c r="AD149" s="1"/>
  <c r="AD150" s="1"/>
  <c r="AD151" s="1"/>
  <c r="AL230"/>
  <c r="A231"/>
  <c r="AC18" i="26"/>
  <c r="A48" i="50"/>
  <c r="C47"/>
  <c r="B47"/>
  <c r="A412"/>
  <c r="AL412" s="1"/>
  <c r="B411"/>
  <c r="C411"/>
  <c r="AD412"/>
  <c r="AD413" s="1"/>
  <c r="AD414" s="1"/>
  <c r="AD415" s="1"/>
  <c r="AD416" s="1"/>
  <c r="AD417" s="1"/>
  <c r="AD418" s="1"/>
  <c r="AD419" s="1"/>
  <c r="M34" i="75"/>
  <c r="U34" s="1"/>
  <c r="I34"/>
  <c r="J34" s="1"/>
  <c r="E34"/>
  <c r="D35"/>
  <c r="Z7"/>
  <c r="F8"/>
  <c r="J11"/>
  <c r="K12"/>
  <c r="K14"/>
  <c r="K16"/>
  <c r="J17"/>
  <c r="K18"/>
  <c r="J19"/>
  <c r="J21"/>
  <c r="J22"/>
  <c r="J32"/>
  <c r="W32"/>
  <c r="Y32"/>
  <c r="W33"/>
  <c r="Y33"/>
  <c r="W34"/>
  <c r="Y34"/>
  <c r="N58"/>
  <c r="P58" s="1"/>
  <c r="AE73"/>
  <c r="AA73"/>
  <c r="AE77"/>
  <c r="AC77"/>
  <c r="AZ77" s="1"/>
  <c r="AE81"/>
  <c r="AA81" s="1"/>
  <c r="AE85"/>
  <c r="AC85" s="1"/>
  <c r="AZ85" s="1"/>
  <c r="AE89"/>
  <c r="AA89"/>
  <c r="AF29" i="26"/>
  <c r="X29"/>
  <c r="X24"/>
  <c r="AF26"/>
  <c r="AB29"/>
  <c r="AC29"/>
  <c r="AB26"/>
  <c r="AC26"/>
  <c r="X28"/>
  <c r="P28"/>
  <c r="P29"/>
  <c r="G50" i="58"/>
  <c r="I50" s="1"/>
  <c r="G8" i="75"/>
  <c r="K11"/>
  <c r="K13"/>
  <c r="K15"/>
  <c r="K17"/>
  <c r="AE74"/>
  <c r="AA74"/>
  <c r="AE76"/>
  <c r="AE78"/>
  <c r="AC78" s="1"/>
  <c r="AZ78" s="1"/>
  <c r="AE80"/>
  <c r="AE82"/>
  <c r="AA82" s="1"/>
  <c r="AE84"/>
  <c r="AE86"/>
  <c r="AC86"/>
  <c r="AZ86" s="1"/>
  <c r="AE88"/>
  <c r="AA88" s="1"/>
  <c r="AF70"/>
  <c r="AF71"/>
  <c r="AD72"/>
  <c r="AF72"/>
  <c r="AD73"/>
  <c r="Z73" s="1"/>
  <c r="AD74"/>
  <c r="Z74" s="1"/>
  <c r="AF74"/>
  <c r="AD75"/>
  <c r="Z75"/>
  <c r="AD76"/>
  <c r="Z76"/>
  <c r="AF76"/>
  <c r="AD77"/>
  <c r="Z77" s="1"/>
  <c r="AD78"/>
  <c r="Z78" s="1"/>
  <c r="AF78"/>
  <c r="AD79"/>
  <c r="Z79"/>
  <c r="AD80"/>
  <c r="Z80"/>
  <c r="AF80"/>
  <c r="AD81"/>
  <c r="Z81" s="1"/>
  <c r="AD82"/>
  <c r="Z82" s="1"/>
  <c r="AF82"/>
  <c r="AD83"/>
  <c r="Z83"/>
  <c r="AD84"/>
  <c r="Z84"/>
  <c r="AF84"/>
  <c r="AD85"/>
  <c r="Z85" s="1"/>
  <c r="AD86"/>
  <c r="Z86" s="1"/>
  <c r="AF86"/>
  <c r="AD87"/>
  <c r="Z87"/>
  <c r="AD88"/>
  <c r="Z88"/>
  <c r="AF88"/>
  <c r="AD89"/>
  <c r="Z89" s="1"/>
  <c r="T137" i="49"/>
  <c r="U137" s="1"/>
  <c r="S145"/>
  <c r="A12" i="74"/>
  <c r="A18"/>
  <c r="B16" i="55"/>
  <c r="P16" i="74"/>
  <c r="S92" i="49"/>
  <c r="A12" i="73"/>
  <c r="A18"/>
  <c r="Y24" i="50"/>
  <c r="P16" i="73"/>
  <c r="Q16"/>
  <c r="Q21"/>
  <c r="AP48" i="61"/>
  <c r="M16" i="55"/>
  <c r="P16"/>
  <c r="D16"/>
  <c r="D16" i="57"/>
  <c r="U27" i="50"/>
  <c r="U28"/>
  <c r="U29" s="1"/>
  <c r="U30" s="1"/>
  <c r="U31" s="1"/>
  <c r="V16" i="55"/>
  <c r="Y16" s="1"/>
  <c r="AW16"/>
  <c r="AZ16" s="1"/>
  <c r="AN16"/>
  <c r="AQ16" s="1"/>
  <c r="A17"/>
  <c r="A25" i="50"/>
  <c r="AL25"/>
  <c r="AL24"/>
  <c r="AA88" i="78"/>
  <c r="AC86"/>
  <c r="AZ86"/>
  <c r="BA86"/>
  <c r="AA84"/>
  <c r="AC82"/>
  <c r="AZ82"/>
  <c r="BA82"/>
  <c r="AA80"/>
  <c r="AC78"/>
  <c r="AZ78"/>
  <c r="AA78"/>
  <c r="BA78"/>
  <c r="AC76"/>
  <c r="AZ76"/>
  <c r="AA76"/>
  <c r="BA76"/>
  <c r="AC74"/>
  <c r="AZ74"/>
  <c r="AA74"/>
  <c r="BA74"/>
  <c r="AB74"/>
  <c r="AB76"/>
  <c r="AB78"/>
  <c r="AB80"/>
  <c r="AB82"/>
  <c r="AB84"/>
  <c r="AB86"/>
  <c r="AB88"/>
  <c r="AC89"/>
  <c r="AZ89"/>
  <c r="BA89"/>
  <c r="AA87"/>
  <c r="AC85"/>
  <c r="AZ85"/>
  <c r="BA85"/>
  <c r="AA83"/>
  <c r="AC81"/>
  <c r="AZ81"/>
  <c r="BA81"/>
  <c r="AA79"/>
  <c r="AC77"/>
  <c r="AZ77"/>
  <c r="BA77"/>
  <c r="AA75"/>
  <c r="AC73"/>
  <c r="AZ73"/>
  <c r="BA73"/>
  <c r="I34"/>
  <c r="J34" s="1"/>
  <c r="E34"/>
  <c r="D35"/>
  <c r="I118" i="49"/>
  <c r="L118"/>
  <c r="J118"/>
  <c r="F118"/>
  <c r="K118"/>
  <c r="L68"/>
  <c r="M65"/>
  <c r="N65" s="1"/>
  <c r="K77"/>
  <c r="K79"/>
  <c r="K80"/>
  <c r="K69"/>
  <c r="K74"/>
  <c r="K75"/>
  <c r="K70"/>
  <c r="K71"/>
  <c r="K76"/>
  <c r="K78"/>
  <c r="K81"/>
  <c r="K83"/>
  <c r="K73"/>
  <c r="K72"/>
  <c r="K82"/>
  <c r="B18" i="63"/>
  <c r="A19"/>
  <c r="C18"/>
  <c r="A413" i="50"/>
  <c r="AL413" s="1"/>
  <c r="AF48"/>
  <c r="AF49" s="1"/>
  <c r="AF50" s="1"/>
  <c r="AF51" s="1"/>
  <c r="AF52" s="1"/>
  <c r="AF53" s="1"/>
  <c r="AF54" s="1"/>
  <c r="AF55" s="1"/>
  <c r="V48"/>
  <c r="V49" s="1"/>
  <c r="V50" s="1"/>
  <c r="V51" s="1"/>
  <c r="V52" s="1"/>
  <c r="V53" s="1"/>
  <c r="V54" s="1"/>
  <c r="V55" s="1"/>
  <c r="W48"/>
  <c r="W49" s="1"/>
  <c r="W50" s="1"/>
  <c r="W51" s="1"/>
  <c r="W52" s="1"/>
  <c r="W53" s="1"/>
  <c r="W54" s="1"/>
  <c r="W55" s="1"/>
  <c r="AE48"/>
  <c r="AE49" s="1"/>
  <c r="AE50" s="1"/>
  <c r="AE51" s="1"/>
  <c r="AE52" s="1"/>
  <c r="AE53" s="1"/>
  <c r="AE54" s="1"/>
  <c r="AE55" s="1"/>
  <c r="Y48"/>
  <c r="Y49" s="1"/>
  <c r="Y50" s="1"/>
  <c r="Y51" s="1"/>
  <c r="Y52" s="1"/>
  <c r="Y53" s="1"/>
  <c r="Y54" s="1"/>
  <c r="Y55" s="1"/>
  <c r="AG48"/>
  <c r="AG49" s="1"/>
  <c r="AG50" s="1"/>
  <c r="AG51" s="1"/>
  <c r="AG52" s="1"/>
  <c r="AG53" s="1"/>
  <c r="AG54" s="1"/>
  <c r="AG55" s="1"/>
  <c r="A49"/>
  <c r="A50" s="1"/>
  <c r="AL48"/>
  <c r="A232"/>
  <c r="AL231"/>
  <c r="AB79" i="75"/>
  <c r="AC88"/>
  <c r="AZ88" s="1"/>
  <c r="BA88"/>
  <c r="AC84"/>
  <c r="AZ84"/>
  <c r="AA84"/>
  <c r="BA84"/>
  <c r="AC80"/>
  <c r="AZ80"/>
  <c r="AA80"/>
  <c r="BA80"/>
  <c r="AC76"/>
  <c r="AZ76"/>
  <c r="AA76"/>
  <c r="BA76"/>
  <c r="I35"/>
  <c r="J35"/>
  <c r="E35"/>
  <c r="D36"/>
  <c r="AC82"/>
  <c r="AZ82"/>
  <c r="AA78"/>
  <c r="AC89"/>
  <c r="AZ89" s="1"/>
  <c r="AA85"/>
  <c r="BA81"/>
  <c r="AC73"/>
  <c r="AZ73" s="1"/>
  <c r="P21" i="74"/>
  <c r="Q16"/>
  <c r="Q21"/>
  <c r="Y10" i="62"/>
  <c r="AP48"/>
  <c r="P21" i="73"/>
  <c r="Y25" i="50"/>
  <c r="Y26" s="1"/>
  <c r="Y27" s="1"/>
  <c r="Y28" s="1"/>
  <c r="Y29" s="1"/>
  <c r="Y30" s="1"/>
  <c r="Y31" s="1"/>
  <c r="T92" i="49"/>
  <c r="N404" i="50"/>
  <c r="N380"/>
  <c r="N210"/>
  <c r="S97" i="49"/>
  <c r="S98"/>
  <c r="S99"/>
  <c r="N416" i="50"/>
  <c r="N392"/>
  <c r="N198"/>
  <c r="B17" i="55"/>
  <c r="AE17"/>
  <c r="AH17"/>
  <c r="AW17"/>
  <c r="AZ17"/>
  <c r="AN17"/>
  <c r="AQ17"/>
  <c r="A18"/>
  <c r="D17"/>
  <c r="D17" i="57" s="1"/>
  <c r="V17" i="55"/>
  <c r="Y17" s="1"/>
  <c r="M17"/>
  <c r="P17" s="1"/>
  <c r="D36" i="78"/>
  <c r="AD71"/>
  <c r="I35"/>
  <c r="E35"/>
  <c r="J35"/>
  <c r="Y34"/>
  <c r="W34"/>
  <c r="M68" i="49"/>
  <c r="M73"/>
  <c r="L78"/>
  <c r="L81"/>
  <c r="L83"/>
  <c r="L69"/>
  <c r="L74"/>
  <c r="L70"/>
  <c r="L75"/>
  <c r="L77"/>
  <c r="L79"/>
  <c r="L80"/>
  <c r="L72"/>
  <c r="L73"/>
  <c r="L76"/>
  <c r="L82"/>
  <c r="L71"/>
  <c r="B19" i="63"/>
  <c r="C19"/>
  <c r="A20"/>
  <c r="A233" i="50"/>
  <c r="AL232"/>
  <c r="A414"/>
  <c r="AL414" s="1"/>
  <c r="M36" i="75"/>
  <c r="U36" s="1"/>
  <c r="I36"/>
  <c r="J36" s="1"/>
  <c r="E36"/>
  <c r="D37"/>
  <c r="AD71"/>
  <c r="O416" i="50"/>
  <c r="B18" i="55"/>
  <c r="AE18"/>
  <c r="AH18" s="1"/>
  <c r="AN18"/>
  <c r="AQ18" s="1"/>
  <c r="V18"/>
  <c r="Y18" s="1"/>
  <c r="AW18"/>
  <c r="AZ18" s="1"/>
  <c r="D18"/>
  <c r="D18" i="57" s="1"/>
  <c r="M18" i="55"/>
  <c r="P18" s="1"/>
  <c r="A19"/>
  <c r="D37" i="78"/>
  <c r="M36"/>
  <c r="I36"/>
  <c r="E36"/>
  <c r="J36"/>
  <c r="M72" i="49"/>
  <c r="M75"/>
  <c r="M77"/>
  <c r="M80"/>
  <c r="M70"/>
  <c r="M78"/>
  <c r="M83"/>
  <c r="M71"/>
  <c r="A21" i="63"/>
  <c r="B20"/>
  <c r="C20"/>
  <c r="AL233" i="50"/>
  <c r="A234"/>
  <c r="A415"/>
  <c r="AL415" s="1"/>
  <c r="M37" i="75"/>
  <c r="U37" s="1"/>
  <c r="I37"/>
  <c r="J37" s="1"/>
  <c r="E37"/>
  <c r="D38"/>
  <c r="W36"/>
  <c r="Y36"/>
  <c r="V19" i="55"/>
  <c r="Y19" s="1"/>
  <c r="D19"/>
  <c r="D19" i="57" s="1"/>
  <c r="AE19" i="55"/>
  <c r="AH19" s="1"/>
  <c r="M19"/>
  <c r="P19" s="1"/>
  <c r="AN19"/>
  <c r="AQ19" s="1"/>
  <c r="B19"/>
  <c r="A20"/>
  <c r="A21"/>
  <c r="AW19"/>
  <c r="AZ19"/>
  <c r="Y36" i="78"/>
  <c r="W36"/>
  <c r="D38"/>
  <c r="I37"/>
  <c r="J37" s="1"/>
  <c r="E37"/>
  <c r="M37"/>
  <c r="U37"/>
  <c r="A22" i="63"/>
  <c r="B21"/>
  <c r="C21"/>
  <c r="A416" i="50"/>
  <c r="A417" s="1"/>
  <c r="AL234"/>
  <c r="A235"/>
  <c r="A236" s="1"/>
  <c r="I38" i="75"/>
  <c r="J38" s="1"/>
  <c r="E38"/>
  <c r="M38" s="1"/>
  <c r="N38" s="1"/>
  <c r="D39"/>
  <c r="W37"/>
  <c r="Y37"/>
  <c r="D39" i="78"/>
  <c r="I38"/>
  <c r="J38" s="1"/>
  <c r="E38"/>
  <c r="M38" s="1"/>
  <c r="N38" s="1"/>
  <c r="Y37"/>
  <c r="W37"/>
  <c r="C22" i="63"/>
  <c r="B22"/>
  <c r="A23"/>
  <c r="AL235" i="50"/>
  <c r="I39" i="75"/>
  <c r="J39"/>
  <c r="E39"/>
  <c r="M39"/>
  <c r="N39" s="1"/>
  <c r="D40"/>
  <c r="D40" i="78"/>
  <c r="I39"/>
  <c r="J39" s="1"/>
  <c r="E39"/>
  <c r="M39" s="1"/>
  <c r="N39" s="1"/>
  <c r="B23" i="63"/>
  <c r="C23"/>
  <c r="I40" i="75"/>
  <c r="J40"/>
  <c r="E40"/>
  <c r="M40"/>
  <c r="D41"/>
  <c r="D41" i="78"/>
  <c r="I40"/>
  <c r="J40"/>
  <c r="E40"/>
  <c r="M40"/>
  <c r="N40" s="1"/>
  <c r="AD70" i="75"/>
  <c r="I41"/>
  <c r="J41"/>
  <c r="E41"/>
  <c r="M41"/>
  <c r="N41" s="1"/>
  <c r="D42"/>
  <c r="D42" i="78"/>
  <c r="I41"/>
  <c r="J41" s="1"/>
  <c r="E41"/>
  <c r="M41" s="1"/>
  <c r="N41" s="1"/>
  <c r="P41" s="1"/>
  <c r="M42" i="75"/>
  <c r="U42"/>
  <c r="I42"/>
  <c r="J42"/>
  <c r="E42"/>
  <c r="D43"/>
  <c r="D43" i="78"/>
  <c r="M42"/>
  <c r="U42" s="1"/>
  <c r="I42"/>
  <c r="E42"/>
  <c r="J42"/>
  <c r="M43" i="75"/>
  <c r="U43"/>
  <c r="I43"/>
  <c r="J43"/>
  <c r="E43"/>
  <c r="D44"/>
  <c r="W42"/>
  <c r="Y42"/>
  <c r="Y42" i="78"/>
  <c r="W42"/>
  <c r="D44"/>
  <c r="I43"/>
  <c r="J43" s="1"/>
  <c r="E43"/>
  <c r="M43"/>
  <c r="U43"/>
  <c r="D45" i="75"/>
  <c r="I44"/>
  <c r="E44"/>
  <c r="J44"/>
  <c r="M44"/>
  <c r="U44"/>
  <c r="W43"/>
  <c r="Y43"/>
  <c r="Y43" i="78"/>
  <c r="W43"/>
  <c r="D45"/>
  <c r="M44"/>
  <c r="U44" s="1"/>
  <c r="I44"/>
  <c r="E44"/>
  <c r="J44"/>
  <c r="Y44" i="75"/>
  <c r="W44"/>
  <c r="D46"/>
  <c r="I45"/>
  <c r="E45"/>
  <c r="J45"/>
  <c r="M45"/>
  <c r="U45"/>
  <c r="Y44" i="78"/>
  <c r="W44"/>
  <c r="D46"/>
  <c r="I45"/>
  <c r="J45" s="1"/>
  <c r="E45"/>
  <c r="M45"/>
  <c r="U45"/>
  <c r="I46" i="75"/>
  <c r="E46"/>
  <c r="J46"/>
  <c r="M46"/>
  <c r="U46" s="1"/>
  <c r="W45"/>
  <c r="Y45"/>
  <c r="AD69"/>
  <c r="AD90" s="1"/>
  <c r="Z69" s="1"/>
  <c r="Y45" i="78"/>
  <c r="W45"/>
  <c r="M46"/>
  <c r="U46" s="1"/>
  <c r="I46"/>
  <c r="E46"/>
  <c r="J46"/>
  <c r="Y46" i="75"/>
  <c r="W46"/>
  <c r="AD52"/>
  <c r="AD65"/>
  <c r="Y46" i="78"/>
  <c r="W46"/>
  <c r="AD52"/>
  <c r="AD65"/>
  <c r="AD69"/>
  <c r="AD70"/>
  <c r="M54" i="67"/>
  <c r="N54"/>
  <c r="P54" s="1"/>
  <c r="T79" i="50"/>
  <c r="U90"/>
  <c r="A73"/>
  <c r="AL73"/>
  <c r="AL72"/>
  <c r="A85"/>
  <c r="AL85" s="1"/>
  <c r="AL84"/>
  <c r="G407"/>
  <c r="E405"/>
  <c r="G383"/>
  <c r="E381"/>
  <c r="G213"/>
  <c r="E211"/>
  <c r="E200"/>
  <c r="F395"/>
  <c r="F200"/>
  <c r="F383"/>
  <c r="E395"/>
  <c r="F407"/>
  <c r="E394"/>
  <c r="F382"/>
  <c r="E223"/>
  <c r="F212"/>
  <c r="F201"/>
  <c r="G393"/>
  <c r="E199"/>
  <c r="G201"/>
  <c r="E212"/>
  <c r="U91"/>
  <c r="A74"/>
  <c r="A75"/>
  <c r="AL74"/>
  <c r="Y44" i="62"/>
  <c r="AP44" s="1"/>
  <c r="Y45"/>
  <c r="AP45" s="1"/>
  <c r="N64" i="65"/>
  <c r="P64" s="1"/>
  <c r="N59" i="67"/>
  <c r="O59" s="1"/>
  <c r="BA77" i="3"/>
  <c r="AA88"/>
  <c r="BA88"/>
  <c r="AC88"/>
  <c r="AZ88"/>
  <c r="AA74"/>
  <c r="BA74"/>
  <c r="AC78"/>
  <c r="AZ78"/>
  <c r="AA78"/>
  <c r="AC84"/>
  <c r="AZ84" s="1"/>
  <c r="BA84"/>
  <c r="AB85"/>
  <c r="AD72" i="61"/>
  <c r="AB7" i="55"/>
  <c r="Q7" i="57"/>
  <c r="J24" i="75"/>
  <c r="R24"/>
  <c r="J12"/>
  <c r="J18"/>
  <c r="J20"/>
  <c r="J10"/>
  <c r="AF9" i="55"/>
  <c r="AF31"/>
  <c r="AH9"/>
  <c r="AD9"/>
  <c r="AI9"/>
  <c r="AG9"/>
  <c r="AG31" s="1"/>
  <c r="AG37" s="1"/>
  <c r="N61" i="26"/>
  <c r="R61"/>
  <c r="V61" s="1"/>
  <c r="N58" i="61"/>
  <c r="P58" s="1"/>
  <c r="N59"/>
  <c r="V59" s="1"/>
  <c r="N56"/>
  <c r="Y56" s="1"/>
  <c r="A37" i="46"/>
  <c r="B36"/>
  <c r="E36" s="1"/>
  <c r="BT8"/>
  <c r="BT29" s="1"/>
  <c r="DL8"/>
  <c r="DL29" s="1"/>
  <c r="EB8"/>
  <c r="EB29" s="1"/>
  <c r="F29"/>
  <c r="X8"/>
  <c r="AB8"/>
  <c r="AB29" s="1"/>
  <c r="AF8"/>
  <c r="AF29" s="1"/>
  <c r="AJ8"/>
  <c r="AJ29" s="1"/>
  <c r="AN8"/>
  <c r="AN29" s="1"/>
  <c r="AR8"/>
  <c r="AR29" s="1"/>
  <c r="AV8"/>
  <c r="AV29" s="1"/>
  <c r="AZ8"/>
  <c r="AZ29" s="1"/>
  <c r="BD8"/>
  <c r="BD29" s="1"/>
  <c r="BH8"/>
  <c r="BH29" s="1"/>
  <c r="BL8"/>
  <c r="BL29" s="1"/>
  <c r="BP8"/>
  <c r="BP29" s="1"/>
  <c r="BX8"/>
  <c r="BX29" s="1"/>
  <c r="CB8"/>
  <c r="CB29" s="1"/>
  <c r="CF8"/>
  <c r="CF29" s="1"/>
  <c r="CV8"/>
  <c r="CV29" s="1"/>
  <c r="V44" i="62"/>
  <c r="V45"/>
  <c r="F26" i="63"/>
  <c r="F25"/>
  <c r="AB77" i="62"/>
  <c r="AA77" i="61"/>
  <c r="AC77"/>
  <c r="AZ77" s="1"/>
  <c r="AB75"/>
  <c r="Z75"/>
  <c r="Z75" i="62"/>
  <c r="AB75"/>
  <c r="Z79"/>
  <c r="AB79"/>
  <c r="Z83"/>
  <c r="AB83"/>
  <c r="AC77"/>
  <c r="AZ77" s="1"/>
  <c r="BA77"/>
  <c r="AC81"/>
  <c r="AZ81"/>
  <c r="BA81"/>
  <c r="AC85"/>
  <c r="AZ85" s="1"/>
  <c r="BA85"/>
  <c r="AC89"/>
  <c r="AZ89"/>
  <c r="BA89"/>
  <c r="AB79" i="65"/>
  <c r="AA79"/>
  <c r="Z79"/>
  <c r="X79" s="1"/>
  <c r="AB81"/>
  <c r="AA81"/>
  <c r="Y81"/>
  <c r="AV81" s="1"/>
  <c r="Z81"/>
  <c r="X81" s="1"/>
  <c r="AB83"/>
  <c r="AA83"/>
  <c r="Z83"/>
  <c r="V83" s="1"/>
  <c r="AB85"/>
  <c r="AA85"/>
  <c r="AW85"/>
  <c r="Z85"/>
  <c r="V85"/>
  <c r="AB87"/>
  <c r="AA87"/>
  <c r="Z87"/>
  <c r="X87"/>
  <c r="AB89"/>
  <c r="AA89"/>
  <c r="Y89" s="1"/>
  <c r="AV89" s="1"/>
  <c r="Z89"/>
  <c r="V89"/>
  <c r="AB91"/>
  <c r="AA91"/>
  <c r="Z91"/>
  <c r="V91"/>
  <c r="AB93"/>
  <c r="AA93"/>
  <c r="AW93" s="1"/>
  <c r="Z93"/>
  <c r="X93" s="1"/>
  <c r="AB95"/>
  <c r="AA95"/>
  <c r="Z95"/>
  <c r="X95" s="1"/>
  <c r="AA79" i="66"/>
  <c r="Z79"/>
  <c r="X79"/>
  <c r="AA83"/>
  <c r="Z83"/>
  <c r="X83" s="1"/>
  <c r="AA87"/>
  <c r="Z87"/>
  <c r="X87"/>
  <c r="AA91"/>
  <c r="Z91"/>
  <c r="X91" s="1"/>
  <c r="AA95"/>
  <c r="Z95"/>
  <c r="X95"/>
  <c r="AB80" i="67"/>
  <c r="AA80"/>
  <c r="Y80" s="1"/>
  <c r="AV80" s="1"/>
  <c r="Z80"/>
  <c r="X80"/>
  <c r="AB82"/>
  <c r="AA82"/>
  <c r="Z82"/>
  <c r="X82"/>
  <c r="AB84"/>
  <c r="AA84"/>
  <c r="W84" s="1"/>
  <c r="Z84"/>
  <c r="V84" s="1"/>
  <c r="AB86"/>
  <c r="AA86"/>
  <c r="Z86"/>
  <c r="V86" s="1"/>
  <c r="AB88"/>
  <c r="AA88"/>
  <c r="Y88"/>
  <c r="AV88" s="1"/>
  <c r="Z88"/>
  <c r="X88" s="1"/>
  <c r="AB90"/>
  <c r="AA90"/>
  <c r="Z90"/>
  <c r="V90" s="1"/>
  <c r="AB92"/>
  <c r="AA92"/>
  <c r="Y92"/>
  <c r="AV92" s="1"/>
  <c r="Z92"/>
  <c r="V92" s="1"/>
  <c r="AB94"/>
  <c r="AA94"/>
  <c r="Z94"/>
  <c r="V94" s="1"/>
  <c r="BA80" i="3"/>
  <c r="AA80"/>
  <c r="AB88"/>
  <c r="Z88"/>
  <c r="AB80"/>
  <c r="Z80"/>
  <c r="A17" i="53"/>
  <c r="A18"/>
  <c r="Y20" i="52"/>
  <c r="G20"/>
  <c r="AA20"/>
  <c r="S20"/>
  <c r="O20"/>
  <c r="AG20"/>
  <c r="O50" i="26"/>
  <c r="L71" s="1"/>
  <c r="AI47"/>
  <c r="AN47" s="1"/>
  <c r="BA75" i="3"/>
  <c r="AC75"/>
  <c r="AZ75"/>
  <c r="AD77"/>
  <c r="AB77"/>
  <c r="AF77"/>
  <c r="AD79"/>
  <c r="Z79" s="1"/>
  <c r="AF79"/>
  <c r="AE81"/>
  <c r="BA81"/>
  <c r="AF81"/>
  <c r="AE83"/>
  <c r="AC83" s="1"/>
  <c r="AZ83" s="1"/>
  <c r="AF83"/>
  <c r="AD83"/>
  <c r="Z83" s="1"/>
  <c r="AE85"/>
  <c r="BA85" s="1"/>
  <c r="AF85"/>
  <c r="AE87"/>
  <c r="BA87" s="1"/>
  <c r="AF87"/>
  <c r="AD87"/>
  <c r="Z87" s="1"/>
  <c r="BA89"/>
  <c r="AC89"/>
  <c r="AZ89"/>
  <c r="AD90"/>
  <c r="AB90"/>
  <c r="AE90"/>
  <c r="AA28" i="46"/>
  <c r="AA8"/>
  <c r="AA29"/>
  <c r="AE28"/>
  <c r="AE8"/>
  <c r="AE29" s="1"/>
  <c r="AI28"/>
  <c r="AI8"/>
  <c r="AI29"/>
  <c r="BE28"/>
  <c r="BE8"/>
  <c r="BE29" s="1"/>
  <c r="BI28"/>
  <c r="BI8"/>
  <c r="BI29"/>
  <c r="BM28"/>
  <c r="BM8"/>
  <c r="BM29" s="1"/>
  <c r="CM28"/>
  <c r="CM8"/>
  <c r="CM29"/>
  <c r="CQ28"/>
  <c r="CQ8"/>
  <c r="CQ29" s="1"/>
  <c r="CU28"/>
  <c r="CU8"/>
  <c r="CU29"/>
  <c r="DQ28"/>
  <c r="DQ8"/>
  <c r="DQ29" s="1"/>
  <c r="DU28"/>
  <c r="DU8"/>
  <c r="DU29"/>
  <c r="DY28"/>
  <c r="DY8"/>
  <c r="DY29" s="1"/>
  <c r="EY28"/>
  <c r="EY8"/>
  <c r="EY29"/>
  <c r="FC28"/>
  <c r="FC8"/>
  <c r="FC29" s="1"/>
  <c r="FG28"/>
  <c r="FG8"/>
  <c r="FG29"/>
  <c r="GC28"/>
  <c r="GC8"/>
  <c r="GC29" s="1"/>
  <c r="GG28"/>
  <c r="GG8"/>
  <c r="GG29"/>
  <c r="GK28"/>
  <c r="GK8"/>
  <c r="GK29" s="1"/>
  <c r="HI28"/>
  <c r="HI8"/>
  <c r="HI29"/>
  <c r="HK28"/>
  <c r="HK8"/>
  <c r="HK29" s="1"/>
  <c r="HM28"/>
  <c r="HM8"/>
  <c r="HM29"/>
  <c r="HO28"/>
  <c r="HO8"/>
  <c r="HO29" s="1"/>
  <c r="HQ28"/>
  <c r="HQ8"/>
  <c r="HQ29"/>
  <c r="HS28"/>
  <c r="HS8"/>
  <c r="HS29" s="1"/>
  <c r="AF74" i="61"/>
  <c r="AE74"/>
  <c r="AF76"/>
  <c r="AE76"/>
  <c r="AF78"/>
  <c r="AE78"/>
  <c r="AF80"/>
  <c r="AE80"/>
  <c r="AF82"/>
  <c r="AE82"/>
  <c r="AF84"/>
  <c r="AE84"/>
  <c r="AF86"/>
  <c r="AE86"/>
  <c r="AF88"/>
  <c r="AE88"/>
  <c r="AF90"/>
  <c r="AE90"/>
  <c r="F31" i="55"/>
  <c r="F37" s="1"/>
  <c r="AA77" i="3"/>
  <c r="Z72" i="75"/>
  <c r="BA73"/>
  <c r="AA77"/>
  <c r="AC81"/>
  <c r="AZ81" s="1"/>
  <c r="BA89"/>
  <c r="AC74"/>
  <c r="AZ74"/>
  <c r="BA82"/>
  <c r="AA86"/>
  <c r="AB73"/>
  <c r="AB77"/>
  <c r="AB81"/>
  <c r="AB85"/>
  <c r="BA75" i="78"/>
  <c r="BA79"/>
  <c r="BA83"/>
  <c r="BA87"/>
  <c r="AF87" i="75"/>
  <c r="AF83"/>
  <c r="AF79"/>
  <c r="AF75"/>
  <c r="Z87" i="61"/>
  <c r="AB75" i="3"/>
  <c r="Z79" i="61"/>
  <c r="AD73" i="78"/>
  <c r="AB73" s="1"/>
  <c r="AD75"/>
  <c r="AB75" s="1"/>
  <c r="AD77"/>
  <c r="AB77"/>
  <c r="AD79"/>
  <c r="AD81"/>
  <c r="AB81" s="1"/>
  <c r="AD83"/>
  <c r="AB83" s="1"/>
  <c r="AD85"/>
  <c r="AB85"/>
  <c r="AD87"/>
  <c r="AD89"/>
  <c r="AB89" s="1"/>
  <c r="W82" i="65"/>
  <c r="W86"/>
  <c r="W90"/>
  <c r="W94"/>
  <c r="W93" i="67"/>
  <c r="W89"/>
  <c r="W85"/>
  <c r="W81"/>
  <c r="X89"/>
  <c r="X81"/>
  <c r="AB93" i="66"/>
  <c r="AB89"/>
  <c r="AB85"/>
  <c r="AB81"/>
  <c r="AA89"/>
  <c r="Y89" s="1"/>
  <c r="AV89" s="1"/>
  <c r="AA81"/>
  <c r="AW81"/>
  <c r="AA89" i="62"/>
  <c r="AC87"/>
  <c r="AZ87" s="1"/>
  <c r="BA83"/>
  <c r="AA81"/>
  <c r="AC79"/>
  <c r="AZ79" s="1"/>
  <c r="BA75"/>
  <c r="Z87"/>
  <c r="AB81"/>
  <c r="M18" i="52"/>
  <c r="X29" i="46"/>
  <c r="BA77" i="75"/>
  <c r="BA85"/>
  <c r="BA78"/>
  <c r="BA86"/>
  <c r="AB72"/>
  <c r="AB74"/>
  <c r="AB76"/>
  <c r="AB78"/>
  <c r="AB80"/>
  <c r="AB82"/>
  <c r="AB84"/>
  <c r="AB87"/>
  <c r="BA80" i="78"/>
  <c r="BA84"/>
  <c r="BA88"/>
  <c r="W80" i="67"/>
  <c r="W78"/>
  <c r="AC80" i="3"/>
  <c r="AZ80" s="1"/>
  <c r="BA79"/>
  <c r="BA89" i="61"/>
  <c r="AA79"/>
  <c r="AA75"/>
  <c r="AB86" i="75"/>
  <c r="AB88"/>
  <c r="BA86" i="3"/>
  <c r="AC76"/>
  <c r="AZ76"/>
  <c r="BA79" i="61"/>
  <c r="AA87"/>
  <c r="BA81"/>
  <c r="AC85"/>
  <c r="AZ85" s="1"/>
  <c r="AC81"/>
  <c r="AZ81" s="1"/>
  <c r="BA77"/>
  <c r="Z84"/>
  <c r="AC90" i="3"/>
  <c r="AZ90" s="1"/>
  <c r="AA82"/>
  <c r="BA83" i="61"/>
  <c r="BA85"/>
  <c r="AA83"/>
  <c r="L7" i="57"/>
  <c r="S9" i="55"/>
  <c r="J7"/>
  <c r="R9" s="1"/>
  <c r="M48" i="3"/>
  <c r="F8" i="78"/>
  <c r="M48"/>
  <c r="N57" i="61"/>
  <c r="BA76" i="3"/>
  <c r="AC82"/>
  <c r="AZ82"/>
  <c r="BA87" i="61"/>
  <c r="AC89"/>
  <c r="AZ89" s="1"/>
  <c r="AB89" i="75"/>
  <c r="S45" i="67"/>
  <c r="S44"/>
  <c r="T42" i="65"/>
  <c r="J32" i="3"/>
  <c r="AC87"/>
  <c r="AZ87" s="1"/>
  <c r="AA87"/>
  <c r="AC79"/>
  <c r="AZ79" s="1"/>
  <c r="Y9" i="55"/>
  <c r="AA9"/>
  <c r="W9"/>
  <c r="W31" s="1"/>
  <c r="T9"/>
  <c r="AA84" i="61"/>
  <c r="AB71" i="75"/>
  <c r="Z71"/>
  <c r="AC81" i="3"/>
  <c r="AZ81" s="1"/>
  <c r="AA81"/>
  <c r="O9" i="55"/>
  <c r="O31" s="1"/>
  <c r="O37" s="1"/>
  <c r="L9"/>
  <c r="A14" i="58"/>
  <c r="A55"/>
  <c r="D55" s="1"/>
  <c r="J55" s="1"/>
  <c r="AA85" i="3"/>
  <c r="AC85"/>
  <c r="AZ85" s="1"/>
  <c r="J33" i="61"/>
  <c r="AA88"/>
  <c r="O63" i="26"/>
  <c r="AI63" s="1"/>
  <c r="AN63" s="1"/>
  <c r="T25"/>
  <c r="F17" i="58"/>
  <c r="H17" s="1"/>
  <c r="T12" i="26"/>
  <c r="Z86" i="3"/>
  <c r="E28" i="50"/>
  <c r="F18"/>
  <c r="U42" i="61"/>
  <c r="U45" i="62"/>
  <c r="U42" i="3"/>
  <c r="U44" i="62"/>
  <c r="T32" i="67"/>
  <c r="E17" i="69"/>
  <c r="E14"/>
  <c r="Z74" i="61"/>
  <c r="AB28" i="26"/>
  <c r="AC28" s="1"/>
  <c r="F28" i="58"/>
  <c r="H28" s="1"/>
  <c r="U33" i="3"/>
  <c r="U33" i="61"/>
  <c r="AC21" i="52"/>
  <c r="E16" i="69"/>
  <c r="E18"/>
  <c r="E12"/>
  <c r="E11"/>
  <c r="Z74" i="3"/>
  <c r="N62" i="26"/>
  <c r="R62" s="1"/>
  <c r="V62" s="1"/>
  <c r="Z62" s="1"/>
  <c r="E9" i="69"/>
  <c r="U32" i="62"/>
  <c r="E10" i="69"/>
  <c r="N57" i="3"/>
  <c r="Y57" s="1"/>
  <c r="Q64" i="66"/>
  <c r="R64" s="1"/>
  <c r="B37" i="46"/>
  <c r="E37"/>
  <c r="A38"/>
  <c r="A39"/>
  <c r="F28" i="63"/>
  <c r="F38" s="1"/>
  <c r="AW89" i="66"/>
  <c r="Z87" i="78"/>
  <c r="AB87"/>
  <c r="Z83"/>
  <c r="Z79"/>
  <c r="AB79"/>
  <c r="Z75"/>
  <c r="AW92" i="67"/>
  <c r="AW88"/>
  <c r="AW84"/>
  <c r="Y84"/>
  <c r="AV84"/>
  <c r="AW80"/>
  <c r="Y93" i="65"/>
  <c r="AV93" s="1"/>
  <c r="X91"/>
  <c r="AW89"/>
  <c r="W89"/>
  <c r="Y85"/>
  <c r="AV85"/>
  <c r="AW81"/>
  <c r="W81"/>
  <c r="Y81" i="66"/>
  <c r="AV81"/>
  <c r="Z85" i="78"/>
  <c r="Z77"/>
  <c r="AD90"/>
  <c r="AB70" s="1"/>
  <c r="AA90" i="61"/>
  <c r="BA90"/>
  <c r="AC90"/>
  <c r="AZ90" s="1"/>
  <c r="AC88"/>
  <c r="AZ88" s="1"/>
  <c r="BA88"/>
  <c r="AA86"/>
  <c r="BA86"/>
  <c r="AC86"/>
  <c r="AZ86"/>
  <c r="AC84"/>
  <c r="AZ84"/>
  <c r="BA84"/>
  <c r="AC82"/>
  <c r="AZ82" s="1"/>
  <c r="BA82"/>
  <c r="AA82"/>
  <c r="AA80"/>
  <c r="BA80"/>
  <c r="AC80"/>
  <c r="AZ80" s="1"/>
  <c r="AC78"/>
  <c r="AZ78" s="1"/>
  <c r="BA78"/>
  <c r="AA78"/>
  <c r="AA76"/>
  <c r="AC76"/>
  <c r="AZ76"/>
  <c r="BA76"/>
  <c r="AC74"/>
  <c r="AZ74" s="1"/>
  <c r="BA74"/>
  <c r="AA74"/>
  <c r="BA90" i="3"/>
  <c r="AA90"/>
  <c r="AW94" i="67"/>
  <c r="Y94"/>
  <c r="AV94"/>
  <c r="W94"/>
  <c r="AW90"/>
  <c r="Y90"/>
  <c r="AV90"/>
  <c r="W90"/>
  <c r="AW86"/>
  <c r="W86"/>
  <c r="Y86"/>
  <c r="AV86" s="1"/>
  <c r="AW82"/>
  <c r="W82"/>
  <c r="Y82"/>
  <c r="AV82" s="1"/>
  <c r="V80"/>
  <c r="Y95" i="66"/>
  <c r="AV95"/>
  <c r="W95"/>
  <c r="AW95"/>
  <c r="Y91"/>
  <c r="AV91"/>
  <c r="W91"/>
  <c r="AW91"/>
  <c r="Y87"/>
  <c r="AV87"/>
  <c r="W87"/>
  <c r="AW87"/>
  <c r="Y83"/>
  <c r="AV83"/>
  <c r="W83"/>
  <c r="AW83"/>
  <c r="Y79"/>
  <c r="AV79"/>
  <c r="W79"/>
  <c r="AW79"/>
  <c r="AW95" i="65"/>
  <c r="Y95"/>
  <c r="AV95" s="1"/>
  <c r="W95"/>
  <c r="AW91"/>
  <c r="Y91"/>
  <c r="AV91" s="1"/>
  <c r="W91"/>
  <c r="AW87"/>
  <c r="Y87"/>
  <c r="AV87" s="1"/>
  <c r="W87"/>
  <c r="AW83"/>
  <c r="Y83"/>
  <c r="AV83" s="1"/>
  <c r="W83"/>
  <c r="AW79"/>
  <c r="Y79"/>
  <c r="AV79" s="1"/>
  <c r="W79"/>
  <c r="A15" i="58"/>
  <c r="A16"/>
  <c r="A17" s="1"/>
  <c r="B38" i="46"/>
  <c r="E38" s="1"/>
  <c r="AB72" i="78"/>
  <c r="Z72"/>
  <c r="Z71"/>
  <c r="AB71"/>
  <c r="N59" i="26"/>
  <c r="R59" s="1"/>
  <c r="N60"/>
  <c r="R60" s="1"/>
  <c r="N414" i="50"/>
  <c r="N208"/>
  <c r="N390"/>
  <c r="N378"/>
  <c r="T90" i="49"/>
  <c r="U90"/>
  <c r="N402" i="50"/>
  <c r="N196"/>
  <c r="T139" i="49"/>
  <c r="U139"/>
  <c r="S146"/>
  <c r="N377" i="50"/>
  <c r="N195"/>
  <c r="N219"/>
  <c r="T89" i="49"/>
  <c r="N207" i="50"/>
  <c r="N389"/>
  <c r="M35" i="61"/>
  <c r="M35" i="65"/>
  <c r="M35" i="66"/>
  <c r="M35" i="3"/>
  <c r="M35" i="62"/>
  <c r="U35" s="1"/>
  <c r="M35" i="67"/>
  <c r="O207" i="50"/>
  <c r="O377"/>
  <c r="O195"/>
  <c r="U89" i="49"/>
  <c r="P195" i="50" s="1"/>
  <c r="O389"/>
  <c r="O219"/>
  <c r="T97" i="49"/>
  <c r="T146"/>
  <c r="V89"/>
  <c r="Q219" i="50" s="1"/>
  <c r="R219" s="1"/>
  <c r="P377"/>
  <c r="P207"/>
  <c r="S37" i="75"/>
  <c r="S34"/>
  <c r="S46"/>
  <c r="S44"/>
  <c r="S42"/>
  <c r="S45"/>
  <c r="S43"/>
  <c r="S36"/>
  <c r="S33"/>
  <c r="S32"/>
  <c r="T36" i="78"/>
  <c r="T46"/>
  <c r="T44"/>
  <c r="T45"/>
  <c r="T33"/>
  <c r="T43"/>
  <c r="T34"/>
  <c r="T37"/>
  <c r="T32"/>
  <c r="T42"/>
  <c r="T33" i="75"/>
  <c r="T32"/>
  <c r="T46"/>
  <c r="T36"/>
  <c r="T37"/>
  <c r="T42"/>
  <c r="T45"/>
  <c r="T34"/>
  <c r="T43"/>
  <c r="T44"/>
  <c r="S43" i="78"/>
  <c r="S46"/>
  <c r="S45"/>
  <c r="S42"/>
  <c r="S32"/>
  <c r="S33"/>
  <c r="S36"/>
  <c r="S34"/>
  <c r="S44"/>
  <c r="S37"/>
  <c r="F41" i="81"/>
  <c r="J41"/>
  <c r="F40"/>
  <c r="J40"/>
  <c r="F39"/>
  <c r="J39"/>
  <c r="F38"/>
  <c r="I38"/>
  <c r="F37"/>
  <c r="J37"/>
  <c r="F36"/>
  <c r="I36"/>
  <c r="F35"/>
  <c r="J35"/>
  <c r="F34"/>
  <c r="J34"/>
  <c r="K34"/>
  <c r="L34"/>
  <c r="F33"/>
  <c r="J33"/>
  <c r="F32"/>
  <c r="J32"/>
  <c r="K32"/>
  <c r="L32"/>
  <c r="F31"/>
  <c r="J31"/>
  <c r="F30"/>
  <c r="J30"/>
  <c r="K30"/>
  <c r="L30"/>
  <c r="I31"/>
  <c r="I33"/>
  <c r="I35"/>
  <c r="I37"/>
  <c r="I41"/>
  <c r="I30"/>
  <c r="I32"/>
  <c r="J36"/>
  <c r="K36"/>
  <c r="L36"/>
  <c r="J38"/>
  <c r="K38"/>
  <c r="L38"/>
  <c r="I40"/>
  <c r="F29"/>
  <c r="F28"/>
  <c r="I28"/>
  <c r="K29"/>
  <c r="L29"/>
  <c r="F27"/>
  <c r="J27"/>
  <c r="K27"/>
  <c r="L27"/>
  <c r="F26"/>
  <c r="I26"/>
  <c r="F25"/>
  <c r="F24"/>
  <c r="I24"/>
  <c r="F23"/>
  <c r="J23"/>
  <c r="F22"/>
  <c r="I22"/>
  <c r="F21"/>
  <c r="F20"/>
  <c r="I20"/>
  <c r="F19"/>
  <c r="J19"/>
  <c r="F18"/>
  <c r="I18"/>
  <c r="J24"/>
  <c r="K24"/>
  <c r="L24"/>
  <c r="I19"/>
  <c r="I21"/>
  <c r="J21"/>
  <c r="I23"/>
  <c r="I25"/>
  <c r="J25"/>
  <c r="I27"/>
  <c r="I29"/>
  <c r="J29"/>
  <c r="F6"/>
  <c r="F44"/>
  <c r="F9"/>
  <c r="F13"/>
  <c r="J13"/>
  <c r="F17"/>
  <c r="J17"/>
  <c r="K17"/>
  <c r="L17"/>
  <c r="F8"/>
  <c r="J8"/>
  <c r="K8"/>
  <c r="L8"/>
  <c r="F12"/>
  <c r="F16"/>
  <c r="J16"/>
  <c r="K16"/>
  <c r="L16"/>
  <c r="F7"/>
  <c r="J7"/>
  <c r="K7"/>
  <c r="L7"/>
  <c r="F11"/>
  <c r="J11"/>
  <c r="F15"/>
  <c r="F10"/>
  <c r="I10"/>
  <c r="F14"/>
  <c r="J14"/>
  <c r="I15"/>
  <c r="J15"/>
  <c r="I7"/>
  <c r="I16"/>
  <c r="I6"/>
  <c r="I14"/>
  <c r="F45"/>
  <c r="J12"/>
  <c r="I12"/>
  <c r="I17"/>
  <c r="I9"/>
  <c r="J9"/>
  <c r="Y10" i="61"/>
  <c r="Y10" i="3"/>
  <c r="U476" i="50"/>
  <c r="U477"/>
  <c r="A381"/>
  <c r="AL380"/>
  <c r="Q9" i="55"/>
  <c r="N9"/>
  <c r="N31" s="1"/>
  <c r="J9"/>
  <c r="K9"/>
  <c r="AC9"/>
  <c r="AB9"/>
  <c r="AJ9"/>
  <c r="N21" i="49"/>
  <c r="O18"/>
  <c r="V36" i="50"/>
  <c r="V37"/>
  <c r="V38" s="1"/>
  <c r="V39" s="1"/>
  <c r="V40" s="1"/>
  <c r="V41" s="1"/>
  <c r="T206"/>
  <c r="T207"/>
  <c r="T208" s="1"/>
  <c r="T209" s="1"/>
  <c r="T210" s="1"/>
  <c r="T211" s="1"/>
  <c r="T212" s="1"/>
  <c r="T213" s="1"/>
  <c r="Z81" i="61"/>
  <c r="L34" i="49"/>
  <c r="L28"/>
  <c r="L35"/>
  <c r="L29"/>
  <c r="AL341" i="50"/>
  <c r="A342"/>
  <c r="AL305"/>
  <c r="A306"/>
  <c r="B37"/>
  <c r="G25"/>
  <c r="H25"/>
  <c r="B39"/>
  <c r="E27"/>
  <c r="F27"/>
  <c r="H27"/>
  <c r="I27"/>
  <c r="B41"/>
  <c r="I29"/>
  <c r="J29"/>
  <c r="K29"/>
  <c r="G29"/>
  <c r="B43"/>
  <c r="E31"/>
  <c r="J31"/>
  <c r="I31"/>
  <c r="K31"/>
  <c r="H219"/>
  <c r="B231"/>
  <c r="F219"/>
  <c r="B220"/>
  <c r="H208"/>
  <c r="B224"/>
  <c r="H212"/>
  <c r="J212"/>
  <c r="AL293"/>
  <c r="A294"/>
  <c r="AL257"/>
  <c r="A258"/>
  <c r="AL353"/>
  <c r="A354"/>
  <c r="G24"/>
  <c r="B36"/>
  <c r="E24"/>
  <c r="H24"/>
  <c r="G26"/>
  <c r="B38"/>
  <c r="F26"/>
  <c r="H26"/>
  <c r="I28"/>
  <c r="B40"/>
  <c r="F28"/>
  <c r="H28"/>
  <c r="B42"/>
  <c r="G30"/>
  <c r="I30"/>
  <c r="H206"/>
  <c r="B218"/>
  <c r="B221"/>
  <c r="G209"/>
  <c r="H209"/>
  <c r="B225"/>
  <c r="I213"/>
  <c r="J213"/>
  <c r="K213"/>
  <c r="M9" i="75"/>
  <c r="AF9"/>
  <c r="M13"/>
  <c r="AF13"/>
  <c r="M14"/>
  <c r="AF14"/>
  <c r="M15"/>
  <c r="AF15"/>
  <c r="M16"/>
  <c r="AF16"/>
  <c r="M17"/>
  <c r="AF17"/>
  <c r="M18"/>
  <c r="AF18"/>
  <c r="M10" i="78"/>
  <c r="AF10"/>
  <c r="AQ8" i="46"/>
  <c r="AQ29"/>
  <c r="AU8"/>
  <c r="AU29"/>
  <c r="DC8"/>
  <c r="DC29"/>
  <c r="DG8"/>
  <c r="DG29"/>
  <c r="FS8"/>
  <c r="FS29"/>
  <c r="E10" i="50"/>
  <c r="E34"/>
  <c r="E58"/>
  <c r="E82"/>
  <c r="E106"/>
  <c r="E130"/>
  <c r="E154"/>
  <c r="E458"/>
  <c r="M9" i="67"/>
  <c r="AB9"/>
  <c r="Z85" i="66"/>
  <c r="V85"/>
  <c r="M10" i="75"/>
  <c r="AF10"/>
  <c r="M9" i="78"/>
  <c r="AF9"/>
  <c r="M13"/>
  <c r="AF13"/>
  <c r="M14"/>
  <c r="AF14"/>
  <c r="M15"/>
  <c r="AF15"/>
  <c r="M16"/>
  <c r="AF16"/>
  <c r="M17"/>
  <c r="AF17"/>
  <c r="M18"/>
  <c r="AF18"/>
  <c r="U36"/>
  <c r="E12" i="50"/>
  <c r="X92" i="65"/>
  <c r="F25" i="58"/>
  <c r="H25" s="1"/>
  <c r="AB27" i="26"/>
  <c r="AC27" s="1"/>
  <c r="Z89" i="62"/>
  <c r="N64" i="26"/>
  <c r="AB72" i="62"/>
  <c r="Z72"/>
  <c r="V77" i="65"/>
  <c r="Y34" i="61"/>
  <c r="AP34"/>
  <c r="Y33" i="3"/>
  <c r="AP33"/>
  <c r="F225" i="50"/>
  <c r="I225"/>
  <c r="B237"/>
  <c r="N225"/>
  <c r="M225"/>
  <c r="L225"/>
  <c r="P225"/>
  <c r="Q225"/>
  <c r="R225" s="1"/>
  <c r="O225"/>
  <c r="H225"/>
  <c r="J225"/>
  <c r="K225"/>
  <c r="E225"/>
  <c r="G225"/>
  <c r="B230"/>
  <c r="G218"/>
  <c r="H218"/>
  <c r="J218"/>
  <c r="K218"/>
  <c r="I218"/>
  <c r="L218"/>
  <c r="N218"/>
  <c r="O218"/>
  <c r="M218"/>
  <c r="F218"/>
  <c r="E218"/>
  <c r="F42"/>
  <c r="G42"/>
  <c r="H42"/>
  <c r="I42"/>
  <c r="K42"/>
  <c r="L42"/>
  <c r="B54"/>
  <c r="E42"/>
  <c r="M42"/>
  <c r="O42"/>
  <c r="N42"/>
  <c r="Q42"/>
  <c r="R42"/>
  <c r="P42"/>
  <c r="J42"/>
  <c r="B232"/>
  <c r="G220"/>
  <c r="H220"/>
  <c r="I220"/>
  <c r="J220"/>
  <c r="K220"/>
  <c r="L220"/>
  <c r="M220"/>
  <c r="E220"/>
  <c r="F220"/>
  <c r="N220"/>
  <c r="O220"/>
  <c r="B243"/>
  <c r="H231"/>
  <c r="I231"/>
  <c r="J231"/>
  <c r="K231"/>
  <c r="L231"/>
  <c r="M231"/>
  <c r="E231"/>
  <c r="F231"/>
  <c r="G231"/>
  <c r="O231"/>
  <c r="Q231"/>
  <c r="R231" s="1"/>
  <c r="AI231" s="1"/>
  <c r="AM231" s="1"/>
  <c r="AP231" s="1"/>
  <c r="N231"/>
  <c r="P231"/>
  <c r="K43"/>
  <c r="B55"/>
  <c r="F43"/>
  <c r="H43"/>
  <c r="J43"/>
  <c r="N43"/>
  <c r="O43"/>
  <c r="L43"/>
  <c r="M43"/>
  <c r="P43"/>
  <c r="Q43"/>
  <c r="R43" s="1"/>
  <c r="E43"/>
  <c r="G43"/>
  <c r="I43"/>
  <c r="H39"/>
  <c r="B51"/>
  <c r="F39"/>
  <c r="J39"/>
  <c r="L39"/>
  <c r="K39"/>
  <c r="M39"/>
  <c r="N39"/>
  <c r="G39"/>
  <c r="I39"/>
  <c r="E39"/>
  <c r="A307"/>
  <c r="AL306"/>
  <c r="A343"/>
  <c r="AL342"/>
  <c r="N23" i="49"/>
  <c r="N24"/>
  <c r="N33"/>
  <c r="N25"/>
  <c r="N22"/>
  <c r="N32"/>
  <c r="N30"/>
  <c r="N34"/>
  <c r="N29"/>
  <c r="N28"/>
  <c r="N27"/>
  <c r="N31"/>
  <c r="N36"/>
  <c r="N35"/>
  <c r="N26"/>
  <c r="V11" i="57"/>
  <c r="V10"/>
  <c r="X10" s="1"/>
  <c r="Z10" s="1"/>
  <c r="O11"/>
  <c r="O13"/>
  <c r="V14"/>
  <c r="V12"/>
  <c r="O12"/>
  <c r="O10"/>
  <c r="AD11"/>
  <c r="AD14"/>
  <c r="AA10"/>
  <c r="AD12"/>
  <c r="O15"/>
  <c r="W16"/>
  <c r="AD15"/>
  <c r="O16"/>
  <c r="AB17"/>
  <c r="AA17"/>
  <c r="O17"/>
  <c r="W11"/>
  <c r="Y14"/>
  <c r="M14"/>
  <c r="L13"/>
  <c r="W14"/>
  <c r="Y10"/>
  <c r="L11"/>
  <c r="AD10"/>
  <c r="AA12"/>
  <c r="AB10"/>
  <c r="AD13"/>
  <c r="W15"/>
  <c r="M15"/>
  <c r="AB16"/>
  <c r="L16"/>
  <c r="W17"/>
  <c r="Y17"/>
  <c r="AB18"/>
  <c r="AD18"/>
  <c r="AD19"/>
  <c r="AD20"/>
  <c r="M20"/>
  <c r="M18"/>
  <c r="V18"/>
  <c r="X18" s="1"/>
  <c r="Z18" s="1"/>
  <c r="Y19"/>
  <c r="V19"/>
  <c r="AB19"/>
  <c r="AA19"/>
  <c r="L20"/>
  <c r="W12"/>
  <c r="X12" s="1"/>
  <c r="Z12" s="1"/>
  <c r="W10"/>
  <c r="Y13"/>
  <c r="M11"/>
  <c r="N11"/>
  <c r="M12"/>
  <c r="W13"/>
  <c r="L10"/>
  <c r="O14"/>
  <c r="AA11"/>
  <c r="AA15"/>
  <c r="AC15" s="1"/>
  <c r="AE15" s="1"/>
  <c r="AB12"/>
  <c r="AB13"/>
  <c r="V15"/>
  <c r="X15"/>
  <c r="Y16"/>
  <c r="Y15"/>
  <c r="V16"/>
  <c r="X16"/>
  <c r="Z16" s="1"/>
  <c r="AA16"/>
  <c r="AC16" s="1"/>
  <c r="AE16" s="1"/>
  <c r="AD17"/>
  <c r="O18"/>
  <c r="M17"/>
  <c r="Y11"/>
  <c r="Y12"/>
  <c r="L14"/>
  <c r="M13"/>
  <c r="V13"/>
  <c r="L12"/>
  <c r="M10"/>
  <c r="AA13"/>
  <c r="AC13" s="1"/>
  <c r="AE13" s="1"/>
  <c r="AB14"/>
  <c r="AB11"/>
  <c r="AA14"/>
  <c r="AC14"/>
  <c r="L15"/>
  <c r="N15"/>
  <c r="AB15"/>
  <c r="M16"/>
  <c r="N16" s="1"/>
  <c r="P16" s="1"/>
  <c r="AD16"/>
  <c r="V17"/>
  <c r="L17"/>
  <c r="W18"/>
  <c r="M19"/>
  <c r="O19"/>
  <c r="AB20"/>
  <c r="L18"/>
  <c r="N18" s="1"/>
  <c r="AA18"/>
  <c r="Y18"/>
  <c r="W19"/>
  <c r="L19"/>
  <c r="N19"/>
  <c r="Y20"/>
  <c r="R16"/>
  <c r="T11"/>
  <c r="T18"/>
  <c r="R11"/>
  <c r="Q16"/>
  <c r="S16" s="1"/>
  <c r="U16" s="1"/>
  <c r="T12"/>
  <c r="Q18"/>
  <c r="Q11"/>
  <c r="S11" s="1"/>
  <c r="U11" s="1"/>
  <c r="R15"/>
  <c r="Q14"/>
  <c r="R17"/>
  <c r="Q13"/>
  <c r="Q15"/>
  <c r="S15"/>
  <c r="R13"/>
  <c r="T17"/>
  <c r="R12"/>
  <c r="F221" i="50"/>
  <c r="H221"/>
  <c r="B233"/>
  <c r="K221"/>
  <c r="J221"/>
  <c r="L221"/>
  <c r="N221"/>
  <c r="M221"/>
  <c r="O221"/>
  <c r="I221"/>
  <c r="G221"/>
  <c r="E221"/>
  <c r="B52"/>
  <c r="G40"/>
  <c r="H40"/>
  <c r="L40"/>
  <c r="I40"/>
  <c r="J40"/>
  <c r="K40"/>
  <c r="M40"/>
  <c r="F40"/>
  <c r="E40"/>
  <c r="B50"/>
  <c r="E38"/>
  <c r="F38"/>
  <c r="H38"/>
  <c r="J38"/>
  <c r="K38"/>
  <c r="I38"/>
  <c r="L38"/>
  <c r="G38"/>
  <c r="B48"/>
  <c r="H36"/>
  <c r="I36"/>
  <c r="L36"/>
  <c r="J36"/>
  <c r="K36"/>
  <c r="O36"/>
  <c r="M36"/>
  <c r="N36"/>
  <c r="P36"/>
  <c r="E36"/>
  <c r="G36"/>
  <c r="F36"/>
  <c r="A355"/>
  <c r="AL354"/>
  <c r="A259"/>
  <c r="AL258"/>
  <c r="A295"/>
  <c r="AL294"/>
  <c r="H224"/>
  <c r="K224"/>
  <c r="L224"/>
  <c r="M224"/>
  <c r="O224"/>
  <c r="N224"/>
  <c r="P224"/>
  <c r="Q224"/>
  <c r="R224"/>
  <c r="E224"/>
  <c r="G224"/>
  <c r="B236"/>
  <c r="I224"/>
  <c r="J224"/>
  <c r="F224"/>
  <c r="B53"/>
  <c r="E41"/>
  <c r="G41"/>
  <c r="J41"/>
  <c r="K41"/>
  <c r="L41"/>
  <c r="M41"/>
  <c r="N41"/>
  <c r="Q41"/>
  <c r="R41"/>
  <c r="P41"/>
  <c r="O41"/>
  <c r="H41"/>
  <c r="I41"/>
  <c r="F41"/>
  <c r="E37"/>
  <c r="H37"/>
  <c r="B49"/>
  <c r="F37"/>
  <c r="G37"/>
  <c r="I37"/>
  <c r="J37"/>
  <c r="K37"/>
  <c r="L37"/>
  <c r="P18" i="49"/>
  <c r="O21"/>
  <c r="O26" s="1"/>
  <c r="AL381" i="50"/>
  <c r="A382"/>
  <c r="A383"/>
  <c r="AL383" s="1"/>
  <c r="U478"/>
  <c r="U479" s="1"/>
  <c r="T19" i="57"/>
  <c r="R10"/>
  <c r="T20"/>
  <c r="R14"/>
  <c r="S14"/>
  <c r="U14" s="1"/>
  <c r="Q20"/>
  <c r="T15"/>
  <c r="R20"/>
  <c r="T16"/>
  <c r="T13"/>
  <c r="Q17"/>
  <c r="T10"/>
  <c r="Q19"/>
  <c r="Q12"/>
  <c r="R18"/>
  <c r="Q10"/>
  <c r="R19"/>
  <c r="T14"/>
  <c r="V77" i="66"/>
  <c r="V77" i="67"/>
  <c r="X77"/>
  <c r="O30" i="49"/>
  <c r="O33"/>
  <c r="A344" i="50"/>
  <c r="AL343"/>
  <c r="A308"/>
  <c r="AL307"/>
  <c r="H243"/>
  <c r="B255"/>
  <c r="E243"/>
  <c r="I243"/>
  <c r="J243"/>
  <c r="K243"/>
  <c r="L243"/>
  <c r="M243"/>
  <c r="G243"/>
  <c r="F243"/>
  <c r="O243"/>
  <c r="P243"/>
  <c r="Q243"/>
  <c r="R243" s="1"/>
  <c r="AI243" s="1"/>
  <c r="AM243" s="1"/>
  <c r="AP243" s="1"/>
  <c r="N243"/>
  <c r="F232"/>
  <c r="B244"/>
  <c r="H232"/>
  <c r="I232"/>
  <c r="J232"/>
  <c r="K232"/>
  <c r="L232"/>
  <c r="M232"/>
  <c r="E232"/>
  <c r="G232"/>
  <c r="N232"/>
  <c r="O232"/>
  <c r="B66"/>
  <c r="G54"/>
  <c r="I54"/>
  <c r="E54"/>
  <c r="J54"/>
  <c r="K54"/>
  <c r="N54"/>
  <c r="O54"/>
  <c r="L54"/>
  <c r="M54"/>
  <c r="P54"/>
  <c r="Q54"/>
  <c r="R54" s="1"/>
  <c r="F54"/>
  <c r="H54"/>
  <c r="G230"/>
  <c r="B242"/>
  <c r="F230"/>
  <c r="H230"/>
  <c r="I230"/>
  <c r="J230"/>
  <c r="K230"/>
  <c r="L230"/>
  <c r="N230"/>
  <c r="M230"/>
  <c r="O230"/>
  <c r="E230"/>
  <c r="B249"/>
  <c r="E237"/>
  <c r="K237"/>
  <c r="H237"/>
  <c r="F237"/>
  <c r="L237"/>
  <c r="M237"/>
  <c r="O237"/>
  <c r="N237"/>
  <c r="P237"/>
  <c r="Q237"/>
  <c r="R237" s="1"/>
  <c r="AI237" s="1"/>
  <c r="AM237" s="1"/>
  <c r="AP237" s="1"/>
  <c r="I237"/>
  <c r="J237"/>
  <c r="G237"/>
  <c r="S19" i="57"/>
  <c r="S13"/>
  <c r="U13" s="1"/>
  <c r="N12"/>
  <c r="P12" s="1"/>
  <c r="X19"/>
  <c r="Z19"/>
  <c r="N20"/>
  <c r="AC12"/>
  <c r="AE12" s="1"/>
  <c r="P21" i="49"/>
  <c r="Q18"/>
  <c r="B61" i="50"/>
  <c r="H49"/>
  <c r="F49"/>
  <c r="E49"/>
  <c r="G49"/>
  <c r="I49"/>
  <c r="J49"/>
  <c r="K49"/>
  <c r="L49"/>
  <c r="N53"/>
  <c r="O53"/>
  <c r="P53"/>
  <c r="Q53"/>
  <c r="R53" s="1"/>
  <c r="B65"/>
  <c r="E53"/>
  <c r="G53"/>
  <c r="J53"/>
  <c r="L53"/>
  <c r="F53"/>
  <c r="H53"/>
  <c r="I53"/>
  <c r="K53"/>
  <c r="M53"/>
  <c r="G236"/>
  <c r="K236"/>
  <c r="F236"/>
  <c r="J236"/>
  <c r="L236"/>
  <c r="O236"/>
  <c r="P236"/>
  <c r="B248"/>
  <c r="H236"/>
  <c r="N236"/>
  <c r="E236"/>
  <c r="I236"/>
  <c r="M236"/>
  <c r="Q236"/>
  <c r="R236"/>
  <c r="A296"/>
  <c r="AL295"/>
  <c r="A260"/>
  <c r="AL259"/>
  <c r="A356"/>
  <c r="AL355"/>
  <c r="H48"/>
  <c r="B60"/>
  <c r="J48"/>
  <c r="I48"/>
  <c r="K48"/>
  <c r="L48"/>
  <c r="N48"/>
  <c r="O48"/>
  <c r="P48"/>
  <c r="M48"/>
  <c r="E48"/>
  <c r="G48"/>
  <c r="F48"/>
  <c r="E50"/>
  <c r="H50"/>
  <c r="B62"/>
  <c r="I50"/>
  <c r="J50"/>
  <c r="K50"/>
  <c r="L50"/>
  <c r="G50"/>
  <c r="F50"/>
  <c r="I52"/>
  <c r="B64"/>
  <c r="F52"/>
  <c r="H52"/>
  <c r="J52"/>
  <c r="K52"/>
  <c r="L52"/>
  <c r="M52"/>
  <c r="E52"/>
  <c r="G52"/>
  <c r="B245"/>
  <c r="G233"/>
  <c r="H233"/>
  <c r="J233"/>
  <c r="K233"/>
  <c r="L233"/>
  <c r="M233"/>
  <c r="N233"/>
  <c r="O233"/>
  <c r="I233"/>
  <c r="E233"/>
  <c r="F233"/>
  <c r="B63"/>
  <c r="H51"/>
  <c r="J51"/>
  <c r="K51"/>
  <c r="L51"/>
  <c r="M51"/>
  <c r="I51"/>
  <c r="N51"/>
  <c r="F51"/>
  <c r="E51"/>
  <c r="G51"/>
  <c r="B67"/>
  <c r="P67" s="1"/>
  <c r="G55"/>
  <c r="F55"/>
  <c r="I55"/>
  <c r="E55"/>
  <c r="K55"/>
  <c r="M55"/>
  <c r="L55"/>
  <c r="N55"/>
  <c r="O55"/>
  <c r="P55"/>
  <c r="Q55"/>
  <c r="R55" s="1"/>
  <c r="H55"/>
  <c r="J55"/>
  <c r="N10" i="57"/>
  <c r="O67" i="50"/>
  <c r="L67"/>
  <c r="F67"/>
  <c r="G63"/>
  <c r="B75"/>
  <c r="H63"/>
  <c r="K63"/>
  <c r="J63"/>
  <c r="L63"/>
  <c r="M63"/>
  <c r="N63"/>
  <c r="I63"/>
  <c r="E63"/>
  <c r="F63"/>
  <c r="E245"/>
  <c r="G245"/>
  <c r="H245"/>
  <c r="I245"/>
  <c r="B257"/>
  <c r="J245"/>
  <c r="K245"/>
  <c r="L245"/>
  <c r="O245"/>
  <c r="M245"/>
  <c r="N245"/>
  <c r="F245"/>
  <c r="B74"/>
  <c r="G62"/>
  <c r="H62"/>
  <c r="E62"/>
  <c r="F62"/>
  <c r="J62"/>
  <c r="K62"/>
  <c r="I62"/>
  <c r="L62"/>
  <c r="A357"/>
  <c r="AL357" s="1"/>
  <c r="AL356"/>
  <c r="A261"/>
  <c r="AL261"/>
  <c r="AL260"/>
  <c r="A297"/>
  <c r="AL297" s="1"/>
  <c r="AL296"/>
  <c r="H65"/>
  <c r="L65"/>
  <c r="B77"/>
  <c r="G65"/>
  <c r="K65"/>
  <c r="O65"/>
  <c r="Q65"/>
  <c r="R65"/>
  <c r="J65"/>
  <c r="I65"/>
  <c r="N65"/>
  <c r="E65"/>
  <c r="F65"/>
  <c r="M65"/>
  <c r="P65"/>
  <c r="E61"/>
  <c r="H61"/>
  <c r="B73"/>
  <c r="F61"/>
  <c r="I61"/>
  <c r="J61"/>
  <c r="K61"/>
  <c r="L61"/>
  <c r="G61"/>
  <c r="P31" i="49"/>
  <c r="P22"/>
  <c r="P28"/>
  <c r="P25"/>
  <c r="P35"/>
  <c r="P30"/>
  <c r="P23"/>
  <c r="P26"/>
  <c r="P33"/>
  <c r="P29"/>
  <c r="P34"/>
  <c r="P32"/>
  <c r="P27"/>
  <c r="P36"/>
  <c r="P24"/>
  <c r="H249" i="50"/>
  <c r="I249"/>
  <c r="B261"/>
  <c r="F249"/>
  <c r="K249"/>
  <c r="L249"/>
  <c r="O249"/>
  <c r="M249"/>
  <c r="N249"/>
  <c r="P249"/>
  <c r="Q249"/>
  <c r="R249" s="1"/>
  <c r="AI249" s="1"/>
  <c r="AM249" s="1"/>
  <c r="AP249" s="1"/>
  <c r="E249"/>
  <c r="G249"/>
  <c r="J249"/>
  <c r="E66"/>
  <c r="G66"/>
  <c r="F66"/>
  <c r="K66"/>
  <c r="B78"/>
  <c r="H66"/>
  <c r="J66"/>
  <c r="L66"/>
  <c r="O66"/>
  <c r="P66"/>
  <c r="M66"/>
  <c r="N66"/>
  <c r="Q66"/>
  <c r="R66"/>
  <c r="I66"/>
  <c r="A309"/>
  <c r="AL309" s="1"/>
  <c r="AL308"/>
  <c r="A345"/>
  <c r="AL345"/>
  <c r="AL344"/>
  <c r="B76"/>
  <c r="G64"/>
  <c r="H64"/>
  <c r="J64"/>
  <c r="K64"/>
  <c r="I64"/>
  <c r="L64"/>
  <c r="M64"/>
  <c r="F64"/>
  <c r="E64"/>
  <c r="B72"/>
  <c r="H60"/>
  <c r="J60"/>
  <c r="I60"/>
  <c r="K60"/>
  <c r="L60"/>
  <c r="M60"/>
  <c r="P60"/>
  <c r="N60"/>
  <c r="O60"/>
  <c r="G60"/>
  <c r="E60"/>
  <c r="F60"/>
  <c r="H248"/>
  <c r="F248"/>
  <c r="J248"/>
  <c r="K248"/>
  <c r="M248"/>
  <c r="P248"/>
  <c r="Q248"/>
  <c r="R248"/>
  <c r="B260"/>
  <c r="G248"/>
  <c r="I248"/>
  <c r="E248"/>
  <c r="L248"/>
  <c r="N248"/>
  <c r="O248"/>
  <c r="Q21" i="49"/>
  <c r="Q30" s="1"/>
  <c r="R18"/>
  <c r="B254" i="50"/>
  <c r="F254" s="1"/>
  <c r="F242"/>
  <c r="G242"/>
  <c r="H242"/>
  <c r="I242"/>
  <c r="J242"/>
  <c r="K242"/>
  <c r="L242"/>
  <c r="M242"/>
  <c r="O242"/>
  <c r="N242"/>
  <c r="E242"/>
  <c r="B256"/>
  <c r="H256" s="1"/>
  <c r="H244"/>
  <c r="F244"/>
  <c r="G244"/>
  <c r="I244"/>
  <c r="J244"/>
  <c r="K244"/>
  <c r="L244"/>
  <c r="M244"/>
  <c r="E244"/>
  <c r="O244"/>
  <c r="N244"/>
  <c r="B267"/>
  <c r="B279" s="1"/>
  <c r="E255"/>
  <c r="H255"/>
  <c r="I255"/>
  <c r="J255"/>
  <c r="K255"/>
  <c r="L255"/>
  <c r="M255"/>
  <c r="F255"/>
  <c r="G255"/>
  <c r="O255"/>
  <c r="P255"/>
  <c r="Q255"/>
  <c r="R255" s="1"/>
  <c r="AI255" s="1"/>
  <c r="AM255" s="1"/>
  <c r="AP255" s="1"/>
  <c r="N255"/>
  <c r="G267"/>
  <c r="H267"/>
  <c r="K267"/>
  <c r="J267"/>
  <c r="L267"/>
  <c r="P267"/>
  <c r="O267"/>
  <c r="B268"/>
  <c r="G256"/>
  <c r="J256"/>
  <c r="L256"/>
  <c r="E256"/>
  <c r="O256"/>
  <c r="H254"/>
  <c r="J254"/>
  <c r="L254"/>
  <c r="M254"/>
  <c r="O254"/>
  <c r="G254"/>
  <c r="Q26" i="49"/>
  <c r="Q28"/>
  <c r="Q33"/>
  <c r="Q22"/>
  <c r="Q32"/>
  <c r="Q34"/>
  <c r="Q27"/>
  <c r="E72" i="50"/>
  <c r="B84"/>
  <c r="H72"/>
  <c r="K72"/>
  <c r="L72"/>
  <c r="I72"/>
  <c r="J72"/>
  <c r="M72"/>
  <c r="N72"/>
  <c r="O72"/>
  <c r="P72"/>
  <c r="F72"/>
  <c r="G72"/>
  <c r="F76"/>
  <c r="I76"/>
  <c r="B88"/>
  <c r="G76"/>
  <c r="J76"/>
  <c r="K76"/>
  <c r="L76"/>
  <c r="M76"/>
  <c r="E76"/>
  <c r="H76"/>
  <c r="B90"/>
  <c r="E78"/>
  <c r="K78"/>
  <c r="H78"/>
  <c r="M78"/>
  <c r="O78"/>
  <c r="N78"/>
  <c r="P78"/>
  <c r="L78"/>
  <c r="Q78"/>
  <c r="R78" s="1"/>
  <c r="AI78" s="1"/>
  <c r="AM78" s="1"/>
  <c r="AP78" s="1"/>
  <c r="F78"/>
  <c r="I78"/>
  <c r="G78"/>
  <c r="J78"/>
  <c r="B273"/>
  <c r="J261"/>
  <c r="H261"/>
  <c r="F261"/>
  <c r="G261"/>
  <c r="I261"/>
  <c r="K261"/>
  <c r="L261"/>
  <c r="M261"/>
  <c r="N261"/>
  <c r="O261"/>
  <c r="P261"/>
  <c r="Q261"/>
  <c r="R261" s="1"/>
  <c r="AI261" s="1"/>
  <c r="AM261" s="1"/>
  <c r="AP261" s="1"/>
  <c r="E261"/>
  <c r="B87"/>
  <c r="H75"/>
  <c r="E75"/>
  <c r="J75"/>
  <c r="K75"/>
  <c r="L75"/>
  <c r="M75"/>
  <c r="N75"/>
  <c r="I75"/>
  <c r="F75"/>
  <c r="G75"/>
  <c r="R21" i="49"/>
  <c r="R33" s="1"/>
  <c r="S18"/>
  <c r="H260" i="50"/>
  <c r="L260"/>
  <c r="E260"/>
  <c r="G260"/>
  <c r="N260"/>
  <c r="Q260"/>
  <c r="R260"/>
  <c r="O260"/>
  <c r="B272"/>
  <c r="F272" s="1"/>
  <c r="I260"/>
  <c r="F260"/>
  <c r="J260"/>
  <c r="K260"/>
  <c r="P260"/>
  <c r="M260"/>
  <c r="B85"/>
  <c r="F73"/>
  <c r="G73"/>
  <c r="I73"/>
  <c r="K73"/>
  <c r="J73"/>
  <c r="L73"/>
  <c r="H73"/>
  <c r="E73"/>
  <c r="F77"/>
  <c r="G77"/>
  <c r="E77"/>
  <c r="J77"/>
  <c r="M77"/>
  <c r="N77"/>
  <c r="B89"/>
  <c r="F89" s="1"/>
  <c r="H77"/>
  <c r="L77"/>
  <c r="I77"/>
  <c r="K77"/>
  <c r="Q77"/>
  <c r="R77" s="1"/>
  <c r="AI77" s="1"/>
  <c r="AM77" s="1"/>
  <c r="AP77" s="1"/>
  <c r="O77"/>
  <c r="P77"/>
  <c r="H74"/>
  <c r="B86"/>
  <c r="E74"/>
  <c r="I74"/>
  <c r="J74"/>
  <c r="K74"/>
  <c r="L74"/>
  <c r="F74"/>
  <c r="G74"/>
  <c r="B269"/>
  <c r="H257"/>
  <c r="E257"/>
  <c r="G257"/>
  <c r="I257"/>
  <c r="K257"/>
  <c r="L257"/>
  <c r="J257"/>
  <c r="M257"/>
  <c r="O257"/>
  <c r="N257"/>
  <c r="F257"/>
  <c r="F269"/>
  <c r="B281"/>
  <c r="G269"/>
  <c r="K269"/>
  <c r="L269"/>
  <c r="J269"/>
  <c r="N269"/>
  <c r="M269"/>
  <c r="O269"/>
  <c r="I269"/>
  <c r="H269"/>
  <c r="E269"/>
  <c r="G89"/>
  <c r="H89"/>
  <c r="L89"/>
  <c r="E85"/>
  <c r="G85"/>
  <c r="B97"/>
  <c r="F85"/>
  <c r="H85"/>
  <c r="I85"/>
  <c r="K85"/>
  <c r="J85"/>
  <c r="L85"/>
  <c r="R28" i="49"/>
  <c r="R34"/>
  <c r="R30"/>
  <c r="R23"/>
  <c r="R35"/>
  <c r="R25"/>
  <c r="R31"/>
  <c r="R24"/>
  <c r="F87" i="50"/>
  <c r="H87"/>
  <c r="B99"/>
  <c r="E87"/>
  <c r="G87"/>
  <c r="I87"/>
  <c r="J87"/>
  <c r="K87"/>
  <c r="L87"/>
  <c r="N87"/>
  <c r="M87"/>
  <c r="B96"/>
  <c r="F84"/>
  <c r="H84"/>
  <c r="E84"/>
  <c r="G84"/>
  <c r="L84"/>
  <c r="I84"/>
  <c r="J84"/>
  <c r="K84"/>
  <c r="M84"/>
  <c r="N84"/>
  <c r="O84"/>
  <c r="P84"/>
  <c r="B98"/>
  <c r="E86"/>
  <c r="G86"/>
  <c r="I86"/>
  <c r="F86"/>
  <c r="H86"/>
  <c r="J86"/>
  <c r="K86"/>
  <c r="L86"/>
  <c r="J272"/>
  <c r="K272"/>
  <c r="E272"/>
  <c r="B284"/>
  <c r="I272"/>
  <c r="G272"/>
  <c r="Q272"/>
  <c r="R272" s="1"/>
  <c r="N272"/>
  <c r="S21" i="49"/>
  <c r="T18"/>
  <c r="H273" i="50"/>
  <c r="F273"/>
  <c r="G273"/>
  <c r="K273"/>
  <c r="B285"/>
  <c r="J273"/>
  <c r="I273"/>
  <c r="E273"/>
  <c r="L273"/>
  <c r="O273"/>
  <c r="M273"/>
  <c r="N273"/>
  <c r="Q273"/>
  <c r="R273"/>
  <c r="P273"/>
  <c r="J90"/>
  <c r="I90"/>
  <c r="E90"/>
  <c r="G90"/>
  <c r="K90"/>
  <c r="B102"/>
  <c r="F90"/>
  <c r="H90"/>
  <c r="L90"/>
  <c r="N90"/>
  <c r="M90"/>
  <c r="O90"/>
  <c r="P90"/>
  <c r="Q90"/>
  <c r="R90"/>
  <c r="B100"/>
  <c r="F88"/>
  <c r="H88"/>
  <c r="E88"/>
  <c r="G88"/>
  <c r="K88"/>
  <c r="L88"/>
  <c r="I88"/>
  <c r="J88"/>
  <c r="M88"/>
  <c r="B280"/>
  <c r="E268"/>
  <c r="J268"/>
  <c r="K268"/>
  <c r="I268"/>
  <c r="L268"/>
  <c r="M268"/>
  <c r="G268"/>
  <c r="F268"/>
  <c r="H268"/>
  <c r="N268"/>
  <c r="O268"/>
  <c r="E280"/>
  <c r="G280"/>
  <c r="B292"/>
  <c r="F280"/>
  <c r="H280"/>
  <c r="K280"/>
  <c r="I280"/>
  <c r="J280"/>
  <c r="M280"/>
  <c r="L280"/>
  <c r="N280"/>
  <c r="O280"/>
  <c r="B112"/>
  <c r="H100"/>
  <c r="G100"/>
  <c r="E100"/>
  <c r="I100"/>
  <c r="F100"/>
  <c r="L100"/>
  <c r="J100"/>
  <c r="K100"/>
  <c r="M100"/>
  <c r="B297"/>
  <c r="I285"/>
  <c r="J285"/>
  <c r="E285"/>
  <c r="L285"/>
  <c r="M285"/>
  <c r="O285"/>
  <c r="K285"/>
  <c r="F285"/>
  <c r="H285"/>
  <c r="G285"/>
  <c r="N285"/>
  <c r="P285"/>
  <c r="Q285"/>
  <c r="R285" s="1"/>
  <c r="AI285" s="1"/>
  <c r="AM285" s="1"/>
  <c r="AP285" s="1"/>
  <c r="S22" i="49"/>
  <c r="S28"/>
  <c r="S29"/>
  <c r="S35"/>
  <c r="S36"/>
  <c r="S25"/>
  <c r="S33"/>
  <c r="S23"/>
  <c r="S27"/>
  <c r="S30"/>
  <c r="S26"/>
  <c r="S31"/>
  <c r="S34"/>
  <c r="S32"/>
  <c r="S24"/>
  <c r="K284" i="50"/>
  <c r="I284"/>
  <c r="J284"/>
  <c r="L284"/>
  <c r="G284"/>
  <c r="N284"/>
  <c r="Q284"/>
  <c r="R284"/>
  <c r="B296"/>
  <c r="E284"/>
  <c r="F284"/>
  <c r="H284"/>
  <c r="M284"/>
  <c r="O284"/>
  <c r="P284"/>
  <c r="H98"/>
  <c r="G98"/>
  <c r="B110"/>
  <c r="B122" s="1"/>
  <c r="J98"/>
  <c r="K98"/>
  <c r="E98"/>
  <c r="I98"/>
  <c r="F98"/>
  <c r="L98"/>
  <c r="H96"/>
  <c r="G96"/>
  <c r="B108"/>
  <c r="K96"/>
  <c r="E96"/>
  <c r="I96"/>
  <c r="J96"/>
  <c r="F96"/>
  <c r="L96"/>
  <c r="N96"/>
  <c r="O96"/>
  <c r="M96"/>
  <c r="P96"/>
  <c r="B111"/>
  <c r="B123" s="1"/>
  <c r="H99"/>
  <c r="G99"/>
  <c r="L99"/>
  <c r="E99"/>
  <c r="I99"/>
  <c r="F99"/>
  <c r="J99"/>
  <c r="K99"/>
  <c r="M99"/>
  <c r="N99"/>
  <c r="B293"/>
  <c r="H293" s="1"/>
  <c r="F281"/>
  <c r="H281"/>
  <c r="E281"/>
  <c r="G281"/>
  <c r="L281"/>
  <c r="I281"/>
  <c r="J281"/>
  <c r="K281"/>
  <c r="N281"/>
  <c r="M281"/>
  <c r="O281"/>
  <c r="B114"/>
  <c r="B126" s="1"/>
  <c r="H102"/>
  <c r="G102"/>
  <c r="J102"/>
  <c r="O102"/>
  <c r="E102"/>
  <c r="I102"/>
  <c r="L102"/>
  <c r="K102"/>
  <c r="M102"/>
  <c r="F102"/>
  <c r="N102"/>
  <c r="P102"/>
  <c r="Q102"/>
  <c r="R102" s="1"/>
  <c r="U18" i="49"/>
  <c r="U21" s="1"/>
  <c r="T21"/>
  <c r="T25" s="1"/>
  <c r="B109" i="50"/>
  <c r="H97"/>
  <c r="G97"/>
  <c r="E97"/>
  <c r="I97"/>
  <c r="F97"/>
  <c r="J97"/>
  <c r="K97"/>
  <c r="L97"/>
  <c r="V18" i="49"/>
  <c r="M114" i="50"/>
  <c r="G114"/>
  <c r="H114"/>
  <c r="I110"/>
  <c r="G110"/>
  <c r="F110"/>
  <c r="K110"/>
  <c r="B121"/>
  <c r="I109"/>
  <c r="E109"/>
  <c r="K109"/>
  <c r="G109"/>
  <c r="J109"/>
  <c r="F109"/>
  <c r="H109"/>
  <c r="L109"/>
  <c r="T32" i="49"/>
  <c r="T28"/>
  <c r="T27"/>
  <c r="T24"/>
  <c r="T31"/>
  <c r="T29"/>
  <c r="T30"/>
  <c r="B305" i="50"/>
  <c r="G293"/>
  <c r="E293"/>
  <c r="I293"/>
  <c r="O293"/>
  <c r="N293"/>
  <c r="G111"/>
  <c r="F111"/>
  <c r="I111"/>
  <c r="K111"/>
  <c r="M111"/>
  <c r="B120"/>
  <c r="I120" s="1"/>
  <c r="G108"/>
  <c r="J108"/>
  <c r="F108"/>
  <c r="H108"/>
  <c r="K108"/>
  <c r="I108"/>
  <c r="E108"/>
  <c r="L108"/>
  <c r="O108"/>
  <c r="M108"/>
  <c r="N108"/>
  <c r="P108"/>
  <c r="B308"/>
  <c r="J296"/>
  <c r="K296"/>
  <c r="E296"/>
  <c r="F296"/>
  <c r="P296"/>
  <c r="N296"/>
  <c r="H296"/>
  <c r="I296"/>
  <c r="L296"/>
  <c r="G296"/>
  <c r="O296"/>
  <c r="M296"/>
  <c r="Q296"/>
  <c r="R296" s="1"/>
  <c r="AI296" s="1"/>
  <c r="AM296" s="1"/>
  <c r="AP296" s="1"/>
  <c r="B309"/>
  <c r="G309" s="1"/>
  <c r="H297"/>
  <c r="I297"/>
  <c r="L297"/>
  <c r="F297"/>
  <c r="N297"/>
  <c r="M297"/>
  <c r="E297"/>
  <c r="J297"/>
  <c r="K297"/>
  <c r="G297"/>
  <c r="O297"/>
  <c r="Q297"/>
  <c r="R297" s="1"/>
  <c r="AI297" s="1"/>
  <c r="AM297" s="1"/>
  <c r="AP297" s="1"/>
  <c r="P297"/>
  <c r="B124"/>
  <c r="G112"/>
  <c r="J112"/>
  <c r="F112"/>
  <c r="H112"/>
  <c r="K112"/>
  <c r="I112"/>
  <c r="E112"/>
  <c r="L112"/>
  <c r="M112"/>
  <c r="B304"/>
  <c r="G304"/>
  <c r="E292"/>
  <c r="J292"/>
  <c r="F292"/>
  <c r="I292"/>
  <c r="H292"/>
  <c r="G292"/>
  <c r="K292"/>
  <c r="L292"/>
  <c r="M292"/>
  <c r="N292"/>
  <c r="O292"/>
  <c r="B316"/>
  <c r="I316" s="1"/>
  <c r="H304"/>
  <c r="F304"/>
  <c r="E304"/>
  <c r="L304"/>
  <c r="N304"/>
  <c r="B136"/>
  <c r="K136" s="1"/>
  <c r="H124"/>
  <c r="E124"/>
  <c r="J124"/>
  <c r="K124"/>
  <c r="I124"/>
  <c r="F124"/>
  <c r="G124"/>
  <c r="L124"/>
  <c r="M124"/>
  <c r="B321"/>
  <c r="B333" s="1"/>
  <c r="M309"/>
  <c r="K309"/>
  <c r="O309"/>
  <c r="E309"/>
  <c r="L309"/>
  <c r="P309"/>
  <c r="F308"/>
  <c r="L308"/>
  <c r="H308"/>
  <c r="M308"/>
  <c r="I308"/>
  <c r="O308"/>
  <c r="Q308"/>
  <c r="R308"/>
  <c r="B320"/>
  <c r="G308"/>
  <c r="J308"/>
  <c r="E308"/>
  <c r="K308"/>
  <c r="N308"/>
  <c r="P308"/>
  <c r="B132"/>
  <c r="K132" s="1"/>
  <c r="F120"/>
  <c r="H120"/>
  <c r="J120"/>
  <c r="L120"/>
  <c r="N120"/>
  <c r="P120"/>
  <c r="B317"/>
  <c r="B329" s="1"/>
  <c r="F305"/>
  <c r="J305"/>
  <c r="E305"/>
  <c r="K305"/>
  <c r="L305"/>
  <c r="G305"/>
  <c r="H305"/>
  <c r="I305"/>
  <c r="M305"/>
  <c r="N305"/>
  <c r="O305"/>
  <c r="B133"/>
  <c r="B145" s="1"/>
  <c r="H121"/>
  <c r="E121"/>
  <c r="J121"/>
  <c r="K121"/>
  <c r="I121"/>
  <c r="F121"/>
  <c r="G121"/>
  <c r="L121"/>
  <c r="W18" i="49"/>
  <c r="V21"/>
  <c r="V35" s="1"/>
  <c r="V31"/>
  <c r="V30"/>
  <c r="V34"/>
  <c r="V36"/>
  <c r="K317" i="50"/>
  <c r="F317"/>
  <c r="G317"/>
  <c r="E317"/>
  <c r="N317"/>
  <c r="O317"/>
  <c r="B144"/>
  <c r="M144" s="1"/>
  <c r="J132"/>
  <c r="M132"/>
  <c r="F132"/>
  <c r="N132"/>
  <c r="G132"/>
  <c r="O132"/>
  <c r="G321"/>
  <c r="I321"/>
  <c r="F321"/>
  <c r="E321"/>
  <c r="Q321"/>
  <c r="R321" s="1"/>
  <c r="O321"/>
  <c r="K321"/>
  <c r="B148"/>
  <c r="B160" s="1"/>
  <c r="J136"/>
  <c r="M136"/>
  <c r="I136"/>
  <c r="G136"/>
  <c r="B328"/>
  <c r="B340" s="1"/>
  <c r="G316"/>
  <c r="E316"/>
  <c r="H316"/>
  <c r="L316"/>
  <c r="O316"/>
  <c r="W21" i="49"/>
  <c r="W26"/>
  <c r="X18"/>
  <c r="X21"/>
  <c r="J133" i="50"/>
  <c r="K133"/>
  <c r="F133"/>
  <c r="H133"/>
  <c r="L320"/>
  <c r="G320"/>
  <c r="F320"/>
  <c r="Q320"/>
  <c r="R320"/>
  <c r="K320"/>
  <c r="N320"/>
  <c r="P320"/>
  <c r="B332"/>
  <c r="F332" s="1"/>
  <c r="H320"/>
  <c r="M320"/>
  <c r="O320"/>
  <c r="I320"/>
  <c r="J320"/>
  <c r="E320"/>
  <c r="W29" i="49"/>
  <c r="W36"/>
  <c r="W22"/>
  <c r="W24"/>
  <c r="W32"/>
  <c r="W28"/>
  <c r="W31"/>
  <c r="K332" i="50"/>
  <c r="N332"/>
  <c r="M332"/>
  <c r="J332"/>
  <c r="E332"/>
  <c r="P332"/>
  <c r="F328"/>
  <c r="J328"/>
  <c r="K328"/>
  <c r="G328"/>
  <c r="O328"/>
  <c r="N328"/>
  <c r="L148"/>
  <c r="J148"/>
  <c r="F148"/>
  <c r="G148"/>
  <c r="M148"/>
  <c r="B156"/>
  <c r="B168" s="1"/>
  <c r="I144"/>
  <c r="G144"/>
  <c r="O144"/>
  <c r="L144"/>
  <c r="J144"/>
  <c r="F144"/>
  <c r="E156"/>
  <c r="G156"/>
  <c r="F156"/>
  <c r="P59" i="61"/>
  <c r="O57"/>
  <c r="U57" i="3"/>
  <c r="U56" i="61"/>
  <c r="T54" i="67"/>
  <c r="N35"/>
  <c r="O35" s="1"/>
  <c r="N57" i="75"/>
  <c r="U57" s="1"/>
  <c r="N58" i="67"/>
  <c r="U58" s="1"/>
  <c r="N56" i="75"/>
  <c r="X56" s="1"/>
  <c r="N53" i="67"/>
  <c r="P53" s="1"/>
  <c r="Q56" i="61"/>
  <c r="R56" s="1"/>
  <c r="W56"/>
  <c r="V58" i="75"/>
  <c r="X57" i="61"/>
  <c r="Q57"/>
  <c r="R57" s="1"/>
  <c r="S59" i="67"/>
  <c r="Q59"/>
  <c r="R59" s="1"/>
  <c r="V59" s="1"/>
  <c r="W59"/>
  <c r="Y59"/>
  <c r="S64" i="65"/>
  <c r="T64" i="66"/>
  <c r="S64"/>
  <c r="N57" i="62"/>
  <c r="Y57" s="1"/>
  <c r="V56" i="61"/>
  <c r="N58" i="65"/>
  <c r="T58" s="1"/>
  <c r="N57"/>
  <c r="O57" s="1"/>
  <c r="N35"/>
  <c r="O35" s="1"/>
  <c r="N59" i="66"/>
  <c r="S59" s="1"/>
  <c r="S54" i="67"/>
  <c r="U54"/>
  <c r="N56" i="78"/>
  <c r="P56" s="1"/>
  <c r="N58"/>
  <c r="W58" s="1"/>
  <c r="W59" i="61"/>
  <c r="O54" i="67"/>
  <c r="Y57" i="61"/>
  <c r="U64" i="66"/>
  <c r="P57" i="61"/>
  <c r="O64" i="66"/>
  <c r="N56" i="62"/>
  <c r="O56" s="1"/>
  <c r="N57" i="78"/>
  <c r="O57" s="1"/>
  <c r="U58" i="75"/>
  <c r="U80" i="26"/>
  <c r="Y82"/>
  <c r="Y80"/>
  <c r="AC82"/>
  <c r="AC80"/>
  <c r="A76" i="50"/>
  <c r="A77" s="1"/>
  <c r="AL75"/>
  <c r="X332"/>
  <c r="O22" i="49"/>
  <c r="O32"/>
  <c r="O27"/>
  <c r="O25"/>
  <c r="O23"/>
  <c r="O36"/>
  <c r="O24"/>
  <c r="O29"/>
  <c r="U146"/>
  <c r="V139"/>
  <c r="W139" s="1"/>
  <c r="V58" i="78"/>
  <c r="T53" i="67"/>
  <c r="H156" i="50"/>
  <c r="M156"/>
  <c r="J156"/>
  <c r="W23" i="49"/>
  <c r="W30"/>
  <c r="W27"/>
  <c r="W25"/>
  <c r="W34"/>
  <c r="W33"/>
  <c r="W35"/>
  <c r="V22"/>
  <c r="V24"/>
  <c r="V25"/>
  <c r="O304" i="50"/>
  <c r="M304"/>
  <c r="K304"/>
  <c r="J304"/>
  <c r="I304"/>
  <c r="P114"/>
  <c r="L114"/>
  <c r="J114"/>
  <c r="K114"/>
  <c r="E114"/>
  <c r="N114"/>
  <c r="P89"/>
  <c r="K89"/>
  <c r="J89"/>
  <c r="N89"/>
  <c r="M89"/>
  <c r="I89"/>
  <c r="AI248"/>
  <c r="AM248" s="1"/>
  <c r="AP248" s="1"/>
  <c r="M67"/>
  <c r="J67"/>
  <c r="E67"/>
  <c r="H67"/>
  <c r="G67"/>
  <c r="Q67"/>
  <c r="R67" s="1"/>
  <c r="I477"/>
  <c r="B489"/>
  <c r="J489" s="1"/>
  <c r="L477"/>
  <c r="J477"/>
  <c r="Q477"/>
  <c r="R477"/>
  <c r="E477"/>
  <c r="P477"/>
  <c r="G477"/>
  <c r="K477"/>
  <c r="H477"/>
  <c r="F477"/>
  <c r="O477"/>
  <c r="M477"/>
  <c r="N477"/>
  <c r="S10" i="57"/>
  <c r="U10" s="1"/>
  <c r="S12"/>
  <c r="U12" s="1"/>
  <c r="N17"/>
  <c r="P17"/>
  <c r="N14"/>
  <c r="P14"/>
  <c r="Y42" i="61"/>
  <c r="AP42"/>
  <c r="Y33"/>
  <c r="AP33"/>
  <c r="T145" i="49"/>
  <c r="W81" i="66"/>
  <c r="W85" i="65"/>
  <c r="W93"/>
  <c r="W88" i="67"/>
  <c r="W92"/>
  <c r="AA83" i="3"/>
  <c r="M69" i="49"/>
  <c r="M81"/>
  <c r="M74"/>
  <c r="M82"/>
  <c r="M79"/>
  <c r="M76"/>
  <c r="BA74" i="75"/>
  <c r="AB75"/>
  <c r="AB83"/>
  <c r="T48" i="50"/>
  <c r="T49" s="1"/>
  <c r="T50" s="1"/>
  <c r="X48"/>
  <c r="X49"/>
  <c r="X50" s="1"/>
  <c r="X51" s="1"/>
  <c r="X52" s="1"/>
  <c r="X53" s="1"/>
  <c r="X54" s="1"/>
  <c r="X55" s="1"/>
  <c r="W412"/>
  <c r="W413"/>
  <c r="W414" s="1"/>
  <c r="W415" s="1"/>
  <c r="W416" s="1"/>
  <c r="W417" s="1"/>
  <c r="W418" s="1"/>
  <c r="W419" s="1"/>
  <c r="AA412"/>
  <c r="AA413"/>
  <c r="AA414" s="1"/>
  <c r="AA415" s="1"/>
  <c r="AA416" s="1"/>
  <c r="AA417" s="1"/>
  <c r="AA418" s="1"/>
  <c r="AA419" s="1"/>
  <c r="AE412"/>
  <c r="AE413"/>
  <c r="AE414" s="1"/>
  <c r="AE415" s="1"/>
  <c r="AE416" s="1"/>
  <c r="AE417" s="1"/>
  <c r="AE418" s="1"/>
  <c r="AE419" s="1"/>
  <c r="U412"/>
  <c r="U413"/>
  <c r="U414" s="1"/>
  <c r="U415" s="1"/>
  <c r="U416" s="1"/>
  <c r="U417" s="1"/>
  <c r="U418" s="1"/>
  <c r="U419" s="1"/>
  <c r="Y412"/>
  <c r="Y413"/>
  <c r="Y414" s="1"/>
  <c r="Y415" s="1"/>
  <c r="Y416" s="1"/>
  <c r="Y417" s="1"/>
  <c r="Y418" s="1"/>
  <c r="Y419" s="1"/>
  <c r="AC412"/>
  <c r="AC413"/>
  <c r="AC414" s="1"/>
  <c r="AC415" s="1"/>
  <c r="AC416" s="1"/>
  <c r="AC417" s="1"/>
  <c r="AC418" s="1"/>
  <c r="AC419" s="1"/>
  <c r="AG412"/>
  <c r="AG413"/>
  <c r="AG414" s="1"/>
  <c r="AG415" s="1"/>
  <c r="AG416" s="1"/>
  <c r="AG417" s="1"/>
  <c r="AG418" s="1"/>
  <c r="AG419" s="1"/>
  <c r="T412"/>
  <c r="X412"/>
  <c r="X413" s="1"/>
  <c r="X414" s="1"/>
  <c r="X415" s="1"/>
  <c r="X416" s="1"/>
  <c r="X417" s="1"/>
  <c r="X418" s="1"/>
  <c r="X419" s="1"/>
  <c r="AB412"/>
  <c r="AB413" s="1"/>
  <c r="AB414" s="1"/>
  <c r="AB415" s="1"/>
  <c r="AB416" s="1"/>
  <c r="AB417" s="1"/>
  <c r="AB418" s="1"/>
  <c r="AB419" s="1"/>
  <c r="AF412"/>
  <c r="AF413" s="1"/>
  <c r="AF414" s="1"/>
  <c r="AF415" s="1"/>
  <c r="AF416" s="1"/>
  <c r="AF417" s="1"/>
  <c r="AF418" s="1"/>
  <c r="AF419" s="1"/>
  <c r="V412"/>
  <c r="V413" s="1"/>
  <c r="V414" s="1"/>
  <c r="V415" s="1"/>
  <c r="V416" s="1"/>
  <c r="V417" s="1"/>
  <c r="V418" s="1"/>
  <c r="V419" s="1"/>
  <c r="Z412"/>
  <c r="Z413" s="1"/>
  <c r="Z414" s="1"/>
  <c r="Z415" s="1"/>
  <c r="Z416" s="1"/>
  <c r="Z417" s="1"/>
  <c r="Z418" s="1"/>
  <c r="Z419" s="1"/>
  <c r="H499"/>
  <c r="J499"/>
  <c r="G499"/>
  <c r="E499"/>
  <c r="N499"/>
  <c r="B511"/>
  <c r="L499"/>
  <c r="M499"/>
  <c r="K499"/>
  <c r="I499"/>
  <c r="F499"/>
  <c r="O499"/>
  <c r="H478"/>
  <c r="G478"/>
  <c r="K478"/>
  <c r="E478"/>
  <c r="P478"/>
  <c r="F478"/>
  <c r="O478"/>
  <c r="B490"/>
  <c r="L478"/>
  <c r="I478"/>
  <c r="M478"/>
  <c r="N478"/>
  <c r="Q478"/>
  <c r="R478" s="1"/>
  <c r="AI478" s="1"/>
  <c r="J478"/>
  <c r="A199"/>
  <c r="AL198"/>
  <c r="N487"/>
  <c r="E487"/>
  <c r="M487"/>
  <c r="H487"/>
  <c r="F487"/>
  <c r="P466"/>
  <c r="N466"/>
  <c r="M466"/>
  <c r="K466"/>
  <c r="G466"/>
  <c r="E466"/>
  <c r="O465"/>
  <c r="J465"/>
  <c r="I465"/>
  <c r="L465"/>
  <c r="F465"/>
  <c r="H465"/>
  <c r="L128" i="49"/>
  <c r="L130"/>
  <c r="L125"/>
  <c r="L126"/>
  <c r="L119"/>
  <c r="L120"/>
  <c r="N112"/>
  <c r="O112" s="1"/>
  <c r="M21"/>
  <c r="L22"/>
  <c r="V35" i="62"/>
  <c r="AI201" i="50"/>
  <c r="AM201" s="1"/>
  <c r="AP201" s="1"/>
  <c r="AB544"/>
  <c r="AB545"/>
  <c r="AB546" s="1"/>
  <c r="AB547" s="1"/>
  <c r="AB548" s="1"/>
  <c r="AB549" s="1"/>
  <c r="AB550" s="1"/>
  <c r="A12"/>
  <c r="AL12" s="1"/>
  <c r="B11"/>
  <c r="C11"/>
  <c r="N58" i="66"/>
  <c r="P58" s="1"/>
  <c r="M35" i="75"/>
  <c r="U35"/>
  <c r="E22" i="50"/>
  <c r="E70"/>
  <c r="E118"/>
  <c r="E166"/>
  <c r="W57" i="3"/>
  <c r="P59" i="67"/>
  <c r="S18" i="57"/>
  <c r="U18" s="1"/>
  <c r="S17"/>
  <c r="U17" s="1"/>
  <c r="W57" i="75"/>
  <c r="Q59" i="66"/>
  <c r="R59" s="1"/>
  <c r="V59" s="1"/>
  <c r="P59"/>
  <c r="O58" i="78"/>
  <c r="U58"/>
  <c r="P57" i="75"/>
  <c r="P58" i="67"/>
  <c r="X57" i="75"/>
  <c r="Y57"/>
  <c r="AZ74" i="3"/>
  <c r="O62" i="26"/>
  <c r="AI62" s="1"/>
  <c r="AN62" s="1"/>
  <c r="AC87" i="75"/>
  <c r="AZ87"/>
  <c r="BA87"/>
  <c r="AA87"/>
  <c r="X89" i="66"/>
  <c r="V89"/>
  <c r="AI308" i="50"/>
  <c r="AM308" s="1"/>
  <c r="AP308" s="1"/>
  <c r="AI90"/>
  <c r="AM90" s="1"/>
  <c r="AP90" s="1"/>
  <c r="X13" i="57"/>
  <c r="Z13"/>
  <c r="Z81" i="66"/>
  <c r="V81"/>
  <c r="S33"/>
  <c r="AE75" i="75"/>
  <c r="AC75" s="1"/>
  <c r="AZ75" s="1"/>
  <c r="AE79"/>
  <c r="AE83"/>
  <c r="AC83" s="1"/>
  <c r="AZ83" s="1"/>
  <c r="BB17" i="55"/>
  <c r="BA17"/>
  <c r="AR17"/>
  <c r="AS17"/>
  <c r="AJ17"/>
  <c r="AI17"/>
  <c r="U57" i="78"/>
  <c r="P57"/>
  <c r="AB72" i="3"/>
  <c r="Z72"/>
  <c r="Z72" i="61"/>
  <c r="AB72"/>
  <c r="V32" i="62"/>
  <c r="AB80"/>
  <c r="M30" i="49"/>
  <c r="M36"/>
  <c r="M22"/>
  <c r="M28"/>
  <c r="M23"/>
  <c r="M34"/>
  <c r="M32"/>
  <c r="M25"/>
  <c r="M24"/>
  <c r="M29"/>
  <c r="M27"/>
  <c r="M31"/>
  <c r="M26"/>
  <c r="M33"/>
  <c r="M35"/>
  <c r="B502" i="50"/>
  <c r="G490"/>
  <c r="L490"/>
  <c r="P490"/>
  <c r="N490"/>
  <c r="F490"/>
  <c r="AI490" s="1"/>
  <c r="AM490" s="1"/>
  <c r="AP490" s="1"/>
  <c r="H490"/>
  <c r="M490"/>
  <c r="E490"/>
  <c r="I490"/>
  <c r="Q490"/>
  <c r="R490"/>
  <c r="J490"/>
  <c r="K490"/>
  <c r="O490"/>
  <c r="B523"/>
  <c r="G511"/>
  <c r="N511"/>
  <c r="J511"/>
  <c r="I511"/>
  <c r="L511"/>
  <c r="F511"/>
  <c r="H511"/>
  <c r="K511"/>
  <c r="E511"/>
  <c r="M511"/>
  <c r="O511"/>
  <c r="T225"/>
  <c r="V146" i="49"/>
  <c r="AI200" i="50"/>
  <c r="AM200"/>
  <c r="AP200" s="1"/>
  <c r="T12"/>
  <c r="T13" s="1"/>
  <c r="T14" s="1"/>
  <c r="V12"/>
  <c r="V13" s="1"/>
  <c r="V14" s="1"/>
  <c r="V15" s="1"/>
  <c r="V16" s="1"/>
  <c r="V17" s="1"/>
  <c r="V18" s="1"/>
  <c r="V19" s="1"/>
  <c r="AA12"/>
  <c r="AA13" s="1"/>
  <c r="AA14" s="1"/>
  <c r="AA15" s="1"/>
  <c r="AA16" s="1"/>
  <c r="AA17" s="1"/>
  <c r="AA18" s="1"/>
  <c r="AA19" s="1"/>
  <c r="U12"/>
  <c r="U13" s="1"/>
  <c r="U14" s="1"/>
  <c r="U15" s="1"/>
  <c r="U16" s="1"/>
  <c r="U17" s="1"/>
  <c r="U18" s="1"/>
  <c r="U19" s="1"/>
  <c r="A13"/>
  <c r="AL13" s="1"/>
  <c r="N115" i="49"/>
  <c r="N121" s="1"/>
  <c r="A200" i="50"/>
  <c r="AL199"/>
  <c r="T413"/>
  <c r="B501"/>
  <c r="B513" s="1"/>
  <c r="K489"/>
  <c r="M489"/>
  <c r="L489"/>
  <c r="F489"/>
  <c r="Q489"/>
  <c r="R489" s="1"/>
  <c r="O489"/>
  <c r="I489"/>
  <c r="T383"/>
  <c r="X333"/>
  <c r="AL76"/>
  <c r="AA83" i="75"/>
  <c r="AA75"/>
  <c r="AC79"/>
  <c r="AZ79" s="1"/>
  <c r="BA79"/>
  <c r="AA79"/>
  <c r="X81" i="66"/>
  <c r="T414" i="50"/>
  <c r="A201"/>
  <c r="AL201" s="1"/>
  <c r="AL200"/>
  <c r="E523"/>
  <c r="O523"/>
  <c r="K523"/>
  <c r="I523"/>
  <c r="M523"/>
  <c r="G523"/>
  <c r="B535"/>
  <c r="N523"/>
  <c r="J523"/>
  <c r="L523"/>
  <c r="F523"/>
  <c r="H523"/>
  <c r="O502"/>
  <c r="I502"/>
  <c r="F502"/>
  <c r="Q502"/>
  <c r="R502" s="1"/>
  <c r="AI502" s="1"/>
  <c r="H502"/>
  <c r="J502"/>
  <c r="G502"/>
  <c r="B514"/>
  <c r="M502"/>
  <c r="E502"/>
  <c r="N502"/>
  <c r="L502"/>
  <c r="P502"/>
  <c r="K502"/>
  <c r="P501"/>
  <c r="M501"/>
  <c r="N501"/>
  <c r="J501"/>
  <c r="Q501"/>
  <c r="R501" s="1"/>
  <c r="I501"/>
  <c r="N123" i="49"/>
  <c r="N124"/>
  <c r="N127"/>
  <c r="N117"/>
  <c r="N130"/>
  <c r="N126"/>
  <c r="N128"/>
  <c r="B526" i="50"/>
  <c r="P514"/>
  <c r="O514"/>
  <c r="I514"/>
  <c r="L514"/>
  <c r="N514"/>
  <c r="G514"/>
  <c r="K514"/>
  <c r="J514"/>
  <c r="E514"/>
  <c r="M514"/>
  <c r="Q514"/>
  <c r="R514" s="1"/>
  <c r="AI514" s="1"/>
  <c r="AM514" s="1"/>
  <c r="AP514" s="1"/>
  <c r="F514"/>
  <c r="H514"/>
  <c r="I535"/>
  <c r="O535"/>
  <c r="E535"/>
  <c r="K535"/>
  <c r="F535"/>
  <c r="M535"/>
  <c r="L535"/>
  <c r="B547"/>
  <c r="G535"/>
  <c r="J535"/>
  <c r="H535"/>
  <c r="N535"/>
  <c r="T415"/>
  <c r="T416"/>
  <c r="T417" s="1"/>
  <c r="T418" s="1"/>
  <c r="L526"/>
  <c r="F526"/>
  <c r="H526"/>
  <c r="G526"/>
  <c r="E526"/>
  <c r="J526"/>
  <c r="K526"/>
  <c r="B538"/>
  <c r="F538" s="1"/>
  <c r="I526"/>
  <c r="M526"/>
  <c r="O526"/>
  <c r="Q526"/>
  <c r="R526" s="1"/>
  <c r="N526"/>
  <c r="P526"/>
  <c r="G547"/>
  <c r="E547"/>
  <c r="J547"/>
  <c r="N547"/>
  <c r="K547"/>
  <c r="O547"/>
  <c r="L547"/>
  <c r="H547"/>
  <c r="F547"/>
  <c r="I547"/>
  <c r="M547"/>
  <c r="K538"/>
  <c r="O538"/>
  <c r="L538"/>
  <c r="E538"/>
  <c r="J538"/>
  <c r="H538"/>
  <c r="Q538"/>
  <c r="R538" s="1"/>
  <c r="G538"/>
  <c r="AA77" i="65"/>
  <c r="W77" s="1"/>
  <c r="AE72" i="3"/>
  <c r="BA72" s="1"/>
  <c r="Y77" i="65"/>
  <c r="AV77" s="1"/>
  <c r="AE72" i="62"/>
  <c r="BA72" s="1"/>
  <c r="AA77" i="67"/>
  <c r="Y77" s="1"/>
  <c r="AV77" s="1"/>
  <c r="AE72" i="61"/>
  <c r="BA72"/>
  <c r="AA77" i="66"/>
  <c r="AE71" i="75"/>
  <c r="BA71" s="1"/>
  <c r="AW77" i="66"/>
  <c r="AE71" i="78"/>
  <c r="AC71" s="1"/>
  <c r="AZ71" s="1"/>
  <c r="BA71"/>
  <c r="Y77" i="66"/>
  <c r="AV77"/>
  <c r="W77"/>
  <c r="AA71" i="78"/>
  <c r="AA71" i="75"/>
  <c r="AC72" i="3"/>
  <c r="AZ72" s="1"/>
  <c r="O60" i="26"/>
  <c r="AI60" s="1"/>
  <c r="AN60" s="1"/>
  <c r="AA72" i="61"/>
  <c r="AC72"/>
  <c r="AZ72"/>
  <c r="V28" i="26"/>
  <c r="X58" i="61"/>
  <c r="Y185" i="49"/>
  <c r="Z185"/>
  <c r="AH185"/>
  <c r="Z44" i="65"/>
  <c r="S44" s="1"/>
  <c r="AD44" i="3"/>
  <c r="W44"/>
  <c r="N22" i="26" s="1"/>
  <c r="R22" s="1"/>
  <c r="AD40" i="61"/>
  <c r="AP40" s="1"/>
  <c r="Z40" i="66"/>
  <c r="Y186" i="49"/>
  <c r="Z186"/>
  <c r="AH186"/>
  <c r="AD45" i="3"/>
  <c r="V45" s="1"/>
  <c r="Z45" i="65"/>
  <c r="S45"/>
  <c r="Y182" i="49"/>
  <c r="Z182"/>
  <c r="AH182"/>
  <c r="AD41" i="3"/>
  <c r="AP41" s="1"/>
  <c r="Z41" i="65"/>
  <c r="Z39" i="67"/>
  <c r="AD39" i="62"/>
  <c r="AP39" s="1"/>
  <c r="F46" i="81"/>
  <c r="K13"/>
  <c r="L13"/>
  <c r="F42"/>
  <c r="K19"/>
  <c r="L19"/>
  <c r="K21"/>
  <c r="L21"/>
  <c r="K23"/>
  <c r="L23"/>
  <c r="K25"/>
  <c r="L25"/>
  <c r="I187" i="49"/>
  <c r="B24" i="57"/>
  <c r="E29" i="52"/>
  <c r="C23" i="58"/>
  <c r="M48" i="61"/>
  <c r="M48" i="62"/>
  <c r="Y12" i="50"/>
  <c r="Y13" s="1"/>
  <c r="Y14" s="1"/>
  <c r="Y15" s="1"/>
  <c r="Y16" s="1"/>
  <c r="Y17" s="1"/>
  <c r="Y18" s="1"/>
  <c r="Y19" s="1"/>
  <c r="AD12"/>
  <c r="AD13" s="1"/>
  <c r="AD14" s="1"/>
  <c r="AD15" s="1"/>
  <c r="AD16" s="1"/>
  <c r="AD17" s="1"/>
  <c r="AD18" s="1"/>
  <c r="AD19" s="1"/>
  <c r="AC12"/>
  <c r="AC13" s="1"/>
  <c r="AC14" s="1"/>
  <c r="AC15" s="1"/>
  <c r="AC16" s="1"/>
  <c r="AC17" s="1"/>
  <c r="AC18" s="1"/>
  <c r="AC19" s="1"/>
  <c r="S58" i="66"/>
  <c r="O57" i="75"/>
  <c r="X17" i="57"/>
  <c r="Z17" s="1"/>
  <c r="P15"/>
  <c r="I11" i="81"/>
  <c r="K12"/>
  <c r="L12"/>
  <c r="K15"/>
  <c r="L15"/>
  <c r="J6"/>
  <c r="K6"/>
  <c r="L6"/>
  <c r="I13"/>
  <c r="K14"/>
  <c r="L14"/>
  <c r="J26"/>
  <c r="K26"/>
  <c r="L26"/>
  <c r="J22"/>
  <c r="K22"/>
  <c r="L22"/>
  <c r="J18"/>
  <c r="K18"/>
  <c r="L18"/>
  <c r="I34"/>
  <c r="K35"/>
  <c r="L35"/>
  <c r="K31"/>
  <c r="L31"/>
  <c r="K33"/>
  <c r="L33"/>
  <c r="K37"/>
  <c r="L37"/>
  <c r="K39"/>
  <c r="L39"/>
  <c r="K41"/>
  <c r="L41"/>
  <c r="V87" i="65"/>
  <c r="AB83" i="3"/>
  <c r="T42" i="67"/>
  <c r="T57" i="65"/>
  <c r="X58" i="78"/>
  <c r="U58" i="65"/>
  <c r="S57"/>
  <c r="U34" i="61"/>
  <c r="M20" i="52"/>
  <c r="AI477" i="50"/>
  <c r="AM477" s="1"/>
  <c r="AP477" s="1"/>
  <c r="U15" i="57"/>
  <c r="AB85" i="62"/>
  <c r="T32" i="66"/>
  <c r="AI453" i="50"/>
  <c r="AM453" s="1"/>
  <c r="AP453" s="1"/>
  <c r="AI405"/>
  <c r="AM405"/>
  <c r="AP405" s="1"/>
  <c r="Y56" i="78"/>
  <c r="S58" i="67"/>
  <c r="AI407" i="50"/>
  <c r="AM407"/>
  <c r="AP407" s="1"/>
  <c r="R16" i="55"/>
  <c r="AA21" i="57"/>
  <c r="V21"/>
  <c r="Y21"/>
  <c r="D21" i="55"/>
  <c r="D21" i="57"/>
  <c r="AD21"/>
  <c r="A22" i="55"/>
  <c r="R21" i="57"/>
  <c r="AC10"/>
  <c r="AE10" s="1"/>
  <c r="V42" i="3"/>
  <c r="V20" i="55" s="1"/>
  <c r="Y20" s="1"/>
  <c r="Z20" s="1"/>
  <c r="T42" i="66"/>
  <c r="O53" i="67"/>
  <c r="AI284" i="50"/>
  <c r="AM284" s="1"/>
  <c r="AP284" s="1"/>
  <c r="AI273"/>
  <c r="AM273" s="1"/>
  <c r="AP273" s="1"/>
  <c r="AI66"/>
  <c r="AM66" s="1"/>
  <c r="AP66" s="1"/>
  <c r="P19" i="57"/>
  <c r="X14"/>
  <c r="Z14" s="1"/>
  <c r="AB79" i="3"/>
  <c r="AI430" i="50"/>
  <c r="AM430"/>
  <c r="AP430" s="1"/>
  <c r="AI406"/>
  <c r="AM406" s="1"/>
  <c r="AP406" s="1"/>
  <c r="AD46" i="3"/>
  <c r="U46"/>
  <c r="Y187" i="49"/>
  <c r="Z187"/>
  <c r="AH187"/>
  <c r="Z46" i="65"/>
  <c r="T46" s="1"/>
  <c r="Z46" i="66"/>
  <c r="S46" s="1"/>
  <c r="AD46" i="61"/>
  <c r="U46" s="1"/>
  <c r="AD45"/>
  <c r="V45" s="1"/>
  <c r="Z45" i="66"/>
  <c r="S45" s="1"/>
  <c r="AD44" i="61"/>
  <c r="U44" s="1"/>
  <c r="Z44" i="66"/>
  <c r="T44" s="1"/>
  <c r="AD38" i="3"/>
  <c r="AP38" s="1"/>
  <c r="Z38" i="65"/>
  <c r="Z76" s="1"/>
  <c r="Y179" i="49"/>
  <c r="Z179"/>
  <c r="AH179"/>
  <c r="AD36" i="62"/>
  <c r="W36"/>
  <c r="Z36" i="67"/>
  <c r="S36"/>
  <c r="Z35" i="66"/>
  <c r="N189" i="49"/>
  <c r="AD35" i="61"/>
  <c r="Z34" i="65"/>
  <c r="S34" s="1"/>
  <c r="Y175" i="49"/>
  <c r="Z175"/>
  <c r="AH175"/>
  <c r="AD34" i="3"/>
  <c r="U34"/>
  <c r="M189" i="49"/>
  <c r="Z37" i="67"/>
  <c r="S37" s="1"/>
  <c r="AD37" i="62"/>
  <c r="V37" s="1"/>
  <c r="AD36" i="61"/>
  <c r="Y36" s="1"/>
  <c r="AP36" s="1"/>
  <c r="Z36" i="66"/>
  <c r="S36"/>
  <c r="Y184" i="49"/>
  <c r="Z184"/>
  <c r="AH184"/>
  <c r="AD43" i="3"/>
  <c r="U43" s="1"/>
  <c r="Z43" i="65"/>
  <c r="T43" s="1"/>
  <c r="Z43" i="66"/>
  <c r="S43" s="1"/>
  <c r="AD43" i="61"/>
  <c r="Y43" s="1"/>
  <c r="AP43" s="1"/>
  <c r="V63" i="26"/>
  <c r="Z63"/>
  <c r="AD63" s="1"/>
  <c r="N19"/>
  <c r="R19" s="1"/>
  <c r="V19" s="1"/>
  <c r="AD46" i="62"/>
  <c r="W46"/>
  <c r="Z46" i="67"/>
  <c r="S46"/>
  <c r="AD40" i="62"/>
  <c r="Z40" i="67"/>
  <c r="Z76" s="1"/>
  <c r="AD37" i="61"/>
  <c r="W37" s="1"/>
  <c r="Z37" i="66"/>
  <c r="S37" s="1"/>
  <c r="AD36" i="3"/>
  <c r="V36" s="1"/>
  <c r="Y177" i="49"/>
  <c r="Z177"/>
  <c r="AH177"/>
  <c r="Z36" i="65"/>
  <c r="T36"/>
  <c r="AD34" i="62"/>
  <c r="Y34"/>
  <c r="AP34" s="1"/>
  <c r="Z34" i="67"/>
  <c r="S34" s="1"/>
  <c r="O189" i="49"/>
  <c r="Z38" i="66"/>
  <c r="AD38" i="61"/>
  <c r="AP38" s="1"/>
  <c r="Y178" i="49"/>
  <c r="Z178"/>
  <c r="AH178"/>
  <c r="AD37" i="3"/>
  <c r="W37"/>
  <c r="N15" i="26" s="1"/>
  <c r="Z37" i="65"/>
  <c r="T37" s="1"/>
  <c r="S34" i="66"/>
  <c r="T34"/>
  <c r="AD43" i="62"/>
  <c r="Y43" s="1"/>
  <c r="AP43" s="1"/>
  <c r="Z43" i="67"/>
  <c r="S43"/>
  <c r="B13" i="46"/>
  <c r="E13"/>
  <c r="A14"/>
  <c r="B14"/>
  <c r="E14" s="1"/>
  <c r="D14" i="58"/>
  <c r="J14" s="1"/>
  <c r="D12"/>
  <c r="J12" s="1"/>
  <c r="D13"/>
  <c r="J13" s="1"/>
  <c r="K11" i="81"/>
  <c r="L11"/>
  <c r="E33" i="66"/>
  <c r="E32"/>
  <c r="E32" i="75"/>
  <c r="I8" i="81"/>
  <c r="K9"/>
  <c r="L9"/>
  <c r="E30" i="52"/>
  <c r="C52" i="58"/>
  <c r="E24" i="26"/>
  <c r="V59" i="3"/>
  <c r="Y59"/>
  <c r="T45" i="65"/>
  <c r="V44" i="3"/>
  <c r="M22" i="55" s="1"/>
  <c r="P22" s="1"/>
  <c r="U44" i="3"/>
  <c r="W45"/>
  <c r="Y45"/>
  <c r="AP45" s="1"/>
  <c r="U45"/>
  <c r="T44" i="65"/>
  <c r="T43" i="67"/>
  <c r="S36" i="65"/>
  <c r="U35" i="61"/>
  <c r="Y46" i="3"/>
  <c r="AP46" s="1"/>
  <c r="T46" i="67"/>
  <c r="Y34" i="3"/>
  <c r="AP34" s="1"/>
  <c r="V44" i="61"/>
  <c r="Q58"/>
  <c r="R58" s="1"/>
  <c r="V57"/>
  <c r="W57"/>
  <c r="O58"/>
  <c r="U58"/>
  <c r="Q59" i="3"/>
  <c r="R59" s="1"/>
  <c r="U53" i="67"/>
  <c r="Q58"/>
  <c r="R58" s="1"/>
  <c r="U57" i="65"/>
  <c r="O58"/>
  <c r="P57"/>
  <c r="S58"/>
  <c r="X56" i="61"/>
  <c r="W56" i="75"/>
  <c r="W56" i="62"/>
  <c r="N64" i="67"/>
  <c r="W57" i="78"/>
  <c r="U56" i="75"/>
  <c r="X57" i="78"/>
  <c r="P56" i="62"/>
  <c r="Q56"/>
  <c r="R56" s="1"/>
  <c r="P56" i="75"/>
  <c r="O58" i="67"/>
  <c r="Y56" i="75"/>
  <c r="V57"/>
  <c r="Q58" i="78"/>
  <c r="R58" s="1"/>
  <c r="W59" i="66"/>
  <c r="AE59" s="1"/>
  <c r="Q56" i="75"/>
  <c r="R56" s="1"/>
  <c r="X56" i="62"/>
  <c r="P56" i="61"/>
  <c r="V56" i="62"/>
  <c r="Q59" i="61"/>
  <c r="R59" s="1"/>
  <c r="Q53" i="67"/>
  <c r="R53" s="1"/>
  <c r="P57" i="3"/>
  <c r="P35" i="67"/>
  <c r="N53" i="66"/>
  <c r="N59" i="65"/>
  <c r="O59" s="1"/>
  <c r="O58" i="75"/>
  <c r="O57" i="3"/>
  <c r="O59" i="61"/>
  <c r="U57"/>
  <c r="U64" i="65"/>
  <c r="X59" i="61"/>
  <c r="Y59"/>
  <c r="V56" i="78"/>
  <c r="N35" i="66"/>
  <c r="P35" s="1"/>
  <c r="N63"/>
  <c r="O63" s="1"/>
  <c r="N63" i="65"/>
  <c r="N54"/>
  <c r="S54" s="1"/>
  <c r="N58" i="62"/>
  <c r="V58" s="1"/>
  <c r="T64" i="65"/>
  <c r="O64"/>
  <c r="T59" i="67"/>
  <c r="U59"/>
  <c r="X58" i="75"/>
  <c r="X57" i="3"/>
  <c r="V57"/>
  <c r="Q57"/>
  <c r="R57" s="1"/>
  <c r="N57" i="67"/>
  <c r="U57" s="1"/>
  <c r="N57" i="66"/>
  <c r="Y58" i="75"/>
  <c r="Q64" i="65"/>
  <c r="R64" s="1"/>
  <c r="W58" i="75"/>
  <c r="O56" i="61"/>
  <c r="Q54" i="67"/>
  <c r="R54" s="1"/>
  <c r="U59" i="61"/>
  <c r="N56" i="3"/>
  <c r="P56" s="1"/>
  <c r="N58"/>
  <c r="Y58" s="1"/>
  <c r="N53" i="65"/>
  <c r="Q53" s="1"/>
  <c r="R53" s="1"/>
  <c r="N63" i="67"/>
  <c r="O63" s="1"/>
  <c r="N40" i="75"/>
  <c r="N54" i="66"/>
  <c r="Q54" s="1"/>
  <c r="R54" s="1"/>
  <c r="S53"/>
  <c r="X57" i="62"/>
  <c r="U57"/>
  <c r="Q58" i="66"/>
  <c r="R58" s="1"/>
  <c r="Q57" i="62"/>
  <c r="R57" s="1"/>
  <c r="V58" i="61"/>
  <c r="T22" i="57"/>
  <c r="A23" i="55"/>
  <c r="O23" i="57"/>
  <c r="A14" i="50"/>
  <c r="A15" s="1"/>
  <c r="AB12"/>
  <c r="AB13" s="1"/>
  <c r="AB14" s="1"/>
  <c r="AB15" s="1"/>
  <c r="AB16" s="1"/>
  <c r="AB17" s="1"/>
  <c r="AB18" s="1"/>
  <c r="AB19" s="1"/>
  <c r="AG12"/>
  <c r="AG13" s="1"/>
  <c r="AG14" s="1"/>
  <c r="AG15" s="1"/>
  <c r="AG16" s="1"/>
  <c r="AG17" s="1"/>
  <c r="AG18" s="1"/>
  <c r="AG19" s="1"/>
  <c r="AF12"/>
  <c r="AF13" s="1"/>
  <c r="AF14" s="1"/>
  <c r="AF15" s="1"/>
  <c r="AF16" s="1"/>
  <c r="AF17" s="1"/>
  <c r="AF18" s="1"/>
  <c r="AF19" s="1"/>
  <c r="W12"/>
  <c r="W13" s="1"/>
  <c r="W14" s="1"/>
  <c r="W15" s="1"/>
  <c r="W16" s="1"/>
  <c r="W17" s="1"/>
  <c r="W18" s="1"/>
  <c r="W19" s="1"/>
  <c r="Z12"/>
  <c r="Z13" s="1"/>
  <c r="Z14" s="1"/>
  <c r="Z15" s="1"/>
  <c r="Z16" s="1"/>
  <c r="Z17" s="1"/>
  <c r="Z18" s="1"/>
  <c r="Z19" s="1"/>
  <c r="X12"/>
  <c r="X13" s="1"/>
  <c r="X14" s="1"/>
  <c r="X15" s="1"/>
  <c r="X16" s="1"/>
  <c r="X17" s="1"/>
  <c r="X18" s="1"/>
  <c r="X19" s="1"/>
  <c r="P59" i="3"/>
  <c r="W59"/>
  <c r="O59"/>
  <c r="X59"/>
  <c r="U64" i="67"/>
  <c r="T64"/>
  <c r="U53" i="66"/>
  <c r="Q53"/>
  <c r="R53" s="1"/>
  <c r="P53"/>
  <c r="U56" i="78"/>
  <c r="Q56"/>
  <c r="R56" s="1"/>
  <c r="X56"/>
  <c r="S63" i="65"/>
  <c r="P63"/>
  <c r="U63"/>
  <c r="O57" i="62"/>
  <c r="W57"/>
  <c r="P57"/>
  <c r="O57" i="66"/>
  <c r="P57"/>
  <c r="Q57"/>
  <c r="R57" s="1"/>
  <c r="U57"/>
  <c r="P10" i="57"/>
  <c r="U19"/>
  <c r="X85" i="66"/>
  <c r="V20" i="57"/>
  <c r="X20" s="1"/>
  <c r="AA20"/>
  <c r="W20"/>
  <c r="O20"/>
  <c r="P20" s="1"/>
  <c r="Y42" i="3"/>
  <c r="AP42"/>
  <c r="Y32" i="61"/>
  <c r="AP32"/>
  <c r="P22" i="26"/>
  <c r="G24" i="58"/>
  <c r="I24" s="1"/>
  <c r="V33" i="61"/>
  <c r="V81" i="65"/>
  <c r="X86" i="67"/>
  <c r="U32" i="61"/>
  <c r="W32"/>
  <c r="X85" i="67"/>
  <c r="X93"/>
  <c r="D20" i="55"/>
  <c r="D20" i="57"/>
  <c r="B20" i="55"/>
  <c r="Y32" i="62"/>
  <c r="AP32" s="1"/>
  <c r="F27" i="58"/>
  <c r="H27" s="1"/>
  <c r="F54"/>
  <c r="H54" s="1"/>
  <c r="Z82" i="61"/>
  <c r="Z90"/>
  <c r="Z85"/>
  <c r="X22" i="26"/>
  <c r="AF24"/>
  <c r="P25"/>
  <c r="V78" i="65"/>
  <c r="X82"/>
  <c r="V90"/>
  <c r="V78" i="66"/>
  <c r="V86"/>
  <c r="T24" i="26"/>
  <c r="F23" i="58"/>
  <c r="H23" s="1"/>
  <c r="V37" i="3"/>
  <c r="AN15" i="55" s="1"/>
  <c r="AQ15" s="1"/>
  <c r="AR15" s="1"/>
  <c r="F55" i="58"/>
  <c r="H55"/>
  <c r="U37" i="61"/>
  <c r="V88" i="67"/>
  <c r="T36"/>
  <c r="U43" i="62"/>
  <c r="V46" i="3"/>
  <c r="W46" i="61"/>
  <c r="V46" i="62"/>
  <c r="W36" i="3"/>
  <c r="N14" i="26" s="1"/>
  <c r="R14" s="1"/>
  <c r="V14" s="1"/>
  <c r="T59" i="66"/>
  <c r="S37" i="65"/>
  <c r="Y58" i="78"/>
  <c r="U59" i="66"/>
  <c r="AE59" i="67"/>
  <c r="P35" i="65"/>
  <c r="V79" i="66"/>
  <c r="Y58" i="61"/>
  <c r="Y21" i="52"/>
  <c r="A26" i="50"/>
  <c r="AL26"/>
  <c r="X83" i="67"/>
  <c r="V80" i="66"/>
  <c r="V90"/>
  <c r="X26" i="26"/>
  <c r="G57" i="58"/>
  <c r="I57"/>
  <c r="AF23" i="26"/>
  <c r="P58" i="78"/>
  <c r="P58" i="65"/>
  <c r="T58" i="67"/>
  <c r="AB86" i="62"/>
  <c r="R23" i="57"/>
  <c r="V34" i="3"/>
  <c r="AE12" i="55"/>
  <c r="AH12" s="1"/>
  <c r="AJ12" s="1"/>
  <c r="Y37" i="3"/>
  <c r="AP37" s="1"/>
  <c r="W43" i="62"/>
  <c r="W46" i="3"/>
  <c r="T45" i="66"/>
  <c r="AP40" i="62"/>
  <c r="Y37" i="61"/>
  <c r="AP37" s="1"/>
  <c r="AA22" i="57"/>
  <c r="Y22"/>
  <c r="P11"/>
  <c r="X92" i="67"/>
  <c r="V91" i="66"/>
  <c r="Z90" i="3"/>
  <c r="O21" i="52"/>
  <c r="AI454" i="50"/>
  <c r="AM454" s="1"/>
  <c r="AP454" s="1"/>
  <c r="AB76" i="62"/>
  <c r="V43"/>
  <c r="AN20" i="55"/>
  <c r="AQ20" s="1"/>
  <c r="AS20" s="1"/>
  <c r="T34" i="67"/>
  <c r="A15" i="46"/>
  <c r="B15"/>
  <c r="E15" s="1"/>
  <c r="X85" i="65"/>
  <c r="X84" i="67"/>
  <c r="AB87" i="3"/>
  <c r="V87" i="66"/>
  <c r="V95"/>
  <c r="V82" i="67"/>
  <c r="S21" i="52"/>
  <c r="B17" i="53"/>
  <c r="W21" i="52"/>
  <c r="AB90" i="62"/>
  <c r="AB82"/>
  <c r="AB74"/>
  <c r="T58" i="66"/>
  <c r="A16" i="46"/>
  <c r="A17"/>
  <c r="A18"/>
  <c r="T36" i="66"/>
  <c r="Y36" i="3"/>
  <c r="AP36" s="1"/>
  <c r="AI260" i="50"/>
  <c r="AM260"/>
  <c r="AP260" s="1"/>
  <c r="B16" i="46"/>
  <c r="E16" s="1"/>
  <c r="AW12" i="55"/>
  <c r="AZ12" s="1"/>
  <c r="BB12" s="1"/>
  <c r="M12"/>
  <c r="P12" s="1"/>
  <c r="V23" i="57"/>
  <c r="AD23"/>
  <c r="B23" i="55"/>
  <c r="W34" i="3"/>
  <c r="N12" i="26"/>
  <c r="V22" i="57"/>
  <c r="X22" s="1"/>
  <c r="O22"/>
  <c r="Z28" i="26"/>
  <c r="AD28" s="1"/>
  <c r="U58" i="66"/>
  <c r="O58"/>
  <c r="AE12" i="50"/>
  <c r="AE13" s="1"/>
  <c r="AE14" s="1"/>
  <c r="AE15" s="1"/>
  <c r="AE16" s="1"/>
  <c r="AE17" s="1"/>
  <c r="AE18" s="1"/>
  <c r="AE19" s="1"/>
  <c r="O59" i="66"/>
  <c r="Q58" i="65"/>
  <c r="R58" s="1"/>
  <c r="Q57"/>
  <c r="R57" s="1"/>
  <c r="Q57" i="75"/>
  <c r="R57" s="1"/>
  <c r="O56"/>
  <c r="AI441" i="50"/>
  <c r="AM441"/>
  <c r="AP441" s="1"/>
  <c r="AI199"/>
  <c r="AM199" s="1"/>
  <c r="AP199" s="1"/>
  <c r="AI382"/>
  <c r="AM382"/>
  <c r="AP382" s="1"/>
  <c r="AI381"/>
  <c r="AM381" s="1"/>
  <c r="AP381" s="1"/>
  <c r="A24" i="55"/>
  <c r="M24" i="57"/>
  <c r="U37" i="62"/>
  <c r="M23" i="57"/>
  <c r="S64" i="67"/>
  <c r="Q63" i="65"/>
  <c r="R63" s="1"/>
  <c r="W56" i="78"/>
  <c r="AL14" i="50"/>
  <c r="B18" i="53"/>
  <c r="AG22" i="52"/>
  <c r="U22"/>
  <c r="A19" i="53"/>
  <c r="O23" i="52"/>
  <c r="G22"/>
  <c r="AA22"/>
  <c r="AE22"/>
  <c r="Y23"/>
  <c r="AC22"/>
  <c r="O22"/>
  <c r="AI16" i="55"/>
  <c r="AJ16"/>
  <c r="R29" i="26"/>
  <c r="V29" s="1"/>
  <c r="Z29" s="1"/>
  <c r="P64" i="67"/>
  <c r="AE14" i="57"/>
  <c r="Z15"/>
  <c r="AC19"/>
  <c r="AE19"/>
  <c r="AC17"/>
  <c r="X11"/>
  <c r="Z11" s="1"/>
  <c r="X89" i="65"/>
  <c r="AI50" i="26"/>
  <c r="AN50" s="1"/>
  <c r="X83" i="65"/>
  <c r="V95"/>
  <c r="V83" i="66"/>
  <c r="X94" i="67"/>
  <c r="AE21" i="52"/>
  <c r="AA21"/>
  <c r="G21"/>
  <c r="AG21"/>
  <c r="Q21"/>
  <c r="U21"/>
  <c r="M21"/>
  <c r="Z77" i="3"/>
  <c r="AI65" i="50"/>
  <c r="AM65"/>
  <c r="AP65" s="1"/>
  <c r="AI442"/>
  <c r="AM442"/>
  <c r="AP442" s="1"/>
  <c r="AI383"/>
  <c r="AM383" s="1"/>
  <c r="AP383" s="1"/>
  <c r="B17" i="46"/>
  <c r="E17"/>
  <c r="V24" i="55"/>
  <c r="Y24"/>
  <c r="Z24" s="1"/>
  <c r="AN24"/>
  <c r="AQ24"/>
  <c r="AR24" s="1"/>
  <c r="A25"/>
  <c r="AB25" i="57"/>
  <c r="W36" i="61"/>
  <c r="AD70"/>
  <c r="V35"/>
  <c r="Y36" i="62"/>
  <c r="AP36" s="1"/>
  <c r="U36"/>
  <c r="P40" i="75"/>
  <c r="O40"/>
  <c r="BB19" i="55"/>
  <c r="N26" i="26"/>
  <c r="N17"/>
  <c r="R17" s="1"/>
  <c r="N18"/>
  <c r="R18" s="1"/>
  <c r="N20"/>
  <c r="R20"/>
  <c r="N24"/>
  <c r="R27"/>
  <c r="V27" s="1"/>
  <c r="Z27" s="1"/>
  <c r="D23" i="55"/>
  <c r="D23" i="57" s="1"/>
  <c r="M23" i="55"/>
  <c r="P23" s="1"/>
  <c r="Q23" s="1"/>
  <c r="W34" i="62"/>
  <c r="V34"/>
  <c r="U34"/>
  <c r="AN14" i="55"/>
  <c r="AQ14" s="1"/>
  <c r="AS14" s="1"/>
  <c r="AD22" i="57"/>
  <c r="W22"/>
  <c r="L22"/>
  <c r="Q22"/>
  <c r="AE22" i="55"/>
  <c r="AH22" s="1"/>
  <c r="AJ22"/>
  <c r="D22"/>
  <c r="D22" i="57"/>
  <c r="B22" i="55"/>
  <c r="M22" i="57"/>
  <c r="N22" s="1"/>
  <c r="W23"/>
  <c r="AB22"/>
  <c r="AB23"/>
  <c r="Q23"/>
  <c r="S23" s="1"/>
  <c r="U23" s="1"/>
  <c r="Y23"/>
  <c r="AD24"/>
  <c r="O24"/>
  <c r="L23"/>
  <c r="N23" s="1"/>
  <c r="P23"/>
  <c r="AA23"/>
  <c r="AC23"/>
  <c r="AE23" s="1"/>
  <c r="Y24"/>
  <c r="T23"/>
  <c r="Q24"/>
  <c r="AA24"/>
  <c r="AB24"/>
  <c r="L24"/>
  <c r="AA25"/>
  <c r="R24"/>
  <c r="B24" i="55"/>
  <c r="AE24"/>
  <c r="AH24"/>
  <c r="AI24" s="1"/>
  <c r="X23" i="57"/>
  <c r="Z23" s="1"/>
  <c r="U36" i="61"/>
  <c r="V36" i="62"/>
  <c r="W35" i="61"/>
  <c r="Y35"/>
  <c r="AP35"/>
  <c r="N23" i="26"/>
  <c r="N25"/>
  <c r="BA19" i="55"/>
  <c r="V59" i="26"/>
  <c r="B21" i="55"/>
  <c r="O21" i="57"/>
  <c r="T21"/>
  <c r="AB21"/>
  <c r="AC21"/>
  <c r="AE21" s="1"/>
  <c r="M21"/>
  <c r="N21" s="1"/>
  <c r="Q21"/>
  <c r="S21"/>
  <c r="U21" s="1"/>
  <c r="R22"/>
  <c r="L21"/>
  <c r="W21"/>
  <c r="Q16" i="55"/>
  <c r="AI236" i="50"/>
  <c r="AM236"/>
  <c r="AP236" s="1"/>
  <c r="S20" i="57"/>
  <c r="U20" s="1"/>
  <c r="P18"/>
  <c r="AC20"/>
  <c r="AE20"/>
  <c r="AC11"/>
  <c r="AE11"/>
  <c r="N11" i="26"/>
  <c r="R11" s="1"/>
  <c r="AM502" i="50"/>
  <c r="AP502" s="1"/>
  <c r="AM478"/>
  <c r="AP478" s="1"/>
  <c r="AC18" i="57"/>
  <c r="AE18"/>
  <c r="N13"/>
  <c r="P13" s="1"/>
  <c r="AE17"/>
  <c r="AI429" i="50"/>
  <c r="AM429"/>
  <c r="AP429" s="1"/>
  <c r="AS24" i="55"/>
  <c r="AD62" i="26"/>
  <c r="W35" i="62"/>
  <c r="Y35"/>
  <c r="AP35" s="1"/>
  <c r="Z35" i="65"/>
  <c r="Y176" i="49"/>
  <c r="Z176"/>
  <c r="AH176"/>
  <c r="AD35" i="3"/>
  <c r="U35" s="1"/>
  <c r="Y42" i="62"/>
  <c r="AP42" s="1"/>
  <c r="U42"/>
  <c r="W42"/>
  <c r="V42"/>
  <c r="D15" i="58"/>
  <c r="J15" s="1"/>
  <c r="O41" i="78"/>
  <c r="O41" i="75"/>
  <c r="AE11" i="55"/>
  <c r="AH11" s="1"/>
  <c r="AJ11" s="1"/>
  <c r="AI11"/>
  <c r="V11"/>
  <c r="Y11"/>
  <c r="Z11" s="1"/>
  <c r="AW11"/>
  <c r="AZ11" s="1"/>
  <c r="BA11"/>
  <c r="AN11"/>
  <c r="AQ11"/>
  <c r="M11"/>
  <c r="P11" s="1"/>
  <c r="Q11" s="1"/>
  <c r="R11"/>
  <c r="Z39" i="66"/>
  <c r="Z49"/>
  <c r="Z71" s="1"/>
  <c r="AD39" i="61"/>
  <c r="Z33" i="67"/>
  <c r="AD33" i="62"/>
  <c r="Y57" i="78"/>
  <c r="Q57"/>
  <c r="R57" s="1"/>
  <c r="Y56" i="62"/>
  <c r="V57" i="78"/>
  <c r="O56"/>
  <c r="V57" i="62"/>
  <c r="X59" i="67"/>
  <c r="U58" i="62"/>
  <c r="X58"/>
  <c r="B19" i="53"/>
  <c r="AG23" i="52"/>
  <c r="AA23"/>
  <c r="W23"/>
  <c r="S23"/>
  <c r="AC23"/>
  <c r="W58" i="61"/>
  <c r="Y22" i="52"/>
  <c r="Q22"/>
  <c r="S22"/>
  <c r="W22"/>
  <c r="J10" i="81"/>
  <c r="K10"/>
  <c r="L10"/>
  <c r="J28"/>
  <c r="K28"/>
  <c r="L28"/>
  <c r="J20"/>
  <c r="K20"/>
  <c r="L20"/>
  <c r="I39"/>
  <c r="K40"/>
  <c r="L40"/>
  <c r="V93" i="65"/>
  <c r="V79"/>
  <c r="X90" i="67"/>
  <c r="Q58" i="75"/>
  <c r="R58" s="1"/>
  <c r="AD32" i="3"/>
  <c r="W32"/>
  <c r="N10" i="26" s="1"/>
  <c r="R10" s="1"/>
  <c r="Z32" i="65"/>
  <c r="W42" i="61"/>
  <c r="T33" i="65"/>
  <c r="X88"/>
  <c r="X95" i="67"/>
  <c r="X87"/>
  <c r="X79"/>
  <c r="V84" i="66"/>
  <c r="V92"/>
  <c r="E36" i="3"/>
  <c r="E37" i="61"/>
  <c r="W34"/>
  <c r="E40" i="62"/>
  <c r="E39"/>
  <c r="M39"/>
  <c r="N39" s="1"/>
  <c r="P39" s="1"/>
  <c r="E36"/>
  <c r="AB88"/>
  <c r="AB84"/>
  <c r="AB78"/>
  <c r="G29" i="58"/>
  <c r="I29" s="1"/>
  <c r="B14" i="55"/>
  <c r="E21" i="52"/>
  <c r="I176" i="49"/>
  <c r="I189"/>
  <c r="E14" i="26"/>
  <c r="B14" i="57"/>
  <c r="T63" i="66"/>
  <c r="T54" i="65"/>
  <c r="S63" i="66"/>
  <c r="W59" i="65"/>
  <c r="X59" s="1"/>
  <c r="Q56" i="3"/>
  <c r="R56" s="1"/>
  <c r="O38" i="75"/>
  <c r="T63" i="67"/>
  <c r="S63"/>
  <c r="X58" i="3"/>
  <c r="V58"/>
  <c r="W58"/>
  <c r="Q58"/>
  <c r="R58" s="1"/>
  <c r="U58"/>
  <c r="S57" i="66"/>
  <c r="T57"/>
  <c r="Q58" i="62"/>
  <c r="R58" s="1"/>
  <c r="W58"/>
  <c r="Y58"/>
  <c r="O58"/>
  <c r="T63" i="65"/>
  <c r="O63"/>
  <c r="T53" i="66"/>
  <c r="O53"/>
  <c r="Q64" i="67"/>
  <c r="R64" s="1"/>
  <c r="O64"/>
  <c r="S54" i="66"/>
  <c r="O54"/>
  <c r="P53" i="65"/>
  <c r="U53"/>
  <c r="T53"/>
  <c r="X56" i="3"/>
  <c r="U56"/>
  <c r="T57" i="67"/>
  <c r="O54" i="65"/>
  <c r="Q59"/>
  <c r="R59" s="1"/>
  <c r="V59" s="1"/>
  <c r="Y59"/>
  <c r="AF59" s="1"/>
  <c r="AE59"/>
  <c r="Z20" i="57"/>
  <c r="V12" i="55"/>
  <c r="Y12"/>
  <c r="Z12" s="1"/>
  <c r="AN12"/>
  <c r="AQ12"/>
  <c r="AS12" s="1"/>
  <c r="P21" i="57"/>
  <c r="P22"/>
  <c r="Z22"/>
  <c r="Q25"/>
  <c r="S25"/>
  <c r="U25" s="1"/>
  <c r="L25"/>
  <c r="R25"/>
  <c r="N24"/>
  <c r="P24" s="1"/>
  <c r="U23" i="52"/>
  <c r="AE23"/>
  <c r="Q23"/>
  <c r="AC25" i="57"/>
  <c r="AW24" i="55"/>
  <c r="AZ24"/>
  <c r="BA24" s="1"/>
  <c r="D24"/>
  <c r="D24" i="57" s="1"/>
  <c r="M24" i="55"/>
  <c r="P24" s="1"/>
  <c r="R24" s="1"/>
  <c r="AD25" i="57"/>
  <c r="T25"/>
  <c r="Y25"/>
  <c r="T24"/>
  <c r="V24"/>
  <c r="W24"/>
  <c r="X24" s="1"/>
  <c r="Z24" s="1"/>
  <c r="G23" i="52"/>
  <c r="A20" i="53"/>
  <c r="T15" i="50"/>
  <c r="T16" s="1"/>
  <c r="T17"/>
  <c r="AI17" s="1"/>
  <c r="AE25" i="55"/>
  <c r="AH25"/>
  <c r="D25"/>
  <c r="D25" i="57" s="1"/>
  <c r="B25" i="55"/>
  <c r="AN25"/>
  <c r="AQ25"/>
  <c r="AR25" s="1"/>
  <c r="V25"/>
  <c r="Y25"/>
  <c r="AA25" s="1"/>
  <c r="A26"/>
  <c r="R26" i="57"/>
  <c r="W25"/>
  <c r="AW25" i="55"/>
  <c r="AZ25"/>
  <c r="BB25" s="1"/>
  <c r="M25"/>
  <c r="P25"/>
  <c r="V25" i="57"/>
  <c r="X25"/>
  <c r="Z25" s="1"/>
  <c r="M25"/>
  <c r="O25"/>
  <c r="AC24"/>
  <c r="AE24" s="1"/>
  <c r="Z59" i="26"/>
  <c r="AD59" s="1"/>
  <c r="R25"/>
  <c r="R23"/>
  <c r="V23" s="1"/>
  <c r="R24"/>
  <c r="R26"/>
  <c r="V26" s="1"/>
  <c r="B18" i="46"/>
  <c r="E18"/>
  <c r="A19"/>
  <c r="AH62" i="26"/>
  <c r="S24" i="57"/>
  <c r="U24"/>
  <c r="S32" i="65"/>
  <c r="Z49"/>
  <c r="Z71" s="1"/>
  <c r="T33" i="67"/>
  <c r="S33"/>
  <c r="Z49"/>
  <c r="Z71" s="1"/>
  <c r="Z75"/>
  <c r="Z96" s="1"/>
  <c r="AA11" i="55"/>
  <c r="Y32" i="3"/>
  <c r="AP32"/>
  <c r="V32"/>
  <c r="AD52"/>
  <c r="AD66" s="1"/>
  <c r="AD70"/>
  <c r="AP39" i="61"/>
  <c r="BB11" i="55"/>
  <c r="W35" i="3"/>
  <c r="N13" i="26" s="1"/>
  <c r="Y35" i="3"/>
  <c r="AP35" s="1"/>
  <c r="V35"/>
  <c r="Z76" i="66"/>
  <c r="AV59" i="65"/>
  <c r="AE25" i="57"/>
  <c r="L26"/>
  <c r="N26"/>
  <c r="P26" s="1"/>
  <c r="BB24" i="55"/>
  <c r="A21" i="53"/>
  <c r="G25" i="52"/>
  <c r="U24"/>
  <c r="AA25"/>
  <c r="O24"/>
  <c r="Q24"/>
  <c r="G24"/>
  <c r="Y25"/>
  <c r="Y24"/>
  <c r="AE24"/>
  <c r="S24"/>
  <c r="W24"/>
  <c r="AA24"/>
  <c r="AC24"/>
  <c r="AG25"/>
  <c r="AG24"/>
  <c r="B20" i="53"/>
  <c r="V18" i="26"/>
  <c r="Z18" s="1"/>
  <c r="AD18" s="1"/>
  <c r="V25"/>
  <c r="Z19"/>
  <c r="AD19" s="1"/>
  <c r="AE19" s="1"/>
  <c r="B19" i="46"/>
  <c r="E19"/>
  <c r="A20"/>
  <c r="AN26" i="55"/>
  <c r="AQ26" s="1"/>
  <c r="AR26" s="1"/>
  <c r="D26"/>
  <c r="D26" i="57" s="1"/>
  <c r="M26" i="55"/>
  <c r="P26" s="1"/>
  <c r="V26"/>
  <c r="Y26" s="1"/>
  <c r="AA26" s="1"/>
  <c r="AW26"/>
  <c r="AZ26" s="1"/>
  <c r="BA26" s="1"/>
  <c r="AE26"/>
  <c r="AH26" s="1"/>
  <c r="AI26" s="1"/>
  <c r="B26"/>
  <c r="A27"/>
  <c r="V27" i="57"/>
  <c r="AD26"/>
  <c r="T26"/>
  <c r="L27"/>
  <c r="Q26"/>
  <c r="S26" s="1"/>
  <c r="U26" s="1"/>
  <c r="O26"/>
  <c r="Y26"/>
  <c r="AB26"/>
  <c r="M26"/>
  <c r="W26"/>
  <c r="AA26"/>
  <c r="AC26" s="1"/>
  <c r="V26"/>
  <c r="V13" i="55"/>
  <c r="Y13" s="1"/>
  <c r="AA13" s="1"/>
  <c r="AW13"/>
  <c r="AZ13" s="1"/>
  <c r="BB13" s="1"/>
  <c r="AE13"/>
  <c r="AH13" s="1"/>
  <c r="AJ13" s="1"/>
  <c r="M13"/>
  <c r="P13" s="1"/>
  <c r="AN13"/>
  <c r="AQ13" s="1"/>
  <c r="AR13" s="1"/>
  <c r="AE10"/>
  <c r="AH10" s="1"/>
  <c r="AJ10" s="1"/>
  <c r="AW10"/>
  <c r="AZ10" s="1"/>
  <c r="BA10" s="1"/>
  <c r="V10"/>
  <c r="Y10" s="1"/>
  <c r="AA10" s="1"/>
  <c r="AN10"/>
  <c r="AQ10" s="1"/>
  <c r="AR10" s="1"/>
  <c r="M10"/>
  <c r="P10" s="1"/>
  <c r="Q10" s="1"/>
  <c r="U25" i="52"/>
  <c r="X26" i="57"/>
  <c r="Z26" s="1"/>
  <c r="AA27"/>
  <c r="AC27" s="1"/>
  <c r="AE27" s="1"/>
  <c r="AE26"/>
  <c r="Y27"/>
  <c r="M27"/>
  <c r="N27"/>
  <c r="Q25" i="52"/>
  <c r="O25"/>
  <c r="W25"/>
  <c r="AC25"/>
  <c r="AE25"/>
  <c r="S25"/>
  <c r="A22" i="53"/>
  <c r="B21"/>
  <c r="B20" i="46"/>
  <c r="E20" s="1"/>
  <c r="A21"/>
  <c r="D27" i="55"/>
  <c r="D27" i="57"/>
  <c r="A28" i="55"/>
  <c r="Q28" i="57"/>
  <c r="S28" s="1"/>
  <c r="U28" s="1"/>
  <c r="V27" i="55"/>
  <c r="Y27"/>
  <c r="AE27"/>
  <c r="AH27" s="1"/>
  <c r="AI27" s="1"/>
  <c r="AN27"/>
  <c r="AQ27"/>
  <c r="AR27" s="1"/>
  <c r="M27"/>
  <c r="P27" s="1"/>
  <c r="G27" s="1"/>
  <c r="AW27"/>
  <c r="AZ27"/>
  <c r="B27"/>
  <c r="AD27" i="57"/>
  <c r="Q27"/>
  <c r="W27"/>
  <c r="X27" s="1"/>
  <c r="Z27" s="1"/>
  <c r="O27"/>
  <c r="P27"/>
  <c r="T27"/>
  <c r="R27"/>
  <c r="S27"/>
  <c r="U27" s="1"/>
  <c r="AB27"/>
  <c r="Z25" i="26"/>
  <c r="AD25" s="1"/>
  <c r="M28" i="57"/>
  <c r="AB28"/>
  <c r="W28"/>
  <c r="M25" i="52"/>
  <c r="A23" i="53"/>
  <c r="O27" i="52"/>
  <c r="M27" s="1"/>
  <c r="B22" i="53"/>
  <c r="Y26" i="52"/>
  <c r="U26"/>
  <c r="W26"/>
  <c r="AA26"/>
  <c r="O26"/>
  <c r="Q26"/>
  <c r="S26"/>
  <c r="M26" s="1"/>
  <c r="G26"/>
  <c r="AG26"/>
  <c r="AC26"/>
  <c r="AE26"/>
  <c r="AE25" i="26"/>
  <c r="AS27" i="55"/>
  <c r="Q27"/>
  <c r="AE28"/>
  <c r="AH28" s="1"/>
  <c r="AI28" s="1"/>
  <c r="AJ28"/>
  <c r="D28"/>
  <c r="D28" i="57"/>
  <c r="M28" i="55"/>
  <c r="P28"/>
  <c r="G28" s="1"/>
  <c r="I28" s="1"/>
  <c r="AW28"/>
  <c r="AZ28" s="1"/>
  <c r="BA28" s="1"/>
  <c r="BB28"/>
  <c r="V28"/>
  <c r="Y28"/>
  <c r="B28"/>
  <c r="AN28"/>
  <c r="AQ28"/>
  <c r="AS28" s="1"/>
  <c r="A29"/>
  <c r="T29" i="57"/>
  <c r="T32" s="1"/>
  <c r="AA28"/>
  <c r="AC28"/>
  <c r="AE28" s="1"/>
  <c r="O28"/>
  <c r="O32" s="1"/>
  <c r="T28"/>
  <c r="L28"/>
  <c r="N28" s="1"/>
  <c r="P28" s="1"/>
  <c r="Y28"/>
  <c r="R28"/>
  <c r="AD28"/>
  <c r="V28"/>
  <c r="X28" s="1"/>
  <c r="Z28" s="1"/>
  <c r="B21" i="46"/>
  <c r="E21" s="1"/>
  <c r="A22"/>
  <c r="AH25" i="26"/>
  <c r="AB29" i="57"/>
  <c r="R29"/>
  <c r="Y29"/>
  <c r="Y32"/>
  <c r="Y27" i="52"/>
  <c r="B23" i="53"/>
  <c r="A24"/>
  <c r="U28" i="52"/>
  <c r="S27"/>
  <c r="U27"/>
  <c r="AC27"/>
  <c r="W27"/>
  <c r="G27"/>
  <c r="AA27"/>
  <c r="AG27"/>
  <c r="AE27"/>
  <c r="Q27"/>
  <c r="Y28"/>
  <c r="O28"/>
  <c r="AE29" i="55"/>
  <c r="AH29"/>
  <c r="AI29" s="1"/>
  <c r="D29"/>
  <c r="D29" i="57" s="1"/>
  <c r="AN29" i="55"/>
  <c r="AQ29" s="1"/>
  <c r="AS29" s="1"/>
  <c r="M29"/>
  <c r="P29"/>
  <c r="Q29" s="1"/>
  <c r="V29"/>
  <c r="Y29" s="1"/>
  <c r="AA29" s="1"/>
  <c r="B29"/>
  <c r="AE35" i="57"/>
  <c r="AW29" i="55"/>
  <c r="AZ29"/>
  <c r="L29" i="57"/>
  <c r="N29" s="1"/>
  <c r="Q29"/>
  <c r="S29"/>
  <c r="U29" s="1"/>
  <c r="AD29"/>
  <c r="AD32" s="1"/>
  <c r="AA29"/>
  <c r="AC29"/>
  <c r="AE29" s="1"/>
  <c r="W29"/>
  <c r="M29"/>
  <c r="U35"/>
  <c r="B22" i="46"/>
  <c r="E22" s="1"/>
  <c r="A23"/>
  <c r="R28" i="55"/>
  <c r="V29" i="57"/>
  <c r="X29"/>
  <c r="Z29" s="1"/>
  <c r="O29"/>
  <c r="Z34"/>
  <c r="U34"/>
  <c r="AE28" i="52"/>
  <c r="Q28"/>
  <c r="Q38" s="1"/>
  <c r="W28"/>
  <c r="AA28"/>
  <c r="AA38" s="1"/>
  <c r="AA39" s="1"/>
  <c r="AA95" s="1"/>
  <c r="A25" i="53"/>
  <c r="B24"/>
  <c r="S28" i="52"/>
  <c r="AC28"/>
  <c r="G28"/>
  <c r="AG28"/>
  <c r="B23" i="46"/>
  <c r="E23" s="1"/>
  <c r="A24"/>
  <c r="Z29" i="55"/>
  <c r="AJ29"/>
  <c r="G29"/>
  <c r="R29"/>
  <c r="P29" i="57"/>
  <c r="A26" i="53"/>
  <c r="G30" i="52"/>
  <c r="B25" i="53"/>
  <c r="Q29" i="52"/>
  <c r="U29"/>
  <c r="U30"/>
  <c r="O29"/>
  <c r="AC30"/>
  <c r="Y29"/>
  <c r="W29"/>
  <c r="G29"/>
  <c r="V37" s="1"/>
  <c r="U42" s="1"/>
  <c r="AA29"/>
  <c r="AC29"/>
  <c r="AE29"/>
  <c r="S29"/>
  <c r="M29" s="1"/>
  <c r="O30"/>
  <c r="AG29"/>
  <c r="AG30"/>
  <c r="S30"/>
  <c r="B24" i="46"/>
  <c r="E24" s="1"/>
  <c r="A25"/>
  <c r="W30" i="52"/>
  <c r="AA30"/>
  <c r="AE30"/>
  <c r="Y30"/>
  <c r="Q30"/>
  <c r="M30" s="1"/>
  <c r="A27" i="53"/>
  <c r="B26"/>
  <c r="A26" i="46"/>
  <c r="B26"/>
  <c r="E26" s="1"/>
  <c r="B25"/>
  <c r="E25" s="1"/>
  <c r="B27" i="53"/>
  <c r="A28"/>
  <c r="U32" i="52"/>
  <c r="AC31"/>
  <c r="Q31"/>
  <c r="U31"/>
  <c r="Q32"/>
  <c r="S31"/>
  <c r="G32"/>
  <c r="AA31"/>
  <c r="Y32"/>
  <c r="O31"/>
  <c r="M31" s="1"/>
  <c r="AE31"/>
  <c r="G31"/>
  <c r="AE32"/>
  <c r="AG31"/>
  <c r="Y31"/>
  <c r="W31"/>
  <c r="AG32"/>
  <c r="AC32"/>
  <c r="W32"/>
  <c r="AA32"/>
  <c r="O32"/>
  <c r="M32" s="1"/>
  <c r="S32"/>
  <c r="B28" i="53"/>
  <c r="A29"/>
  <c r="B29"/>
  <c r="A30"/>
  <c r="Y34" i="52"/>
  <c r="O33"/>
  <c r="Q33"/>
  <c r="AA33"/>
  <c r="W33"/>
  <c r="W34"/>
  <c r="AE33"/>
  <c r="Y33"/>
  <c r="U33"/>
  <c r="S34"/>
  <c r="G34"/>
  <c r="AE34"/>
  <c r="AA34"/>
  <c r="G33"/>
  <c r="AG33"/>
  <c r="O34"/>
  <c r="AC33"/>
  <c r="AC34"/>
  <c r="U34"/>
  <c r="S33"/>
  <c r="Q34"/>
  <c r="AG34"/>
  <c r="M34"/>
  <c r="A31" i="53"/>
  <c r="B30"/>
  <c r="A35"/>
  <c r="V53" i="52"/>
  <c r="B31" i="53"/>
  <c r="AF53" i="52"/>
  <c r="Q35"/>
  <c r="E53"/>
  <c r="AE35"/>
  <c r="S35"/>
  <c r="AB53"/>
  <c r="AC35"/>
  <c r="W35"/>
  <c r="X53"/>
  <c r="G35"/>
  <c r="AG35"/>
  <c r="O35"/>
  <c r="U35"/>
  <c r="R53"/>
  <c r="AA35"/>
  <c r="Y35"/>
  <c r="T53"/>
  <c r="AH53"/>
  <c r="AD53"/>
  <c r="P53"/>
  <c r="M35"/>
  <c r="U37"/>
  <c r="X37"/>
  <c r="AE38"/>
  <c r="AG38"/>
  <c r="M37"/>
  <c r="Y38"/>
  <c r="AD37"/>
  <c r="AC42" s="1"/>
  <c r="A36" i="53"/>
  <c r="Z53" i="52"/>
  <c r="A37" i="53"/>
  <c r="A38"/>
  <c r="A39"/>
  <c r="A43"/>
  <c r="A44"/>
  <c r="A45"/>
  <c r="A46"/>
  <c r="A47"/>
  <c r="AH63" i="52"/>
  <c r="T57"/>
  <c r="AD54"/>
  <c r="V54"/>
  <c r="AH62"/>
  <c r="X57"/>
  <c r="E54"/>
  <c r="AD64"/>
  <c r="Z55"/>
  <c r="R55"/>
  <c r="AH61"/>
  <c r="R57"/>
  <c r="Z63"/>
  <c r="E61"/>
  <c r="AH54"/>
  <c r="V63"/>
  <c r="X54"/>
  <c r="E63"/>
  <c r="R64"/>
  <c r="E56"/>
  <c r="AB54"/>
  <c r="AD63"/>
  <c r="AF54"/>
  <c r="AF58" s="1"/>
  <c r="E64"/>
  <c r="P54"/>
  <c r="Z57"/>
  <c r="R54"/>
  <c r="P62"/>
  <c r="X55"/>
  <c r="R63"/>
  <c r="AB55"/>
  <c r="AB63"/>
  <c r="Z61"/>
  <c r="T54"/>
  <c r="P56"/>
  <c r="T62"/>
  <c r="T63"/>
  <c r="AB61"/>
  <c r="P61"/>
  <c r="AF61"/>
  <c r="AD55"/>
  <c r="X56"/>
  <c r="V56"/>
  <c r="Z62"/>
  <c r="Z54"/>
  <c r="T61"/>
  <c r="P63"/>
  <c r="AD57"/>
  <c r="T55"/>
  <c r="T58"/>
  <c r="S81" s="1"/>
  <c r="V62"/>
  <c r="V64"/>
  <c r="X63"/>
  <c r="AD56"/>
  <c r="AD61"/>
  <c r="AH56"/>
  <c r="X61"/>
  <c r="AB57"/>
  <c r="R61"/>
  <c r="AH55"/>
  <c r="P55"/>
  <c r="AB62"/>
  <c r="AB56"/>
  <c r="AF62"/>
  <c r="V57"/>
  <c r="W42"/>
  <c r="V61"/>
  <c r="AH57"/>
  <c r="AH58" s="1"/>
  <c r="AG81" s="1"/>
  <c r="R62"/>
  <c r="R56"/>
  <c r="AF56"/>
  <c r="AD62"/>
  <c r="AF55"/>
  <c r="V55"/>
  <c r="V58" s="1"/>
  <c r="U81" s="1"/>
  <c r="P57"/>
  <c r="E62"/>
  <c r="AF57"/>
  <c r="E57"/>
  <c r="T56"/>
  <c r="Z56"/>
  <c r="X62"/>
  <c r="AB64"/>
  <c r="E55"/>
  <c r="AD58"/>
  <c r="AC81" s="1"/>
  <c r="AF63"/>
  <c r="AE81"/>
  <c r="U63" i="67"/>
  <c r="P54" i="66"/>
  <c r="AV59" i="67"/>
  <c r="AF59"/>
  <c r="AG59" s="1"/>
  <c r="AH59" s="1"/>
  <c r="AA59"/>
  <c r="AW59" s="1"/>
  <c r="U62" i="66"/>
  <c r="S62"/>
  <c r="Q62"/>
  <c r="R62" s="1"/>
  <c r="P62"/>
  <c r="O62"/>
  <c r="T62"/>
  <c r="P62" i="67"/>
  <c r="S62"/>
  <c r="Q62"/>
  <c r="U62"/>
  <c r="T62"/>
  <c r="O62"/>
  <c r="R62"/>
  <c r="P63"/>
  <c r="W56" i="3"/>
  <c r="AS10" i="55"/>
  <c r="BB10"/>
  <c r="G13"/>
  <c r="BA13"/>
  <c r="BB26"/>
  <c r="R26"/>
  <c r="Q26"/>
  <c r="AS26"/>
  <c r="BA25"/>
  <c r="AS25"/>
  <c r="AM17" i="50"/>
  <c r="AP17" s="1"/>
  <c r="T18"/>
  <c r="AR12" i="55"/>
  <c r="O39" i="62"/>
  <c r="AR14" i="55"/>
  <c r="AA24"/>
  <c r="AD29" i="26"/>
  <c r="AE29" s="1"/>
  <c r="AH28"/>
  <c r="R22" i="55"/>
  <c r="BA12"/>
  <c r="AR20"/>
  <c r="AI12"/>
  <c r="X76" i="67"/>
  <c r="AA20" i="55"/>
  <c r="AI417" i="50"/>
  <c r="AM417" s="1"/>
  <c r="AP417"/>
  <c r="AB551"/>
  <c r="A51" i="53"/>
  <c r="A52"/>
  <c r="A53"/>
  <c r="A54"/>
  <c r="A55"/>
  <c r="X71" i="52"/>
  <c r="E71"/>
  <c r="AD65"/>
  <c r="AD66"/>
  <c r="AC76" s="1"/>
  <c r="R73"/>
  <c r="R69"/>
  <c r="X72"/>
  <c r="Z70"/>
  <c r="X70"/>
  <c r="AB65"/>
  <c r="AH71"/>
  <c r="AD72"/>
  <c r="P65"/>
  <c r="AD70"/>
  <c r="AH73"/>
  <c r="AB73"/>
  <c r="AB69"/>
  <c r="Z69"/>
  <c r="AH65"/>
  <c r="X65"/>
  <c r="V73"/>
  <c r="V71"/>
  <c r="E70"/>
  <c r="P71"/>
  <c r="Z73"/>
  <c r="AB71"/>
  <c r="P70"/>
  <c r="E65"/>
  <c r="R65"/>
  <c r="T70"/>
  <c r="V72"/>
  <c r="AF65"/>
  <c r="Z72"/>
  <c r="AH70"/>
  <c r="X69"/>
  <c r="V69"/>
  <c r="AR28" i="55"/>
  <c r="H28"/>
  <c r="G10"/>
  <c r="R10"/>
  <c r="Z10"/>
  <c r="AI10"/>
  <c r="AS13"/>
  <c r="AI13"/>
  <c r="Z13"/>
  <c r="AJ26"/>
  <c r="Z26"/>
  <c r="R13" i="26"/>
  <c r="V13" s="1"/>
  <c r="Z13"/>
  <c r="AD13" s="1"/>
  <c r="AE13" s="1"/>
  <c r="G25" i="55"/>
  <c r="Z25"/>
  <c r="AA12"/>
  <c r="V11" i="26"/>
  <c r="Z11" s="1"/>
  <c r="AD11" s="1"/>
  <c r="AD27"/>
  <c r="AH27" s="1"/>
  <c r="V20"/>
  <c r="Z20" s="1"/>
  <c r="AD20"/>
  <c r="AE20" s="1"/>
  <c r="V17"/>
  <c r="Z17" s="1"/>
  <c r="AD17" s="1"/>
  <c r="AE17" s="1"/>
  <c r="R12"/>
  <c r="R12" i="55"/>
  <c r="Q12"/>
  <c r="Z14" i="26"/>
  <c r="AD14" s="1"/>
  <c r="AE14"/>
  <c r="AS15" i="55"/>
  <c r="D38" i="58"/>
  <c r="J38" s="1"/>
  <c r="D45"/>
  <c r="J45" s="1"/>
  <c r="M49" i="62"/>
  <c r="N49" s="1"/>
  <c r="D44" i="58"/>
  <c r="J44" s="1"/>
  <c r="D40"/>
  <c r="J40" s="1"/>
  <c r="D39"/>
  <c r="J39" s="1"/>
  <c r="D42"/>
  <c r="J42" s="1"/>
  <c r="D43"/>
  <c r="J43" s="1"/>
  <c r="D41"/>
  <c r="J41" s="1"/>
  <c r="M49" i="61"/>
  <c r="N49" s="1"/>
  <c r="M49" i="3"/>
  <c r="N49" s="1"/>
  <c r="P49" s="1"/>
  <c r="R15" i="26"/>
  <c r="V15" s="1"/>
  <c r="Z15"/>
  <c r="AD15" s="1"/>
  <c r="AE15" s="1"/>
  <c r="V22"/>
  <c r="Z22" s="1"/>
  <c r="AD22" s="1"/>
  <c r="AH22" s="1"/>
  <c r="AB66" i="52"/>
  <c r="AA76" s="1"/>
  <c r="M38" i="65"/>
  <c r="N38" s="1"/>
  <c r="U30" i="49"/>
  <c r="U32"/>
  <c r="U24"/>
  <c r="U35"/>
  <c r="U31"/>
  <c r="U34"/>
  <c r="U33"/>
  <c r="U26"/>
  <c r="U27"/>
  <c r="U29"/>
  <c r="U36"/>
  <c r="U22"/>
  <c r="Z61" i="26"/>
  <c r="Z70" i="75"/>
  <c r="AB70"/>
  <c r="A237" i="50"/>
  <c r="AL237"/>
  <c r="AL236"/>
  <c r="B180"/>
  <c r="E168"/>
  <c r="H168"/>
  <c r="G168"/>
  <c r="J168"/>
  <c r="O168"/>
  <c r="P168"/>
  <c r="M168"/>
  <c r="N168"/>
  <c r="K168"/>
  <c r="L168"/>
  <c r="I168"/>
  <c r="F168"/>
  <c r="X36" i="49"/>
  <c r="X24"/>
  <c r="X22"/>
  <c r="X27"/>
  <c r="X25"/>
  <c r="X35"/>
  <c r="X32"/>
  <c r="X33"/>
  <c r="X34"/>
  <c r="X29"/>
  <c r="X30"/>
  <c r="X31"/>
  <c r="X28"/>
  <c r="X26"/>
  <c r="X23"/>
  <c r="A40" i="46"/>
  <c r="B39"/>
  <c r="E39"/>
  <c r="AL417" i="50"/>
  <c r="A418"/>
  <c r="N68" i="49"/>
  <c r="O65"/>
  <c r="AF73" i="52"/>
  <c r="T71"/>
  <c r="P58"/>
  <c r="O81"/>
  <c r="AF70"/>
  <c r="AF72"/>
  <c r="E73"/>
  <c r="AF71"/>
  <c r="AD71"/>
  <c r="AD73"/>
  <c r="AF64"/>
  <c r="AF66" s="1"/>
  <c r="AE76" s="1"/>
  <c r="AH72"/>
  <c r="P69"/>
  <c r="E72"/>
  <c r="X64"/>
  <c r="X66" s="1"/>
  <c r="W76" s="1"/>
  <c r="R71"/>
  <c r="Z65"/>
  <c r="T64"/>
  <c r="P72"/>
  <c r="AF69"/>
  <c r="Z64"/>
  <c r="Z66" s="1"/>
  <c r="Y76" s="1"/>
  <c r="R72"/>
  <c r="AH64"/>
  <c r="AH66" s="1"/>
  <c r="AG76" s="1"/>
  <c r="R70"/>
  <c r="V70"/>
  <c r="P73"/>
  <c r="V65"/>
  <c r="V66" s="1"/>
  <c r="U76" s="1"/>
  <c r="E69"/>
  <c r="P64"/>
  <c r="T69"/>
  <c r="X73"/>
  <c r="AH69"/>
  <c r="AH74"/>
  <c r="AG77" s="1"/>
  <c r="Z71"/>
  <c r="AB70"/>
  <c r="AD69"/>
  <c r="AD74" s="1"/>
  <c r="AC77" s="1"/>
  <c r="T73"/>
  <c r="T72"/>
  <c r="AB72"/>
  <c r="T65"/>
  <c r="AA37"/>
  <c r="AC38"/>
  <c r="AB37"/>
  <c r="Y37"/>
  <c r="Y39" s="1"/>
  <c r="Y95" s="1"/>
  <c r="AC37"/>
  <c r="N37"/>
  <c r="AF37"/>
  <c r="P37"/>
  <c r="W37"/>
  <c r="AH37"/>
  <c r="O37"/>
  <c r="R37"/>
  <c r="O38"/>
  <c r="P34" i="57"/>
  <c r="Z35"/>
  <c r="U36"/>
  <c r="AE36"/>
  <c r="Q28" i="55"/>
  <c r="P36" i="57"/>
  <c r="R27" i="55"/>
  <c r="AH59" i="26"/>
  <c r="G11" i="55"/>
  <c r="AD70" i="62"/>
  <c r="AD52"/>
  <c r="AD66" s="1"/>
  <c r="V33"/>
  <c r="F9" i="69"/>
  <c r="U32" i="3"/>
  <c r="AI22" i="55"/>
  <c r="R23"/>
  <c r="Z75" i="66"/>
  <c r="AH63" i="26"/>
  <c r="AW14" i="55"/>
  <c r="AZ14"/>
  <c r="A27" i="50"/>
  <c r="W37" i="62"/>
  <c r="U37" i="3"/>
  <c r="U46" i="62"/>
  <c r="V43" i="61"/>
  <c r="T34" i="65"/>
  <c r="W43" i="3"/>
  <c r="N21" i="26" s="1"/>
  <c r="Y37" i="62"/>
  <c r="AP37" s="1"/>
  <c r="V46" i="61"/>
  <c r="U43"/>
  <c r="S57" i="67"/>
  <c r="U54" i="65"/>
  <c r="U63" i="66"/>
  <c r="V56" i="3"/>
  <c r="T46" i="66"/>
  <c r="W44" i="61"/>
  <c r="Y44"/>
  <c r="AP44" s="1"/>
  <c r="AD71" i="3"/>
  <c r="W43" i="61"/>
  <c r="S46" i="65"/>
  <c r="Y46" i="61"/>
  <c r="AP46" s="1"/>
  <c r="T43" i="66"/>
  <c r="Y46" i="62"/>
  <c r="AP46"/>
  <c r="Y44" i="3"/>
  <c r="AP44"/>
  <c r="AD71" i="62"/>
  <c r="L513" i="50"/>
  <c r="O513"/>
  <c r="Q513"/>
  <c r="R513"/>
  <c r="N513"/>
  <c r="E513"/>
  <c r="K513"/>
  <c r="AI320"/>
  <c r="AM320"/>
  <c r="AP320" s="1"/>
  <c r="O31" i="49"/>
  <c r="O34"/>
  <c r="AL382" i="50"/>
  <c r="Q389"/>
  <c r="R389"/>
  <c r="O208"/>
  <c r="T98" i="49"/>
  <c r="O414" i="50"/>
  <c r="O378"/>
  <c r="AL416"/>
  <c r="AB48"/>
  <c r="AB49" s="1"/>
  <c r="AB50" s="1"/>
  <c r="AB51" s="1"/>
  <c r="AB52" s="1"/>
  <c r="AB53" s="1"/>
  <c r="AB54" s="1"/>
  <c r="AB55" s="1"/>
  <c r="A248"/>
  <c r="AL247"/>
  <c r="AC206"/>
  <c r="AC207"/>
  <c r="AC208" s="1"/>
  <c r="AL246"/>
  <c r="L127" i="49"/>
  <c r="L123"/>
  <c r="L27"/>
  <c r="R52"/>
  <c r="S45"/>
  <c r="M16" i="50"/>
  <c r="B235"/>
  <c r="F223"/>
  <c r="I223"/>
  <c r="J223"/>
  <c r="G388"/>
  <c r="H388"/>
  <c r="B400"/>
  <c r="B426"/>
  <c r="E414"/>
  <c r="F414"/>
  <c r="G414"/>
  <c r="H414"/>
  <c r="B428"/>
  <c r="H416"/>
  <c r="B443"/>
  <c r="F431"/>
  <c r="L431"/>
  <c r="E431"/>
  <c r="G431"/>
  <c r="K431"/>
  <c r="N16" i="26"/>
  <c r="H389" i="50"/>
  <c r="B401"/>
  <c r="F389"/>
  <c r="R99" i="49"/>
  <c r="L28" i="50"/>
  <c r="L428"/>
  <c r="Q144" i="49"/>
  <c r="Q51"/>
  <c r="P144"/>
  <c r="O51"/>
  <c r="M51"/>
  <c r="M144"/>
  <c r="N145"/>
  <c r="I389" i="50"/>
  <c r="J146" i="49"/>
  <c r="I144"/>
  <c r="K51"/>
  <c r="K98"/>
  <c r="J144"/>
  <c r="J97"/>
  <c r="FO8" i="46"/>
  <c r="FO29" s="1"/>
  <c r="I51" i="49"/>
  <c r="J50"/>
  <c r="O49" i="3"/>
  <c r="P390" i="50"/>
  <c r="P402"/>
  <c r="P426"/>
  <c r="V90" i="49"/>
  <c r="P232" i="50"/>
  <c r="P244"/>
  <c r="P268"/>
  <c r="P280"/>
  <c r="P292"/>
  <c r="P316"/>
  <c r="P328"/>
  <c r="P340"/>
  <c r="P414"/>
  <c r="P196"/>
  <c r="P208"/>
  <c r="P378"/>
  <c r="P220"/>
  <c r="P256"/>
  <c r="P304"/>
  <c r="O380"/>
  <c r="O404"/>
  <c r="O210"/>
  <c r="U92" i="49"/>
  <c r="V41"/>
  <c r="P24" i="50"/>
  <c r="P12"/>
  <c r="P58" i="62"/>
  <c r="P57" i="67"/>
  <c r="P54" i="65"/>
  <c r="P59"/>
  <c r="Y59" i="66"/>
  <c r="P58" i="3"/>
  <c r="O58"/>
  <c r="AI526" i="50"/>
  <c r="AM526" s="1"/>
  <c r="AP526" s="1"/>
  <c r="W89" i="49"/>
  <c r="X89" s="1"/>
  <c r="X97" s="1"/>
  <c r="O196" i="50"/>
  <c r="O402"/>
  <c r="O390"/>
  <c r="O428"/>
  <c r="O392"/>
  <c r="T99" i="49"/>
  <c r="O198" i="50"/>
  <c r="AC48"/>
  <c r="AC49"/>
  <c r="AC50" s="1"/>
  <c r="AC51" s="1"/>
  <c r="AC52" s="1"/>
  <c r="AC53" s="1"/>
  <c r="AC54" s="1"/>
  <c r="AC55" s="1"/>
  <c r="U48"/>
  <c r="U49"/>
  <c r="U50" s="1"/>
  <c r="U51" s="1"/>
  <c r="U52" s="1"/>
  <c r="U53" s="1"/>
  <c r="U54" s="1"/>
  <c r="U55" s="1"/>
  <c r="AA48"/>
  <c r="AA49"/>
  <c r="AA50" s="1"/>
  <c r="AA51" s="1"/>
  <c r="AA52" s="1"/>
  <c r="AA53" s="1"/>
  <c r="AA54" s="1"/>
  <c r="AA55" s="1"/>
  <c r="AD48"/>
  <c r="AD49"/>
  <c r="AD50" s="1"/>
  <c r="AD51" s="1"/>
  <c r="AD52" s="1"/>
  <c r="AD53" s="1"/>
  <c r="AD54" s="1"/>
  <c r="AD55" s="1"/>
  <c r="Z48"/>
  <c r="Z49"/>
  <c r="Z50" s="1"/>
  <c r="Z51" s="1"/>
  <c r="Z52" s="1"/>
  <c r="Z53" s="1"/>
  <c r="Z54" s="1"/>
  <c r="Z55" s="1"/>
  <c r="N27"/>
  <c r="U91" i="49"/>
  <c r="U88"/>
  <c r="O197" i="50"/>
  <c r="O24"/>
  <c r="O376"/>
  <c r="O400"/>
  <c r="N206"/>
  <c r="N376"/>
  <c r="N209"/>
  <c r="S52" i="49"/>
  <c r="M379" i="50"/>
  <c r="M400"/>
  <c r="M388"/>
  <c r="M194"/>
  <c r="R98" i="49"/>
  <c r="R144"/>
  <c r="L14" i="50"/>
  <c r="R43" i="49"/>
  <c r="L207" i="50"/>
  <c r="L377"/>
  <c r="L13"/>
  <c r="Q98" i="49"/>
  <c r="L391" i="50"/>
  <c r="L197"/>
  <c r="L380"/>
  <c r="L210"/>
  <c r="L416"/>
  <c r="P97" i="49"/>
  <c r="Q145"/>
  <c r="P50"/>
  <c r="K426" i="50"/>
  <c r="K414"/>
  <c r="K196"/>
  <c r="K390"/>
  <c r="K428"/>
  <c r="K198"/>
  <c r="K380"/>
  <c r="K404"/>
  <c r="K27"/>
  <c r="O98" i="49"/>
  <c r="J416" i="50"/>
  <c r="J210"/>
  <c r="J380"/>
  <c r="J16"/>
  <c r="P99" i="49"/>
  <c r="J389" i="50"/>
  <c r="N98" i="49"/>
  <c r="N50"/>
  <c r="I401" i="50"/>
  <c r="I219"/>
  <c r="I404"/>
  <c r="I416"/>
  <c r="H390"/>
  <c r="H402"/>
  <c r="M97" i="49"/>
  <c r="H428" i="50"/>
  <c r="H210"/>
  <c r="H197"/>
  <c r="G402"/>
  <c r="G390"/>
  <c r="G210"/>
  <c r="G380"/>
  <c r="L99" i="49"/>
  <c r="L50"/>
  <c r="F194" i="50"/>
  <c r="F388"/>
  <c r="I146" i="49"/>
  <c r="I97"/>
  <c r="T51" i="50"/>
  <c r="T52" s="1"/>
  <c r="T53" s="1"/>
  <c r="S144" i="49"/>
  <c r="T136"/>
  <c r="U44"/>
  <c r="O51" i="50"/>
  <c r="O63"/>
  <c r="O123"/>
  <c r="O27"/>
  <c r="O15"/>
  <c r="O39"/>
  <c r="O75"/>
  <c r="O87"/>
  <c r="O99"/>
  <c r="O111"/>
  <c r="M25"/>
  <c r="R50" i="49"/>
  <c r="M37" i="50"/>
  <c r="M85"/>
  <c r="M109"/>
  <c r="M13"/>
  <c r="S42" i="49"/>
  <c r="M49" i="50"/>
  <c r="M61"/>
  <c r="M73"/>
  <c r="M97"/>
  <c r="M121"/>
  <c r="M133"/>
  <c r="M145"/>
  <c r="O35" i="66"/>
  <c r="Q35" s="1"/>
  <c r="S53" i="67"/>
  <c r="B413" i="50"/>
  <c r="G401"/>
  <c r="H401"/>
  <c r="F401"/>
  <c r="K401"/>
  <c r="J401"/>
  <c r="L401"/>
  <c r="M401"/>
  <c r="E401"/>
  <c r="N401"/>
  <c r="O401"/>
  <c r="P401"/>
  <c r="E426"/>
  <c r="H426"/>
  <c r="B438"/>
  <c r="F426"/>
  <c r="J426"/>
  <c r="L426"/>
  <c r="M426"/>
  <c r="I426"/>
  <c r="G426"/>
  <c r="O426"/>
  <c r="N426"/>
  <c r="N16"/>
  <c r="N28"/>
  <c r="T45" i="49"/>
  <c r="N52" i="50"/>
  <c r="N76"/>
  <c r="N124"/>
  <c r="N136"/>
  <c r="N148"/>
  <c r="N40"/>
  <c r="N64"/>
  <c r="N88"/>
  <c r="N100"/>
  <c r="N112"/>
  <c r="N160"/>
  <c r="BA14" i="55"/>
  <c r="BB14"/>
  <c r="AD91" i="62"/>
  <c r="Z71" s="1"/>
  <c r="Q42" i="52"/>
  <c r="AG42"/>
  <c r="O42"/>
  <c r="AJ37"/>
  <c r="N64"/>
  <c r="P66"/>
  <c r="O76"/>
  <c r="P74"/>
  <c r="O77"/>
  <c r="N69"/>
  <c r="P65" i="49"/>
  <c r="O68"/>
  <c r="A419" i="50"/>
  <c r="AL419" s="1"/>
  <c r="AL418"/>
  <c r="P38" i="65"/>
  <c r="O38"/>
  <c r="P49" i="61"/>
  <c r="O49"/>
  <c r="P49" i="62"/>
  <c r="O49"/>
  <c r="I10" i="55"/>
  <c r="H10"/>
  <c r="V10" i="26"/>
  <c r="AI431" i="50"/>
  <c r="AM431"/>
  <c r="AP431" s="1"/>
  <c r="Q401"/>
  <c r="R401"/>
  <c r="N72" i="52"/>
  <c r="AJ72" s="1"/>
  <c r="V74"/>
  <c r="U77" s="1"/>
  <c r="N71"/>
  <c r="AJ71" s="1"/>
  <c r="Z74"/>
  <c r="Y77" s="1"/>
  <c r="R74"/>
  <c r="Q77" s="1"/>
  <c r="R16" i="26"/>
  <c r="V16"/>
  <c r="Z16" s="1"/>
  <c r="G443" i="50"/>
  <c r="F443"/>
  <c r="B455"/>
  <c r="H443"/>
  <c r="I443"/>
  <c r="K443"/>
  <c r="L443"/>
  <c r="M443"/>
  <c r="O443"/>
  <c r="N443"/>
  <c r="P443"/>
  <c r="Q443"/>
  <c r="R443" s="1"/>
  <c r="AI443" s="1"/>
  <c r="AM443" s="1"/>
  <c r="AP443" s="1"/>
  <c r="E443"/>
  <c r="J443"/>
  <c r="G428"/>
  <c r="B440"/>
  <c r="I428"/>
  <c r="J428"/>
  <c r="M428"/>
  <c r="E428"/>
  <c r="F428"/>
  <c r="N428"/>
  <c r="B412"/>
  <c r="F400"/>
  <c r="H400"/>
  <c r="I400"/>
  <c r="K400"/>
  <c r="L400"/>
  <c r="J400"/>
  <c r="N400"/>
  <c r="E400"/>
  <c r="G400"/>
  <c r="I235"/>
  <c r="B247"/>
  <c r="E235"/>
  <c r="L235"/>
  <c r="F235"/>
  <c r="K235"/>
  <c r="M235"/>
  <c r="O235"/>
  <c r="N235"/>
  <c r="Q235"/>
  <c r="R235"/>
  <c r="P235"/>
  <c r="H235"/>
  <c r="G235"/>
  <c r="J235"/>
  <c r="AL248"/>
  <c r="A249"/>
  <c r="AL249" s="1"/>
  <c r="AD91" i="3"/>
  <c r="Z71" s="1"/>
  <c r="AL27" i="50"/>
  <c r="A28"/>
  <c r="G9" i="69"/>
  <c r="F10"/>
  <c r="H11" i="55"/>
  <c r="I11"/>
  <c r="AE42" i="52"/>
  <c r="AA42"/>
  <c r="N78" i="49"/>
  <c r="N71"/>
  <c r="N75"/>
  <c r="N80"/>
  <c r="N81"/>
  <c r="N73"/>
  <c r="N76"/>
  <c r="N70"/>
  <c r="N83"/>
  <c r="N69"/>
  <c r="N77"/>
  <c r="N74"/>
  <c r="N82"/>
  <c r="N72"/>
  <c r="N79"/>
  <c r="B40" i="46"/>
  <c r="E40"/>
  <c r="A41"/>
  <c r="I180" i="50"/>
  <c r="H180"/>
  <c r="L180"/>
  <c r="G180"/>
  <c r="F180"/>
  <c r="M180"/>
  <c r="E180"/>
  <c r="K180"/>
  <c r="P180"/>
  <c r="J180"/>
  <c r="O180"/>
  <c r="N180"/>
  <c r="AD61" i="26"/>
  <c r="I25" i="55"/>
  <c r="H25"/>
  <c r="AI418" i="50"/>
  <c r="AM418"/>
  <c r="AP418" s="1"/>
  <c r="T419"/>
  <c r="AI419" s="1"/>
  <c r="AM419" s="1"/>
  <c r="AP419" s="1"/>
  <c r="T19"/>
  <c r="AI19"/>
  <c r="AM19" s="1"/>
  <c r="AP19" s="1"/>
  <c r="AI18"/>
  <c r="AM18"/>
  <c r="AP18" s="1"/>
  <c r="I13" i="55"/>
  <c r="H13"/>
  <c r="O39" i="52"/>
  <c r="O95" s="1"/>
  <c r="AC39"/>
  <c r="AC95" s="1"/>
  <c r="T74"/>
  <c r="S77" s="1"/>
  <c r="N73"/>
  <c r="AJ73" s="1"/>
  <c r="AF74"/>
  <c r="AE77" s="1"/>
  <c r="T66"/>
  <c r="S76" s="1"/>
  <c r="D46" i="58"/>
  <c r="J46"/>
  <c r="D47"/>
  <c r="J47"/>
  <c r="AH14" i="26"/>
  <c r="AH13"/>
  <c r="X74" i="52"/>
  <c r="W77"/>
  <c r="N70"/>
  <c r="AJ70"/>
  <c r="AB74"/>
  <c r="AA77"/>
  <c r="N65"/>
  <c r="AJ65"/>
  <c r="AH29" i="26"/>
  <c r="M14" i="50"/>
  <c r="M26"/>
  <c r="R51" i="49"/>
  <c r="S43"/>
  <c r="M38" i="50"/>
  <c r="M50"/>
  <c r="M98"/>
  <c r="M110"/>
  <c r="M62"/>
  <c r="M74"/>
  <c r="M86"/>
  <c r="M122"/>
  <c r="AA59" i="66"/>
  <c r="AW59" s="1"/>
  <c r="AF59"/>
  <c r="AG59" s="1"/>
  <c r="AH59" s="1"/>
  <c r="AV59"/>
  <c r="Q196" i="50"/>
  <c r="R196"/>
  <c r="Q208"/>
  <c r="R208"/>
  <c r="Q232"/>
  <c r="R232"/>
  <c r="Q268"/>
  <c r="R268"/>
  <c r="Q378"/>
  <c r="R378"/>
  <c r="AI378" s="1"/>
  <c r="AM378" s="1"/>
  <c r="AP378" s="1"/>
  <c r="Q426"/>
  <c r="R426" s="1"/>
  <c r="AI426" s="1"/>
  <c r="AM426" s="1"/>
  <c r="AP426" s="1"/>
  <c r="Q390"/>
  <c r="R390" s="1"/>
  <c r="Q414"/>
  <c r="R414"/>
  <c r="W90" i="49"/>
  <c r="X90"/>
  <c r="Q220" i="50"/>
  <c r="R220"/>
  <c r="Q244"/>
  <c r="R244"/>
  <c r="Q256"/>
  <c r="R256"/>
  <c r="Q280"/>
  <c r="R280"/>
  <c r="Q292"/>
  <c r="R292"/>
  <c r="Q316"/>
  <c r="R316" s="1"/>
  <c r="Q328"/>
  <c r="R328" s="1"/>
  <c r="Q340"/>
  <c r="R340" s="1"/>
  <c r="Q304"/>
  <c r="R304" s="1"/>
  <c r="AI304" s="1"/>
  <c r="AM304" s="1"/>
  <c r="AP304" s="1"/>
  <c r="Q438"/>
  <c r="R438"/>
  <c r="Q402"/>
  <c r="R402"/>
  <c r="AI196"/>
  <c r="AM196"/>
  <c r="AP196" s="1"/>
  <c r="AI268"/>
  <c r="AM268" s="1"/>
  <c r="AP268" s="1"/>
  <c r="AI232"/>
  <c r="AM232"/>
  <c r="AP232" s="1"/>
  <c r="P388"/>
  <c r="V88" i="49"/>
  <c r="P194" i="50"/>
  <c r="P412"/>
  <c r="P400"/>
  <c r="P206"/>
  <c r="U97" i="49"/>
  <c r="P254" i="50"/>
  <c r="P376"/>
  <c r="U98" i="49"/>
  <c r="P218" i="50"/>
  <c r="P230"/>
  <c r="P242"/>
  <c r="V91" i="49"/>
  <c r="P403" i="50"/>
  <c r="P415"/>
  <c r="P427"/>
  <c r="P475"/>
  <c r="P487"/>
  <c r="P209"/>
  <c r="P391"/>
  <c r="P439"/>
  <c r="P451"/>
  <c r="P463"/>
  <c r="P379"/>
  <c r="P221"/>
  <c r="P245"/>
  <c r="P257"/>
  <c r="P305"/>
  <c r="P329"/>
  <c r="P547"/>
  <c r="P197"/>
  <c r="U99" i="49"/>
  <c r="P233" i="50"/>
  <c r="P269"/>
  <c r="P281"/>
  <c r="P293"/>
  <c r="P317"/>
  <c r="P499"/>
  <c r="P511"/>
  <c r="P523"/>
  <c r="P535"/>
  <c r="W41" i="49"/>
  <c r="Q24" i="50"/>
  <c r="R24"/>
  <c r="Q12"/>
  <c r="R12"/>
  <c r="Q36"/>
  <c r="Q84"/>
  <c r="Q96"/>
  <c r="Q108"/>
  <c r="Q132"/>
  <c r="Q156"/>
  <c r="Q48"/>
  <c r="Q60"/>
  <c r="Q72"/>
  <c r="Q120"/>
  <c r="Q144"/>
  <c r="Q168"/>
  <c r="Q180"/>
  <c r="V92" i="49"/>
  <c r="P198" i="50"/>
  <c r="P428"/>
  <c r="P416"/>
  <c r="P440"/>
  <c r="P380"/>
  <c r="P210"/>
  <c r="P404"/>
  <c r="P392"/>
  <c r="AI402"/>
  <c r="AM402" s="1"/>
  <c r="AP402" s="1"/>
  <c r="AI414"/>
  <c r="AM414"/>
  <c r="AP414" s="1"/>
  <c r="AI12"/>
  <c r="AM12" s="1"/>
  <c r="AI220"/>
  <c r="AM220"/>
  <c r="AP220" s="1"/>
  <c r="AI280"/>
  <c r="AM280" s="1"/>
  <c r="AP280" s="1"/>
  <c r="AI244"/>
  <c r="AM244"/>
  <c r="AP244" s="1"/>
  <c r="N13"/>
  <c r="N49"/>
  <c r="N61"/>
  <c r="N73"/>
  <c r="N97"/>
  <c r="N121"/>
  <c r="N133"/>
  <c r="N145"/>
  <c r="N25"/>
  <c r="T42" i="49"/>
  <c r="S50"/>
  <c r="N37" i="50"/>
  <c r="N85"/>
  <c r="N109"/>
  <c r="U136" i="49"/>
  <c r="T144"/>
  <c r="V44"/>
  <c r="P39" i="50"/>
  <c r="P75"/>
  <c r="P87"/>
  <c r="P99"/>
  <c r="P111"/>
  <c r="P15"/>
  <c r="P51"/>
  <c r="P63"/>
  <c r="P123"/>
  <c r="P27"/>
  <c r="AH61" i="26"/>
  <c r="F11" i="69"/>
  <c r="G10"/>
  <c r="AL28" i="50"/>
  <c r="A29"/>
  <c r="E412"/>
  <c r="F412"/>
  <c r="G412"/>
  <c r="H412"/>
  <c r="B424"/>
  <c r="J412"/>
  <c r="K412"/>
  <c r="L412"/>
  <c r="M412"/>
  <c r="I412"/>
  <c r="O412"/>
  <c r="N412"/>
  <c r="B467"/>
  <c r="I455"/>
  <c r="E455"/>
  <c r="J455"/>
  <c r="F455"/>
  <c r="K455"/>
  <c r="H455"/>
  <c r="G455"/>
  <c r="M455"/>
  <c r="L455"/>
  <c r="O455"/>
  <c r="N455"/>
  <c r="P455"/>
  <c r="Q455"/>
  <c r="R455" s="1"/>
  <c r="AI455" s="1"/>
  <c r="AM455" s="1"/>
  <c r="AP455" s="1"/>
  <c r="O72" i="49"/>
  <c r="O74"/>
  <c r="O70"/>
  <c r="O69"/>
  <c r="O78"/>
  <c r="O83"/>
  <c r="O71"/>
  <c r="O76"/>
  <c r="O80"/>
  <c r="O73"/>
  <c r="O77"/>
  <c r="O75"/>
  <c r="O81"/>
  <c r="O82"/>
  <c r="O79"/>
  <c r="N74" i="52"/>
  <c r="AJ74"/>
  <c r="AJ69"/>
  <c r="O28" i="50"/>
  <c r="U45" i="49"/>
  <c r="O40" i="50"/>
  <c r="O88"/>
  <c r="O100"/>
  <c r="O124"/>
  <c r="O160"/>
  <c r="O16"/>
  <c r="O52"/>
  <c r="O64"/>
  <c r="O76"/>
  <c r="O112"/>
  <c r="O136"/>
  <c r="O148"/>
  <c r="T52" i="49"/>
  <c r="AI292" i="50"/>
  <c r="AM292" s="1"/>
  <c r="AP292" s="1"/>
  <c r="AB71" i="3"/>
  <c r="AI235" i="50"/>
  <c r="AM235"/>
  <c r="AP235" s="1"/>
  <c r="Q49" i="62"/>
  <c r="Q49" i="61"/>
  <c r="Z70" i="62"/>
  <c r="B41" i="46"/>
  <c r="E41" s="1"/>
  <c r="A42"/>
  <c r="H9" i="69"/>
  <c r="I9"/>
  <c r="K9" s="1"/>
  <c r="Z73" i="3"/>
  <c r="AB73"/>
  <c r="Z70"/>
  <c r="E247" i="50"/>
  <c r="J247"/>
  <c r="B259"/>
  <c r="G247"/>
  <c r="L247"/>
  <c r="O247"/>
  <c r="Q247"/>
  <c r="R247"/>
  <c r="M247"/>
  <c r="N247"/>
  <c r="P247"/>
  <c r="I247"/>
  <c r="F247"/>
  <c r="K247"/>
  <c r="H247"/>
  <c r="B452"/>
  <c r="E440"/>
  <c r="L440"/>
  <c r="I440"/>
  <c r="K440"/>
  <c r="M440"/>
  <c r="G440"/>
  <c r="H440"/>
  <c r="F440"/>
  <c r="N440"/>
  <c r="O440"/>
  <c r="J440"/>
  <c r="Z10" i="26"/>
  <c r="Q65" i="49"/>
  <c r="P68"/>
  <c r="AJ64" i="52"/>
  <c r="Z73" i="62"/>
  <c r="AB73"/>
  <c r="B450" i="50"/>
  <c r="F438"/>
  <c r="I438"/>
  <c r="J438"/>
  <c r="K438"/>
  <c r="L438"/>
  <c r="M438"/>
  <c r="E438"/>
  <c r="N438"/>
  <c r="H438"/>
  <c r="G438"/>
  <c r="AI438" s="1"/>
  <c r="AM438" s="1"/>
  <c r="AP438" s="1"/>
  <c r="P438"/>
  <c r="O438"/>
  <c r="J413"/>
  <c r="L413"/>
  <c r="K413"/>
  <c r="M413"/>
  <c r="E413"/>
  <c r="F413"/>
  <c r="G413"/>
  <c r="H413"/>
  <c r="N413"/>
  <c r="O413"/>
  <c r="P413"/>
  <c r="Q413"/>
  <c r="R413"/>
  <c r="B425"/>
  <c r="I413"/>
  <c r="AI413" s="1"/>
  <c r="AM413" s="1"/>
  <c r="AP413" s="1"/>
  <c r="AI401"/>
  <c r="AM401"/>
  <c r="AP401" s="1"/>
  <c r="AB71" i="62"/>
  <c r="W92" i="49"/>
  <c r="Q210" i="50"/>
  <c r="Q380"/>
  <c r="R380"/>
  <c r="Q416"/>
  <c r="Q452"/>
  <c r="Q392"/>
  <c r="R392"/>
  <c r="Q198"/>
  <c r="R198" s="1"/>
  <c r="AI198" s="1"/>
  <c r="AM198" s="1"/>
  <c r="AP198" s="1"/>
  <c r="Q428"/>
  <c r="Q440"/>
  <c r="R440" s="1"/>
  <c r="AI440" s="1"/>
  <c r="AM440" s="1"/>
  <c r="AP440" s="1"/>
  <c r="Q404"/>
  <c r="R404" s="1"/>
  <c r="AI404" s="1"/>
  <c r="AM404" s="1"/>
  <c r="AP404" s="1"/>
  <c r="R168"/>
  <c r="AI168"/>
  <c r="AM168" s="1"/>
  <c r="AP168" s="1"/>
  <c r="R120"/>
  <c r="R60"/>
  <c r="AI60"/>
  <c r="AM60" s="1"/>
  <c r="AP60" s="1"/>
  <c r="R156"/>
  <c r="R108"/>
  <c r="AI108"/>
  <c r="AM108" s="1"/>
  <c r="AP108" s="1"/>
  <c r="R84"/>
  <c r="AI84"/>
  <c r="AM84" s="1"/>
  <c r="AP84" s="1"/>
  <c r="R180"/>
  <c r="AI180" s="1"/>
  <c r="AM180" s="1"/>
  <c r="AP180" s="1"/>
  <c r="R144"/>
  <c r="R72"/>
  <c r="AI72" s="1"/>
  <c r="AM72" s="1"/>
  <c r="AP72" s="1"/>
  <c r="R48"/>
  <c r="AI48" s="1"/>
  <c r="AM48" s="1"/>
  <c r="AP48" s="1"/>
  <c r="R132"/>
  <c r="R96"/>
  <c r="R36"/>
  <c r="AI36"/>
  <c r="AM36" s="1"/>
  <c r="AP36" s="1"/>
  <c r="X41" i="49"/>
  <c r="Q379" i="50"/>
  <c r="R379"/>
  <c r="Q197"/>
  <c r="Q439"/>
  <c r="R439" s="1"/>
  <c r="AI439" s="1"/>
  <c r="AM439" s="1"/>
  <c r="AP439" s="1"/>
  <c r="Q451"/>
  <c r="R451" s="1"/>
  <c r="AI451" s="1"/>
  <c r="AM451" s="1"/>
  <c r="AP451" s="1"/>
  <c r="Q463"/>
  <c r="R463" s="1"/>
  <c r="Q475"/>
  <c r="R475" s="1"/>
  <c r="AI475" s="1"/>
  <c r="AM475" s="1"/>
  <c r="AP475" s="1"/>
  <c r="Q391"/>
  <c r="R391" s="1"/>
  <c r="W91" i="49"/>
  <c r="X91" s="1"/>
  <c r="X99" s="1"/>
  <c r="Q209" i="50"/>
  <c r="R209" s="1"/>
  <c r="Q403"/>
  <c r="R403"/>
  <c r="Q415"/>
  <c r="R415"/>
  <c r="Q427"/>
  <c r="R427"/>
  <c r="Q233"/>
  <c r="R233"/>
  <c r="Q269"/>
  <c r="R269"/>
  <c r="Q281"/>
  <c r="R281"/>
  <c r="Q499"/>
  <c r="R499"/>
  <c r="Q511"/>
  <c r="R511"/>
  <c r="Q523"/>
  <c r="R523"/>
  <c r="Q535"/>
  <c r="R535" s="1"/>
  <c r="AI535" s="1"/>
  <c r="AM535" s="1"/>
  <c r="AP535" s="1"/>
  <c r="Q547"/>
  <c r="R547" s="1"/>
  <c r="Q221"/>
  <c r="R221" s="1"/>
  <c r="AI221" s="1"/>
  <c r="AM221" s="1"/>
  <c r="AP221" s="1"/>
  <c r="Q245"/>
  <c r="R245" s="1"/>
  <c r="AI245" s="1"/>
  <c r="AM245" s="1"/>
  <c r="AP245" s="1"/>
  <c r="Q257"/>
  <c r="R257" s="1"/>
  <c r="AI257" s="1"/>
  <c r="AM257" s="1"/>
  <c r="AP257" s="1"/>
  <c r="Q293"/>
  <c r="R293" s="1"/>
  <c r="Q305"/>
  <c r="R305" s="1"/>
  <c r="AI305" s="1"/>
  <c r="AM305" s="1"/>
  <c r="AP305" s="1"/>
  <c r="Q317"/>
  <c r="R317" s="1"/>
  <c r="Q329"/>
  <c r="R329" s="1"/>
  <c r="V99" i="49"/>
  <c r="Q487" i="50"/>
  <c r="R487"/>
  <c r="Q376"/>
  <c r="R376"/>
  <c r="W88" i="49"/>
  <c r="Q412" i="50"/>
  <c r="Q206"/>
  <c r="Q388"/>
  <c r="Q400"/>
  <c r="R400"/>
  <c r="V98" i="49"/>
  <c r="Q218" i="50"/>
  <c r="R218" s="1"/>
  <c r="AI218" s="1"/>
  <c r="AM218" s="1"/>
  <c r="AP218" s="1"/>
  <c r="Q194"/>
  <c r="R194" s="1"/>
  <c r="AI194" s="1"/>
  <c r="AM194" s="1"/>
  <c r="AP194" s="1"/>
  <c r="Q424"/>
  <c r="R424" s="1"/>
  <c r="AI424" s="1"/>
  <c r="AM424" s="1"/>
  <c r="AP424" s="1"/>
  <c r="V97" i="49"/>
  <c r="Q230" i="50"/>
  <c r="R230"/>
  <c r="Q242"/>
  <c r="R242"/>
  <c r="Q254"/>
  <c r="R254"/>
  <c r="N14"/>
  <c r="N26"/>
  <c r="T43" i="49"/>
  <c r="N62" i="50"/>
  <c r="N74"/>
  <c r="N110"/>
  <c r="S51" i="49"/>
  <c r="N38" i="50"/>
  <c r="N50"/>
  <c r="N86"/>
  <c r="N98"/>
  <c r="N122"/>
  <c r="AI523"/>
  <c r="AM523"/>
  <c r="AP523" s="1"/>
  <c r="AI499"/>
  <c r="AM499" s="1"/>
  <c r="AP499" s="1"/>
  <c r="AI281"/>
  <c r="AM281" s="1"/>
  <c r="AP281" s="1"/>
  <c r="AI242"/>
  <c r="AM242" s="1"/>
  <c r="AP242" s="1"/>
  <c r="V136" i="49"/>
  <c r="U144"/>
  <c r="T50"/>
  <c r="O13" i="50"/>
  <c r="O37"/>
  <c r="O85"/>
  <c r="O109"/>
  <c r="O25"/>
  <c r="O49"/>
  <c r="O61"/>
  <c r="O73"/>
  <c r="O97"/>
  <c r="O121"/>
  <c r="O133"/>
  <c r="O145"/>
  <c r="U42" i="49"/>
  <c r="Q15" i="50"/>
  <c r="W44" i="49"/>
  <c r="Q51" i="50"/>
  <c r="Q63"/>
  <c r="Q87"/>
  <c r="R87"/>
  <c r="Q123"/>
  <c r="Q27"/>
  <c r="Q39"/>
  <c r="Q75"/>
  <c r="Q99"/>
  <c r="R99"/>
  <c r="Q111"/>
  <c r="E450"/>
  <c r="H450"/>
  <c r="B462"/>
  <c r="F450"/>
  <c r="J450"/>
  <c r="L450"/>
  <c r="I450"/>
  <c r="K450"/>
  <c r="M450"/>
  <c r="N450"/>
  <c r="O450"/>
  <c r="P450"/>
  <c r="G450"/>
  <c r="AI450" s="1"/>
  <c r="AM450" s="1"/>
  <c r="AP450" s="1"/>
  <c r="Q450"/>
  <c r="R450"/>
  <c r="R65" i="49"/>
  <c r="Q68"/>
  <c r="AD10" i="26"/>
  <c r="AH10"/>
  <c r="B42" i="46"/>
  <c r="E42" s="1"/>
  <c r="A43"/>
  <c r="P52" i="50"/>
  <c r="P64"/>
  <c r="P76"/>
  <c r="P112"/>
  <c r="P136"/>
  <c r="P148"/>
  <c r="P40"/>
  <c r="P88"/>
  <c r="P100"/>
  <c r="P124"/>
  <c r="P160"/>
  <c r="V45" i="49"/>
  <c r="P16" i="50"/>
  <c r="P28"/>
  <c r="U52" i="49"/>
  <c r="AL29" i="50"/>
  <c r="A30"/>
  <c r="H10" i="69"/>
  <c r="K10" s="1"/>
  <c r="I10"/>
  <c r="K425" i="50"/>
  <c r="M425"/>
  <c r="I425"/>
  <c r="F425"/>
  <c r="B437"/>
  <c r="Q425"/>
  <c r="R425"/>
  <c r="O425"/>
  <c r="L425"/>
  <c r="E425"/>
  <c r="H425"/>
  <c r="J425"/>
  <c r="G425"/>
  <c r="N425"/>
  <c r="P425"/>
  <c r="P74" i="49"/>
  <c r="P80"/>
  <c r="P82"/>
  <c r="P79"/>
  <c r="P76"/>
  <c r="P75"/>
  <c r="P70"/>
  <c r="P81"/>
  <c r="P83"/>
  <c r="P69"/>
  <c r="P71"/>
  <c r="P73"/>
  <c r="P78"/>
  <c r="P72"/>
  <c r="P77"/>
  <c r="B464" i="50"/>
  <c r="F452"/>
  <c r="G452"/>
  <c r="E452"/>
  <c r="J452"/>
  <c r="M452"/>
  <c r="O452"/>
  <c r="N452"/>
  <c r="L452"/>
  <c r="K452"/>
  <c r="I452"/>
  <c r="H452"/>
  <c r="P452"/>
  <c r="B271"/>
  <c r="G259"/>
  <c r="L259"/>
  <c r="K259"/>
  <c r="E259"/>
  <c r="I259"/>
  <c r="N259"/>
  <c r="P259"/>
  <c r="M259"/>
  <c r="O259"/>
  <c r="Q259"/>
  <c r="R259"/>
  <c r="J259"/>
  <c r="F259"/>
  <c r="H259"/>
  <c r="B479"/>
  <c r="F467"/>
  <c r="N467"/>
  <c r="O467"/>
  <c r="P467"/>
  <c r="K467"/>
  <c r="L467"/>
  <c r="E467"/>
  <c r="I467"/>
  <c r="G467"/>
  <c r="J467"/>
  <c r="H467"/>
  <c r="M467"/>
  <c r="Q467"/>
  <c r="R467"/>
  <c r="B436"/>
  <c r="H424"/>
  <c r="G424"/>
  <c r="J424"/>
  <c r="M424"/>
  <c r="I424"/>
  <c r="K424"/>
  <c r="L424"/>
  <c r="N424"/>
  <c r="F424"/>
  <c r="E424"/>
  <c r="O424"/>
  <c r="P424"/>
  <c r="G11" i="69"/>
  <c r="F12"/>
  <c r="AI415" i="50"/>
  <c r="AM415" s="1"/>
  <c r="AP415" s="1"/>
  <c r="AI233"/>
  <c r="AM233" s="1"/>
  <c r="AP233" s="1"/>
  <c r="AI247"/>
  <c r="AM247" s="1"/>
  <c r="AP247" s="1"/>
  <c r="R206"/>
  <c r="R428"/>
  <c r="AI428" s="1"/>
  <c r="AM428" s="1"/>
  <c r="AP428" s="1"/>
  <c r="R416"/>
  <c r="AI416" s="1"/>
  <c r="AM416" s="1"/>
  <c r="AP416" s="1"/>
  <c r="R210"/>
  <c r="AI427"/>
  <c r="AM427"/>
  <c r="AP427" s="1"/>
  <c r="AI511"/>
  <c r="AM511" s="1"/>
  <c r="AP511" s="1"/>
  <c r="AI380"/>
  <c r="AM380"/>
  <c r="AP380" s="1"/>
  <c r="T51" i="49"/>
  <c r="O26" i="50"/>
  <c r="U43" i="49"/>
  <c r="O14" i="50"/>
  <c r="O38"/>
  <c r="O86"/>
  <c r="O122"/>
  <c r="O50"/>
  <c r="O62"/>
  <c r="O74"/>
  <c r="O98"/>
  <c r="O110"/>
  <c r="R388"/>
  <c r="R412"/>
  <c r="AI412"/>
  <c r="AM412" s="1"/>
  <c r="AP412" s="1"/>
  <c r="X88" i="49"/>
  <c r="W97"/>
  <c r="W98"/>
  <c r="R197" i="50"/>
  <c r="AI197" s="1"/>
  <c r="AM197" s="1"/>
  <c r="AP197" s="1"/>
  <c r="R452"/>
  <c r="AI452" s="1"/>
  <c r="AM452" s="1"/>
  <c r="AP452" s="1"/>
  <c r="W99" i="49"/>
  <c r="X92"/>
  <c r="AI230" i="50"/>
  <c r="AM230" s="1"/>
  <c r="AP230" s="1"/>
  <c r="AI403"/>
  <c r="AM403" s="1"/>
  <c r="AP403" s="1"/>
  <c r="AI487"/>
  <c r="AM487"/>
  <c r="AP487" s="1"/>
  <c r="AI269"/>
  <c r="AM269" s="1"/>
  <c r="AP269" s="1"/>
  <c r="AI400"/>
  <c r="AM400" s="1"/>
  <c r="AP400" s="1"/>
  <c r="AI376"/>
  <c r="AM376"/>
  <c r="AP376" s="1"/>
  <c r="AI379"/>
  <c r="AM379" s="1"/>
  <c r="AP379" s="1"/>
  <c r="R39"/>
  <c r="AI39" s="1"/>
  <c r="AM39" s="1"/>
  <c r="R123"/>
  <c r="R63"/>
  <c r="AI63"/>
  <c r="AM63" s="1"/>
  <c r="AP63" s="1"/>
  <c r="X44" i="49"/>
  <c r="AI87" i="50"/>
  <c r="AM87"/>
  <c r="AP87" s="1"/>
  <c r="R111"/>
  <c r="R75"/>
  <c r="AI75"/>
  <c r="AM75" s="1"/>
  <c r="AP75" s="1"/>
  <c r="R27"/>
  <c r="AI27"/>
  <c r="AM27" s="1"/>
  <c r="R51"/>
  <c r="AI51" s="1"/>
  <c r="AM51" s="1"/>
  <c r="R15"/>
  <c r="AI15"/>
  <c r="AM15" s="1"/>
  <c r="AP15" s="1"/>
  <c r="P25"/>
  <c r="P13"/>
  <c r="P73"/>
  <c r="P97"/>
  <c r="P49"/>
  <c r="P121"/>
  <c r="U50" i="49"/>
  <c r="V42"/>
  <c r="P61" i="50"/>
  <c r="P85"/>
  <c r="P133"/>
  <c r="P37"/>
  <c r="P109"/>
  <c r="P145"/>
  <c r="W136" i="49"/>
  <c r="V144"/>
  <c r="F13" i="69"/>
  <c r="G12"/>
  <c r="B448" i="50"/>
  <c r="I436"/>
  <c r="J436"/>
  <c r="K436"/>
  <c r="L436"/>
  <c r="O436"/>
  <c r="H436"/>
  <c r="F436"/>
  <c r="G436"/>
  <c r="N436"/>
  <c r="E436"/>
  <c r="M436"/>
  <c r="P436"/>
  <c r="Q436"/>
  <c r="R436" s="1"/>
  <c r="AI436" s="1"/>
  <c r="AM436" s="1"/>
  <c r="AP436" s="1"/>
  <c r="B491"/>
  <c r="H479"/>
  <c r="L479"/>
  <c r="F479"/>
  <c r="M479"/>
  <c r="J479"/>
  <c r="N479"/>
  <c r="O479"/>
  <c r="G479"/>
  <c r="I479"/>
  <c r="K479"/>
  <c r="E479"/>
  <c r="P479"/>
  <c r="Q479"/>
  <c r="R479" s="1"/>
  <c r="H271"/>
  <c r="F271"/>
  <c r="G271"/>
  <c r="K271"/>
  <c r="B283"/>
  <c r="J271"/>
  <c r="I271"/>
  <c r="E271"/>
  <c r="L271"/>
  <c r="O271"/>
  <c r="M271"/>
  <c r="N271"/>
  <c r="P271"/>
  <c r="Q271"/>
  <c r="R271" s="1"/>
  <c r="B449"/>
  <c r="L437"/>
  <c r="E437"/>
  <c r="G437"/>
  <c r="M437"/>
  <c r="Q437"/>
  <c r="R437"/>
  <c r="P437"/>
  <c r="H437"/>
  <c r="F437"/>
  <c r="K437"/>
  <c r="I437"/>
  <c r="J437"/>
  <c r="O437"/>
  <c r="N437"/>
  <c r="W45" i="49"/>
  <c r="Q40" i="50"/>
  <c r="R40"/>
  <c r="AI40" s="1"/>
  <c r="AM40" s="1"/>
  <c r="AP40" s="1"/>
  <c r="Q76"/>
  <c r="R76"/>
  <c r="Q100"/>
  <c r="R100"/>
  <c r="Q148"/>
  <c r="R148"/>
  <c r="Q64"/>
  <c r="R64"/>
  <c r="AI64" s="1"/>
  <c r="AM64" s="1"/>
  <c r="AP64" s="1"/>
  <c r="Q136"/>
  <c r="R136"/>
  <c r="Q28"/>
  <c r="R28" s="1"/>
  <c r="Q52"/>
  <c r="Q88"/>
  <c r="R88"/>
  <c r="Q112"/>
  <c r="R112"/>
  <c r="AI112" s="1"/>
  <c r="AM112" s="1"/>
  <c r="AP112" s="1"/>
  <c r="Q160"/>
  <c r="R160" s="1"/>
  <c r="Q16"/>
  <c r="R16" s="1"/>
  <c r="AI16" s="1"/>
  <c r="AM16" s="1"/>
  <c r="Q124"/>
  <c r="R124" s="1"/>
  <c r="V52" i="49"/>
  <c r="A44" i="46"/>
  <c r="B43"/>
  <c r="E43" s="1"/>
  <c r="R68" i="49"/>
  <c r="S65"/>
  <c r="B474" i="50"/>
  <c r="G462"/>
  <c r="F462"/>
  <c r="M462"/>
  <c r="E462"/>
  <c r="I462"/>
  <c r="L462"/>
  <c r="N462"/>
  <c r="O462"/>
  <c r="P462"/>
  <c r="K462"/>
  <c r="H462"/>
  <c r="J462"/>
  <c r="Q462"/>
  <c r="R462"/>
  <c r="AI259"/>
  <c r="AM259" s="1"/>
  <c r="AP259" s="1"/>
  <c r="I11" i="69"/>
  <c r="H11"/>
  <c r="K11" s="1"/>
  <c r="B476" i="50"/>
  <c r="E464"/>
  <c r="I464"/>
  <c r="H464"/>
  <c r="F464"/>
  <c r="M464"/>
  <c r="N464"/>
  <c r="O464"/>
  <c r="J464"/>
  <c r="L464"/>
  <c r="K464"/>
  <c r="G464"/>
  <c r="P464"/>
  <c r="Q464"/>
  <c r="R464" s="1"/>
  <c r="A31"/>
  <c r="AL31" s="1"/>
  <c r="AL30"/>
  <c r="AE10" i="26"/>
  <c r="AE32" s="1"/>
  <c r="Q82" i="49"/>
  <c r="Q83"/>
  <c r="Q80"/>
  <c r="Q75"/>
  <c r="Q74"/>
  <c r="Q77"/>
  <c r="Q81"/>
  <c r="Q72"/>
  <c r="Q73"/>
  <c r="Q69"/>
  <c r="Q79"/>
  <c r="Q78"/>
  <c r="Q71"/>
  <c r="Q70"/>
  <c r="Q76"/>
  <c r="AI425" i="50"/>
  <c r="AM425"/>
  <c r="AP425" s="1"/>
  <c r="AI88"/>
  <c r="AM88" s="1"/>
  <c r="AP88" s="1"/>
  <c r="V43" i="49"/>
  <c r="P14" i="50"/>
  <c r="P26"/>
  <c r="P50"/>
  <c r="P62"/>
  <c r="P74"/>
  <c r="P86"/>
  <c r="P98"/>
  <c r="P122"/>
  <c r="U51" i="49"/>
  <c r="P38" i="50"/>
  <c r="P110"/>
  <c r="X98" i="49"/>
  <c r="AP51" i="50"/>
  <c r="AP39"/>
  <c r="AP27"/>
  <c r="W144" i="49"/>
  <c r="X136"/>
  <c r="W42"/>
  <c r="Q25" i="50"/>
  <c r="Q13"/>
  <c r="R13"/>
  <c r="AI13" s="1"/>
  <c r="AM13"/>
  <c r="Q37"/>
  <c r="Q121"/>
  <c r="R121" s="1"/>
  <c r="Q145"/>
  <c r="R145"/>
  <c r="Q49"/>
  <c r="R49" s="1"/>
  <c r="V50" i="49"/>
  <c r="Q61" i="50"/>
  <c r="Q109"/>
  <c r="Q73"/>
  <c r="R73"/>
  <c r="AI73" s="1"/>
  <c r="AM73"/>
  <c r="AP73" s="1"/>
  <c r="Q85"/>
  <c r="R85" s="1"/>
  <c r="AI85"/>
  <c r="AM85" s="1"/>
  <c r="AP85" s="1"/>
  <c r="Q97"/>
  <c r="R97"/>
  <c r="Q133"/>
  <c r="AP16"/>
  <c r="B486"/>
  <c r="F474"/>
  <c r="J474"/>
  <c r="L474"/>
  <c r="M474"/>
  <c r="I474"/>
  <c r="E474"/>
  <c r="O474"/>
  <c r="N474"/>
  <c r="P474"/>
  <c r="G474"/>
  <c r="K474"/>
  <c r="H474"/>
  <c r="Q474"/>
  <c r="R474" s="1"/>
  <c r="AI474" s="1"/>
  <c r="AM474" s="1"/>
  <c r="AP474" s="1"/>
  <c r="R71" i="49"/>
  <c r="R81"/>
  <c r="R72"/>
  <c r="R76"/>
  <c r="R73"/>
  <c r="R80"/>
  <c r="R70"/>
  <c r="R75"/>
  <c r="R78"/>
  <c r="R69"/>
  <c r="R74"/>
  <c r="R79"/>
  <c r="R77"/>
  <c r="R83"/>
  <c r="R82"/>
  <c r="A45" i="46"/>
  <c r="B44"/>
  <c r="E44" s="1"/>
  <c r="R52" i="50"/>
  <c r="AI52" s="1"/>
  <c r="AM52" s="1"/>
  <c r="AP52" s="1"/>
  <c r="B503"/>
  <c r="M491"/>
  <c r="F491"/>
  <c r="K491"/>
  <c r="G491"/>
  <c r="P491"/>
  <c r="N491"/>
  <c r="J491"/>
  <c r="O491"/>
  <c r="E491"/>
  <c r="L491"/>
  <c r="I491"/>
  <c r="H491"/>
  <c r="Q491"/>
  <c r="R491"/>
  <c r="B460"/>
  <c r="F448"/>
  <c r="H448"/>
  <c r="G448"/>
  <c r="I448"/>
  <c r="K448"/>
  <c r="M448"/>
  <c r="N448"/>
  <c r="J448"/>
  <c r="L448"/>
  <c r="O448"/>
  <c r="E448"/>
  <c r="P448"/>
  <c r="Q448"/>
  <c r="R448" s="1"/>
  <c r="AI448" s="1"/>
  <c r="AM448" s="1"/>
  <c r="AP448" s="1"/>
  <c r="F14" i="69"/>
  <c r="G13"/>
  <c r="AI271" i="50"/>
  <c r="AM271" s="1"/>
  <c r="AP271" s="1"/>
  <c r="AE85" i="26"/>
  <c r="AE44"/>
  <c r="AE76"/>
  <c r="AE33"/>
  <c r="AB37"/>
  <c r="B488" i="50"/>
  <c r="G476"/>
  <c r="I476"/>
  <c r="K476"/>
  <c r="E476"/>
  <c r="M476"/>
  <c r="H476"/>
  <c r="F476"/>
  <c r="J476"/>
  <c r="L476"/>
  <c r="N476"/>
  <c r="O476"/>
  <c r="P476"/>
  <c r="Q476"/>
  <c r="R476" s="1"/>
  <c r="AI476" s="1"/>
  <c r="AM476" s="1"/>
  <c r="AP476" s="1"/>
  <c r="T65" i="49"/>
  <c r="S68"/>
  <c r="X45"/>
  <c r="X52" s="1"/>
  <c r="W52"/>
  <c r="B461" i="50"/>
  <c r="I449"/>
  <c r="K449"/>
  <c r="G449"/>
  <c r="L449"/>
  <c r="O449"/>
  <c r="Q449"/>
  <c r="R449"/>
  <c r="H449"/>
  <c r="F449"/>
  <c r="E449"/>
  <c r="J449"/>
  <c r="M449"/>
  <c r="P449"/>
  <c r="N449"/>
  <c r="K283"/>
  <c r="F283"/>
  <c r="H283"/>
  <c r="G283"/>
  <c r="M283"/>
  <c r="O283"/>
  <c r="P283"/>
  <c r="Q283"/>
  <c r="R283" s="1"/>
  <c r="AI283" s="1"/>
  <c r="AM283" s="1"/>
  <c r="AP283" s="1"/>
  <c r="B295"/>
  <c r="I283"/>
  <c r="J283"/>
  <c r="E283"/>
  <c r="L283"/>
  <c r="N283"/>
  <c r="I12" i="69"/>
  <c r="H12"/>
  <c r="K12" s="1"/>
  <c r="AI437" i="50"/>
  <c r="AM437" s="1"/>
  <c r="AP437" s="1"/>
  <c r="AI479"/>
  <c r="AM479" s="1"/>
  <c r="AP479" s="1"/>
  <c r="AI76"/>
  <c r="AM76"/>
  <c r="AP76" s="1"/>
  <c r="AI124"/>
  <c r="AM124" s="1"/>
  <c r="AP124" s="1"/>
  <c r="Q14"/>
  <c r="R14" s="1"/>
  <c r="AI14" s="1"/>
  <c r="AM14" s="1"/>
  <c r="Q50"/>
  <c r="Q98"/>
  <c r="R98"/>
  <c r="Q110"/>
  <c r="Q26"/>
  <c r="Q38"/>
  <c r="R38"/>
  <c r="AI38" s="1"/>
  <c r="AM38" s="1"/>
  <c r="AP38" s="1"/>
  <c r="Q62"/>
  <c r="R62"/>
  <c r="AI62" s="1"/>
  <c r="AM62" s="1"/>
  <c r="AP62" s="1"/>
  <c r="Q74"/>
  <c r="Q86"/>
  <c r="R86"/>
  <c r="AI86"/>
  <c r="AM86" s="1"/>
  <c r="AP86" s="1"/>
  <c r="Q122"/>
  <c r="W43" i="49"/>
  <c r="V51"/>
  <c r="R19" i="3"/>
  <c r="AP13" i="50"/>
  <c r="L46" i="52"/>
  <c r="R17" i="3"/>
  <c r="R9" i="65"/>
  <c r="R17"/>
  <c r="R9" i="3"/>
  <c r="R11"/>
  <c r="R19" i="65"/>
  <c r="M40" i="26"/>
  <c r="R11" i="65"/>
  <c r="R61" i="50"/>
  <c r="AI61"/>
  <c r="AM61" s="1"/>
  <c r="AP61" s="1"/>
  <c r="X42" i="49"/>
  <c r="X50" s="1"/>
  <c r="W50"/>
  <c r="R133" i="50"/>
  <c r="R109"/>
  <c r="AI109"/>
  <c r="AM109" s="1"/>
  <c r="AP109" s="1"/>
  <c r="R37"/>
  <c r="AI37"/>
  <c r="AM37" s="1"/>
  <c r="AP37" s="1"/>
  <c r="R25"/>
  <c r="B307"/>
  <c r="H295"/>
  <c r="I295"/>
  <c r="L295"/>
  <c r="F295"/>
  <c r="P295"/>
  <c r="Q295"/>
  <c r="R295" s="1"/>
  <c r="AI295" s="1"/>
  <c r="AM295" s="1"/>
  <c r="AP295" s="1"/>
  <c r="M295"/>
  <c r="E295"/>
  <c r="J295"/>
  <c r="K295"/>
  <c r="G295"/>
  <c r="N295"/>
  <c r="O295"/>
  <c r="H461"/>
  <c r="I461"/>
  <c r="M461"/>
  <c r="E461"/>
  <c r="L461"/>
  <c r="N461"/>
  <c r="Q461"/>
  <c r="R461"/>
  <c r="O461"/>
  <c r="B473"/>
  <c r="K461"/>
  <c r="F461"/>
  <c r="G461"/>
  <c r="J461"/>
  <c r="P461"/>
  <c r="U65" i="49"/>
  <c r="T68"/>
  <c r="B500" i="50"/>
  <c r="E488"/>
  <c r="I488"/>
  <c r="H488"/>
  <c r="M488"/>
  <c r="F488"/>
  <c r="G488"/>
  <c r="N488"/>
  <c r="K488"/>
  <c r="O488"/>
  <c r="J488"/>
  <c r="L488"/>
  <c r="P488"/>
  <c r="Q488"/>
  <c r="R488" s="1"/>
  <c r="AI488" s="1"/>
  <c r="AM488" s="1"/>
  <c r="AP488" s="1"/>
  <c r="AB70" i="26"/>
  <c r="H13" i="69"/>
  <c r="I13"/>
  <c r="K13" s="1"/>
  <c r="B498" i="50"/>
  <c r="J486"/>
  <c r="F486"/>
  <c r="G486"/>
  <c r="K486"/>
  <c r="E486"/>
  <c r="I486"/>
  <c r="H486"/>
  <c r="L486"/>
  <c r="M486"/>
  <c r="O486"/>
  <c r="N486"/>
  <c r="P486"/>
  <c r="Q486"/>
  <c r="R486" s="1"/>
  <c r="AI486" s="1"/>
  <c r="AM486" s="1"/>
  <c r="AP486" s="1"/>
  <c r="AI491"/>
  <c r="AM491"/>
  <c r="AP491" s="1"/>
  <c r="S78" i="49"/>
  <c r="S81"/>
  <c r="S74"/>
  <c r="S69"/>
  <c r="S75"/>
  <c r="S79"/>
  <c r="S76"/>
  <c r="S80"/>
  <c r="S70"/>
  <c r="S82"/>
  <c r="S71"/>
  <c r="S83"/>
  <c r="S72"/>
  <c r="S77"/>
  <c r="S73"/>
  <c r="G14" i="69"/>
  <c r="F15"/>
  <c r="B472" i="50"/>
  <c r="E460"/>
  <c r="I460"/>
  <c r="J460"/>
  <c r="L460"/>
  <c r="G460"/>
  <c r="H460"/>
  <c r="K460"/>
  <c r="M460"/>
  <c r="O460"/>
  <c r="N460"/>
  <c r="F460"/>
  <c r="P460"/>
  <c r="Q460"/>
  <c r="R460" s="1"/>
  <c r="B515"/>
  <c r="L503"/>
  <c r="J503"/>
  <c r="P503"/>
  <c r="E503"/>
  <c r="H503"/>
  <c r="O503"/>
  <c r="M503"/>
  <c r="I503"/>
  <c r="G503"/>
  <c r="K503"/>
  <c r="F503"/>
  <c r="N503"/>
  <c r="AI503" s="1"/>
  <c r="AM503" s="1"/>
  <c r="AP503" s="1"/>
  <c r="Q503"/>
  <c r="R503"/>
  <c r="A46" i="46"/>
  <c r="B45"/>
  <c r="E45"/>
  <c r="AI449" i="50"/>
  <c r="AM449"/>
  <c r="AP449" s="1"/>
  <c r="R122"/>
  <c r="R74"/>
  <c r="AI74"/>
  <c r="AM74" s="1"/>
  <c r="AP74" s="1"/>
  <c r="X43" i="49"/>
  <c r="X51" s="1"/>
  <c r="W51"/>
  <c r="R26" i="50"/>
  <c r="R110"/>
  <c r="R50"/>
  <c r="AI50"/>
  <c r="AM50" s="1"/>
  <c r="AP50" s="1"/>
  <c r="B46" i="46"/>
  <c r="E46"/>
  <c r="A47"/>
  <c r="B47"/>
  <c r="E47" s="1"/>
  <c r="B527" i="50"/>
  <c r="F515"/>
  <c r="H515"/>
  <c r="E515"/>
  <c r="I515"/>
  <c r="M515"/>
  <c r="N515"/>
  <c r="K515"/>
  <c r="G515"/>
  <c r="P515"/>
  <c r="J515"/>
  <c r="O515"/>
  <c r="L515"/>
  <c r="Q515"/>
  <c r="R515"/>
  <c r="B484"/>
  <c r="H472"/>
  <c r="I472"/>
  <c r="E472"/>
  <c r="G472"/>
  <c r="K472"/>
  <c r="F472"/>
  <c r="J472"/>
  <c r="L472"/>
  <c r="M472"/>
  <c r="O472"/>
  <c r="N472"/>
  <c r="P472"/>
  <c r="Q472"/>
  <c r="R472" s="1"/>
  <c r="AI472" s="1"/>
  <c r="AM472" s="1"/>
  <c r="AP472" s="1"/>
  <c r="H14" i="69"/>
  <c r="K14" s="1"/>
  <c r="I14"/>
  <c r="B512" i="50"/>
  <c r="H500"/>
  <c r="I500"/>
  <c r="G500"/>
  <c r="K500"/>
  <c r="F500"/>
  <c r="L500"/>
  <c r="J500"/>
  <c r="E500"/>
  <c r="N500"/>
  <c r="O500"/>
  <c r="M500"/>
  <c r="P500"/>
  <c r="Q500"/>
  <c r="R500"/>
  <c r="V65" i="49"/>
  <c r="U68"/>
  <c r="I473" i="50"/>
  <c r="J473"/>
  <c r="G473"/>
  <c r="F473"/>
  <c r="L473"/>
  <c r="N473"/>
  <c r="Q473"/>
  <c r="R473"/>
  <c r="B485"/>
  <c r="H473"/>
  <c r="E473"/>
  <c r="K473"/>
  <c r="M473"/>
  <c r="O473"/>
  <c r="P473"/>
  <c r="B319"/>
  <c r="G307"/>
  <c r="M307"/>
  <c r="H307"/>
  <c r="K307"/>
  <c r="N307"/>
  <c r="Q307"/>
  <c r="R307" s="1"/>
  <c r="AI307" s="1"/>
  <c r="AM307" s="1"/>
  <c r="AP307" s="1"/>
  <c r="O307"/>
  <c r="F307"/>
  <c r="E307"/>
  <c r="J307"/>
  <c r="L307"/>
  <c r="I307"/>
  <c r="P307"/>
  <c r="F16" i="69"/>
  <c r="G15"/>
  <c r="B510" i="50"/>
  <c r="L498"/>
  <c r="J498"/>
  <c r="E498"/>
  <c r="H498"/>
  <c r="I498"/>
  <c r="G498"/>
  <c r="F498"/>
  <c r="M498"/>
  <c r="N498"/>
  <c r="O498"/>
  <c r="P498"/>
  <c r="K498"/>
  <c r="Q498"/>
  <c r="R498"/>
  <c r="AI498"/>
  <c r="AM498" s="1"/>
  <c r="AP498" s="1"/>
  <c r="T78" i="49"/>
  <c r="T77"/>
  <c r="T79"/>
  <c r="T73"/>
  <c r="T75"/>
  <c r="T81"/>
  <c r="T80"/>
  <c r="T76"/>
  <c r="T69"/>
  <c r="T83"/>
  <c r="T72"/>
  <c r="T70"/>
  <c r="T82"/>
  <c r="T71"/>
  <c r="T74"/>
  <c r="B522" i="50"/>
  <c r="F510"/>
  <c r="H510"/>
  <c r="E510"/>
  <c r="I510"/>
  <c r="M510"/>
  <c r="L510"/>
  <c r="K510"/>
  <c r="G510"/>
  <c r="J510"/>
  <c r="N510"/>
  <c r="P510"/>
  <c r="O510"/>
  <c r="Q510"/>
  <c r="R510"/>
  <c r="I15" i="69"/>
  <c r="H15"/>
  <c r="K15" s="1"/>
  <c r="K485" i="50"/>
  <c r="I485"/>
  <c r="B497"/>
  <c r="H485"/>
  <c r="L485"/>
  <c r="N485"/>
  <c r="P485"/>
  <c r="J485"/>
  <c r="G485"/>
  <c r="M485"/>
  <c r="F485"/>
  <c r="E485"/>
  <c r="Q485"/>
  <c r="R485" s="1"/>
  <c r="AI485" s="1"/>
  <c r="AM485" s="1"/>
  <c r="AP485" s="1"/>
  <c r="O485"/>
  <c r="U74" i="49"/>
  <c r="U82"/>
  <c r="U77"/>
  <c r="U69"/>
  <c r="U80"/>
  <c r="U73"/>
  <c r="U70"/>
  <c r="U72"/>
  <c r="U71"/>
  <c r="U81"/>
  <c r="U78"/>
  <c r="U75"/>
  <c r="U79"/>
  <c r="U76"/>
  <c r="U83"/>
  <c r="B496" i="50"/>
  <c r="K484"/>
  <c r="E484"/>
  <c r="I484"/>
  <c r="H484"/>
  <c r="L484"/>
  <c r="J484"/>
  <c r="F484"/>
  <c r="G484"/>
  <c r="N484"/>
  <c r="O484"/>
  <c r="M484"/>
  <c r="P484"/>
  <c r="Q484"/>
  <c r="R484"/>
  <c r="B539"/>
  <c r="L527"/>
  <c r="F527"/>
  <c r="M527"/>
  <c r="I527"/>
  <c r="E527"/>
  <c r="O527"/>
  <c r="K527"/>
  <c r="Q527"/>
  <c r="R527"/>
  <c r="N527"/>
  <c r="H527"/>
  <c r="J527"/>
  <c r="P527"/>
  <c r="G527"/>
  <c r="AI473"/>
  <c r="AM473"/>
  <c r="AP473" s="1"/>
  <c r="F17" i="69"/>
  <c r="G16"/>
  <c r="B331" i="50"/>
  <c r="G319"/>
  <c r="M319"/>
  <c r="I319"/>
  <c r="H319"/>
  <c r="F319"/>
  <c r="O319"/>
  <c r="L319"/>
  <c r="N319"/>
  <c r="E319"/>
  <c r="K319"/>
  <c r="J319"/>
  <c r="P319"/>
  <c r="Q319"/>
  <c r="R319" s="1"/>
  <c r="AI319" s="1"/>
  <c r="AM319" s="1"/>
  <c r="AP319" s="1"/>
  <c r="W65" i="49"/>
  <c r="V68"/>
  <c r="B524" i="50"/>
  <c r="K512"/>
  <c r="G512"/>
  <c r="J512"/>
  <c r="F512"/>
  <c r="H512"/>
  <c r="E512"/>
  <c r="I512"/>
  <c r="M512"/>
  <c r="N512"/>
  <c r="L512"/>
  <c r="O512"/>
  <c r="P512"/>
  <c r="Q512"/>
  <c r="R512"/>
  <c r="AI500"/>
  <c r="AM500"/>
  <c r="AP500" s="1"/>
  <c r="AI515"/>
  <c r="AM515"/>
  <c r="AP515" s="1"/>
  <c r="V81" i="49"/>
  <c r="V76"/>
  <c r="V80"/>
  <c r="V75"/>
  <c r="V72"/>
  <c r="V77"/>
  <c r="V82"/>
  <c r="V78"/>
  <c r="V69"/>
  <c r="V79"/>
  <c r="V74"/>
  <c r="V70"/>
  <c r="V83"/>
  <c r="V71"/>
  <c r="V73"/>
  <c r="I16" i="69"/>
  <c r="H16"/>
  <c r="K16"/>
  <c r="B551" i="50"/>
  <c r="F539"/>
  <c r="P539"/>
  <c r="M539"/>
  <c r="E539"/>
  <c r="K539"/>
  <c r="J539"/>
  <c r="I539"/>
  <c r="G539"/>
  <c r="O539"/>
  <c r="H539"/>
  <c r="N539"/>
  <c r="L539"/>
  <c r="Q539"/>
  <c r="R539"/>
  <c r="B508"/>
  <c r="H496"/>
  <c r="I496"/>
  <c r="G496"/>
  <c r="F496"/>
  <c r="L496"/>
  <c r="J496"/>
  <c r="E496"/>
  <c r="K496"/>
  <c r="O496"/>
  <c r="M496"/>
  <c r="N496"/>
  <c r="P496"/>
  <c r="Q496"/>
  <c r="R496" s="1"/>
  <c r="AI496" s="1"/>
  <c r="AM496" s="1"/>
  <c r="AP496" s="1"/>
  <c r="B534"/>
  <c r="L522"/>
  <c r="F522"/>
  <c r="K522"/>
  <c r="I522"/>
  <c r="E522"/>
  <c r="M522"/>
  <c r="H522"/>
  <c r="J522"/>
  <c r="G522"/>
  <c r="N522"/>
  <c r="O522"/>
  <c r="P522"/>
  <c r="Q522"/>
  <c r="R522"/>
  <c r="AI512"/>
  <c r="AM512" s="1"/>
  <c r="AP512" s="1"/>
  <c r="AI527"/>
  <c r="AM527" s="1"/>
  <c r="AP527" s="1"/>
  <c r="AI484"/>
  <c r="AM484"/>
  <c r="AP484" s="1"/>
  <c r="B536"/>
  <c r="I524"/>
  <c r="E524"/>
  <c r="AI524" s="1"/>
  <c r="AM524" s="1"/>
  <c r="AP524" s="1"/>
  <c r="F524"/>
  <c r="M524"/>
  <c r="H524"/>
  <c r="J524"/>
  <c r="G524"/>
  <c r="L524"/>
  <c r="K524"/>
  <c r="O524"/>
  <c r="N524"/>
  <c r="P524"/>
  <c r="Q524"/>
  <c r="R524"/>
  <c r="X65" i="49"/>
  <c r="X68" s="1"/>
  <c r="W68"/>
  <c r="B343" i="50"/>
  <c r="E331"/>
  <c r="H331"/>
  <c r="P331"/>
  <c r="L331"/>
  <c r="I331"/>
  <c r="O331"/>
  <c r="F331"/>
  <c r="K331"/>
  <c r="J331"/>
  <c r="Q331"/>
  <c r="R331"/>
  <c r="N331"/>
  <c r="G331"/>
  <c r="M331"/>
  <c r="F18" i="69"/>
  <c r="G18" s="1"/>
  <c r="G17"/>
  <c r="I17" s="1"/>
  <c r="L497" i="50"/>
  <c r="M497"/>
  <c r="H497"/>
  <c r="K497"/>
  <c r="F497"/>
  <c r="O497"/>
  <c r="Q497"/>
  <c r="R497"/>
  <c r="B509"/>
  <c r="G497"/>
  <c r="E497"/>
  <c r="J497"/>
  <c r="I497"/>
  <c r="N497"/>
  <c r="P497"/>
  <c r="AI510"/>
  <c r="AM510" s="1"/>
  <c r="AP510" s="1"/>
  <c r="H17" i="69"/>
  <c r="M343" i="50"/>
  <c r="H343"/>
  <c r="G343"/>
  <c r="N343"/>
  <c r="E343"/>
  <c r="K343"/>
  <c r="Q343"/>
  <c r="R343" s="1"/>
  <c r="O343"/>
  <c r="B355"/>
  <c r="I343"/>
  <c r="L343"/>
  <c r="J343"/>
  <c r="F343"/>
  <c r="P343"/>
  <c r="B548"/>
  <c r="K536"/>
  <c r="J536"/>
  <c r="I536"/>
  <c r="G536"/>
  <c r="AI536" s="1"/>
  <c r="AM536" s="1"/>
  <c r="AP536" s="1"/>
  <c r="H536"/>
  <c r="L536"/>
  <c r="F536"/>
  <c r="M536"/>
  <c r="E536"/>
  <c r="N536"/>
  <c r="O536"/>
  <c r="P536"/>
  <c r="Q536"/>
  <c r="R536"/>
  <c r="B520"/>
  <c r="K508"/>
  <c r="G508"/>
  <c r="J508"/>
  <c r="F508"/>
  <c r="H508"/>
  <c r="E508"/>
  <c r="I508"/>
  <c r="M508"/>
  <c r="L508"/>
  <c r="N508"/>
  <c r="O508"/>
  <c r="P508"/>
  <c r="Q508"/>
  <c r="R508"/>
  <c r="O551"/>
  <c r="I551"/>
  <c r="L551"/>
  <c r="M551"/>
  <c r="H551"/>
  <c r="F551"/>
  <c r="N551"/>
  <c r="G551"/>
  <c r="K551"/>
  <c r="E551"/>
  <c r="P551"/>
  <c r="J551"/>
  <c r="Q551"/>
  <c r="R551"/>
  <c r="AI522"/>
  <c r="AM522"/>
  <c r="AP522" s="1"/>
  <c r="AI539"/>
  <c r="AM539" s="1"/>
  <c r="AP539" s="1"/>
  <c r="F509"/>
  <c r="J509"/>
  <c r="L509"/>
  <c r="G509"/>
  <c r="E509"/>
  <c r="Q509"/>
  <c r="R509" s="1"/>
  <c r="AI509" s="1"/>
  <c r="AM509" s="1"/>
  <c r="AP509" s="1"/>
  <c r="O509"/>
  <c r="H509"/>
  <c r="I509"/>
  <c r="B521"/>
  <c r="K509"/>
  <c r="M509"/>
  <c r="N509"/>
  <c r="P509"/>
  <c r="W71" i="49"/>
  <c r="W72"/>
  <c r="W69"/>
  <c r="W73"/>
  <c r="W81"/>
  <c r="W77"/>
  <c r="W75"/>
  <c r="W78"/>
  <c r="W74"/>
  <c r="W70"/>
  <c r="W82"/>
  <c r="W79"/>
  <c r="W83"/>
  <c r="W76"/>
  <c r="W80"/>
  <c r="B546" i="50"/>
  <c r="F534"/>
  <c r="M534"/>
  <c r="E534"/>
  <c r="K534"/>
  <c r="J534"/>
  <c r="I534"/>
  <c r="G534"/>
  <c r="H534"/>
  <c r="L534"/>
  <c r="N534"/>
  <c r="O534"/>
  <c r="P534"/>
  <c r="Q534"/>
  <c r="R534"/>
  <c r="AI497"/>
  <c r="AM497"/>
  <c r="AP497" s="1"/>
  <c r="I546"/>
  <c r="L546"/>
  <c r="M546"/>
  <c r="H546"/>
  <c r="F546"/>
  <c r="G546"/>
  <c r="K546"/>
  <c r="E546"/>
  <c r="J546"/>
  <c r="O546"/>
  <c r="N546"/>
  <c r="P546"/>
  <c r="Q546"/>
  <c r="R546" s="1"/>
  <c r="G548"/>
  <c r="K548"/>
  <c r="E548"/>
  <c r="J548"/>
  <c r="I548"/>
  <c r="L548"/>
  <c r="M548"/>
  <c r="H548"/>
  <c r="F548"/>
  <c r="N548"/>
  <c r="O548"/>
  <c r="P548"/>
  <c r="Q548"/>
  <c r="R548" s="1"/>
  <c r="AI508"/>
  <c r="AM508"/>
  <c r="AP508" s="1"/>
  <c r="E521"/>
  <c r="I521"/>
  <c r="G521"/>
  <c r="L521"/>
  <c r="H521"/>
  <c r="P521"/>
  <c r="Q521"/>
  <c r="R521"/>
  <c r="K521"/>
  <c r="M521"/>
  <c r="B533"/>
  <c r="J521"/>
  <c r="F521"/>
  <c r="N521"/>
  <c r="O521"/>
  <c r="B532"/>
  <c r="I520"/>
  <c r="E520"/>
  <c r="N520"/>
  <c r="L520"/>
  <c r="M520"/>
  <c r="H520"/>
  <c r="J520"/>
  <c r="G520"/>
  <c r="F520"/>
  <c r="K520"/>
  <c r="O520"/>
  <c r="P520"/>
  <c r="Q520"/>
  <c r="R520"/>
  <c r="J355"/>
  <c r="H355"/>
  <c r="F355"/>
  <c r="K355"/>
  <c r="I355"/>
  <c r="P355"/>
  <c r="Q355"/>
  <c r="R355"/>
  <c r="O355"/>
  <c r="B367"/>
  <c r="G355"/>
  <c r="M355"/>
  <c r="L355"/>
  <c r="E355"/>
  <c r="N355"/>
  <c r="AI534"/>
  <c r="AM534" s="1"/>
  <c r="AP534" s="1"/>
  <c r="E533"/>
  <c r="I533"/>
  <c r="L533"/>
  <c r="F533"/>
  <c r="P533"/>
  <c r="Q533"/>
  <c r="R533"/>
  <c r="M533"/>
  <c r="B545"/>
  <c r="J533"/>
  <c r="G533"/>
  <c r="N533"/>
  <c r="O533"/>
  <c r="K533"/>
  <c r="H533"/>
  <c r="O367"/>
  <c r="P367"/>
  <c r="I367"/>
  <c r="N367"/>
  <c r="H367"/>
  <c r="G367"/>
  <c r="L367"/>
  <c r="M367"/>
  <c r="J367"/>
  <c r="F367"/>
  <c r="E367"/>
  <c r="K367"/>
  <c r="Q367"/>
  <c r="R367" s="1"/>
  <c r="AI367" s="1"/>
  <c r="AM367" s="1"/>
  <c r="AP367" s="1"/>
  <c r="B544"/>
  <c r="K532"/>
  <c r="J532"/>
  <c r="I532"/>
  <c r="G532"/>
  <c r="H532"/>
  <c r="N532"/>
  <c r="L532"/>
  <c r="F532"/>
  <c r="M532"/>
  <c r="E532"/>
  <c r="O532"/>
  <c r="P532"/>
  <c r="Q532"/>
  <c r="R532" s="1"/>
  <c r="AI532" s="1"/>
  <c r="AM532" s="1"/>
  <c r="AP532" s="1"/>
  <c r="AI355"/>
  <c r="AM355" s="1"/>
  <c r="AP355" s="1"/>
  <c r="AI520"/>
  <c r="AM520"/>
  <c r="AP520" s="1"/>
  <c r="AI521"/>
  <c r="AM521" s="1"/>
  <c r="AP521" s="1"/>
  <c r="N544"/>
  <c r="G544"/>
  <c r="K544"/>
  <c r="E544"/>
  <c r="J544"/>
  <c r="I544"/>
  <c r="L544"/>
  <c r="M544"/>
  <c r="H544"/>
  <c r="F544"/>
  <c r="O544"/>
  <c r="P544"/>
  <c r="Q544"/>
  <c r="R544" s="1"/>
  <c r="AI533"/>
  <c r="AM533"/>
  <c r="AP533" s="1"/>
  <c r="L545"/>
  <c r="G545"/>
  <c r="M545"/>
  <c r="N545"/>
  <c r="K545"/>
  <c r="I545"/>
  <c r="P545"/>
  <c r="J545"/>
  <c r="F545"/>
  <c r="Q545"/>
  <c r="R545"/>
  <c r="H545"/>
  <c r="E545"/>
  <c r="O545"/>
  <c r="I18" i="69" l="1"/>
  <c r="H18"/>
  <c r="K18" s="1"/>
  <c r="D51" i="58"/>
  <c r="J51" s="1"/>
  <c r="D53"/>
  <c r="J53" s="1"/>
  <c r="D54"/>
  <c r="J54" s="1"/>
  <c r="D52"/>
  <c r="J52" s="1"/>
  <c r="X77" i="49"/>
  <c r="G77" s="1"/>
  <c r="X75"/>
  <c r="G75" s="1"/>
  <c r="X73"/>
  <c r="G73" s="1"/>
  <c r="X82"/>
  <c r="G82" s="1"/>
  <c r="X72"/>
  <c r="G72" s="1"/>
  <c r="X79"/>
  <c r="G79" s="1"/>
  <c r="X78"/>
  <c r="G78" s="1"/>
  <c r="X83"/>
  <c r="G83" s="1"/>
  <c r="X69"/>
  <c r="G69" s="1"/>
  <c r="X80"/>
  <c r="G80" s="1"/>
  <c r="X81"/>
  <c r="G81" s="1"/>
  <c r="X70"/>
  <c r="G70" s="1"/>
  <c r="X74"/>
  <c r="G74" s="1"/>
  <c r="X76"/>
  <c r="G76" s="1"/>
  <c r="X71"/>
  <c r="G71" s="1"/>
  <c r="R12" i="65"/>
  <c r="R18" i="3"/>
  <c r="M41" i="26"/>
  <c r="R10" i="65"/>
  <c r="AP14" i="50"/>
  <c r="R20" i="65"/>
  <c r="R20" i="3"/>
  <c r="R10"/>
  <c r="R18" i="65"/>
  <c r="R12" i="3"/>
  <c r="L47" i="52"/>
  <c r="D48" i="58"/>
  <c r="J48" s="1"/>
  <c r="D49"/>
  <c r="J49" s="1"/>
  <c r="D50"/>
  <c r="J50" s="1"/>
  <c r="Q10" i="3"/>
  <c r="Q12" i="65"/>
  <c r="AP12" i="50"/>
  <c r="L42" i="52"/>
  <c r="Q17" i="65"/>
  <c r="Q19" i="3"/>
  <c r="Q18"/>
  <c r="L43" i="52"/>
  <c r="Q10" i="65"/>
  <c r="Q11" i="3"/>
  <c r="Q11" i="65"/>
  <c r="Q20" i="3"/>
  <c r="Q9" i="65"/>
  <c r="Q9" i="3"/>
  <c r="Q12"/>
  <c r="M36" i="26"/>
  <c r="O36" s="1"/>
  <c r="M37"/>
  <c r="Q18" i="65"/>
  <c r="Q19"/>
  <c r="Q17" i="3"/>
  <c r="Q20" i="65"/>
  <c r="AD16" i="26"/>
  <c r="AE16" s="1"/>
  <c r="AH16"/>
  <c r="AE11"/>
  <c r="AH11"/>
  <c r="Z26"/>
  <c r="AD26" s="1"/>
  <c r="AE26" s="1"/>
  <c r="Z23"/>
  <c r="AD23" s="1"/>
  <c r="AE23" s="1"/>
  <c r="K17" i="69"/>
  <c r="T54" i="50"/>
  <c r="AI53"/>
  <c r="AM53" s="1"/>
  <c r="AP53" s="1"/>
  <c r="AC209"/>
  <c r="AC210" s="1"/>
  <c r="AC211" s="1"/>
  <c r="AI208"/>
  <c r="AM208" s="1"/>
  <c r="AP208" s="1"/>
  <c r="N32" i="26"/>
  <c r="R21"/>
  <c r="I27" i="55"/>
  <c r="H27"/>
  <c r="AE18" i="26"/>
  <c r="AH18"/>
  <c r="AI49" i="50"/>
  <c r="AM49" s="1"/>
  <c r="AP49" s="1"/>
  <c r="AI121"/>
  <c r="AM121" s="1"/>
  <c r="AP121" s="1"/>
  <c r="AI209"/>
  <c r="AM209" s="1"/>
  <c r="AP209" s="1"/>
  <c r="V42" i="52"/>
  <c r="Z28" i="55"/>
  <c r="AA28"/>
  <c r="R25"/>
  <c r="Q25"/>
  <c r="AI25"/>
  <c r="AJ25"/>
  <c r="AE34" i="57"/>
  <c r="P35"/>
  <c r="Z36"/>
  <c r="T32" i="65"/>
  <c r="Z75"/>
  <c r="AS11" i="55"/>
  <c r="AR11"/>
  <c r="A16" i="50"/>
  <c r="AL15"/>
  <c r="Q22" i="55"/>
  <c r="D16" i="58"/>
  <c r="J16" s="1"/>
  <c r="M38" i="61"/>
  <c r="N38" s="1"/>
  <c r="M38" i="66"/>
  <c r="N38" s="1"/>
  <c r="M39" i="61"/>
  <c r="N39" s="1"/>
  <c r="M38" i="62"/>
  <c r="N38" s="1"/>
  <c r="M39" i="65"/>
  <c r="N39" s="1"/>
  <c r="M39" i="66"/>
  <c r="N39" s="1"/>
  <c r="M38" i="3"/>
  <c r="N38" s="1"/>
  <c r="M39" i="67"/>
  <c r="N39" s="1"/>
  <c r="M39" i="3"/>
  <c r="N39" s="1"/>
  <c r="M38" i="67"/>
  <c r="N38" s="1"/>
  <c r="M40" i="3"/>
  <c r="N40" s="1"/>
  <c r="M40" i="67"/>
  <c r="N40" s="1"/>
  <c r="M40" i="65"/>
  <c r="N40" s="1"/>
  <c r="M41" i="3"/>
  <c r="N41" s="1"/>
  <c r="M40" i="61"/>
  <c r="N40" s="1"/>
  <c r="M40" i="66"/>
  <c r="N40" s="1"/>
  <c r="M41" i="67"/>
  <c r="N41" s="1"/>
  <c r="M41" i="61"/>
  <c r="N41" s="1"/>
  <c r="M41" i="65"/>
  <c r="N41" s="1"/>
  <c r="M41" i="62"/>
  <c r="N41" s="1"/>
  <c r="O41" s="1"/>
  <c r="M41" i="66"/>
  <c r="N41" s="1"/>
  <c r="M49" i="75"/>
  <c r="N49" s="1"/>
  <c r="M49" i="78"/>
  <c r="N49" s="1"/>
  <c r="M14" i="55"/>
  <c r="P14" s="1"/>
  <c r="V14"/>
  <c r="Y14" s="1"/>
  <c r="AE14"/>
  <c r="AH14" s="1"/>
  <c r="V23"/>
  <c r="Y23" s="1"/>
  <c r="AW23"/>
  <c r="AZ23" s="1"/>
  <c r="AN23"/>
  <c r="AQ23" s="1"/>
  <c r="AE23"/>
  <c r="AH23" s="1"/>
  <c r="O115" i="49"/>
  <c r="P112"/>
  <c r="L340" i="50"/>
  <c r="F340"/>
  <c r="I340"/>
  <c r="K340"/>
  <c r="O340"/>
  <c r="B352"/>
  <c r="E340"/>
  <c r="G340"/>
  <c r="M340"/>
  <c r="H340"/>
  <c r="J340"/>
  <c r="N340"/>
  <c r="E145"/>
  <c r="H145"/>
  <c r="I145"/>
  <c r="K145"/>
  <c r="B157"/>
  <c r="J145"/>
  <c r="F145"/>
  <c r="G145"/>
  <c r="L145"/>
  <c r="B341"/>
  <c r="J329"/>
  <c r="K329"/>
  <c r="F329"/>
  <c r="G329"/>
  <c r="O329"/>
  <c r="E329"/>
  <c r="H329"/>
  <c r="I329"/>
  <c r="M329"/>
  <c r="L329"/>
  <c r="N329"/>
  <c r="I123"/>
  <c r="G123"/>
  <c r="E123"/>
  <c r="K123"/>
  <c r="L123"/>
  <c r="B135"/>
  <c r="F123"/>
  <c r="H123"/>
  <c r="J123"/>
  <c r="M123"/>
  <c r="N123"/>
  <c r="B134"/>
  <c r="F122"/>
  <c r="L122"/>
  <c r="E122"/>
  <c r="K122"/>
  <c r="I122"/>
  <c r="G122"/>
  <c r="H122"/>
  <c r="J122"/>
  <c r="F279"/>
  <c r="E279"/>
  <c r="I279"/>
  <c r="K279"/>
  <c r="M279"/>
  <c r="O279"/>
  <c r="Q279"/>
  <c r="R279" s="1"/>
  <c r="B291"/>
  <c r="H279"/>
  <c r="G279"/>
  <c r="J279"/>
  <c r="L279"/>
  <c r="N279"/>
  <c r="P279"/>
  <c r="V60" i="26"/>
  <c r="O40" i="78"/>
  <c r="P40"/>
  <c r="P39"/>
  <c r="O39"/>
  <c r="Q39" s="1"/>
  <c r="O39" i="75"/>
  <c r="P39"/>
  <c r="P38" i="78"/>
  <c r="O38"/>
  <c r="P38" i="75"/>
  <c r="Q38" s="1"/>
  <c r="AR19" i="55"/>
  <c r="AS19"/>
  <c r="AJ19"/>
  <c r="AI19"/>
  <c r="Z19"/>
  <c r="AA19"/>
  <c r="AA18"/>
  <c r="Z18"/>
  <c r="AI18"/>
  <c r="AJ18"/>
  <c r="G17"/>
  <c r="R17"/>
  <c r="Q17"/>
  <c r="BB16"/>
  <c r="BA16"/>
  <c r="T394" i="50"/>
  <c r="AI28"/>
  <c r="AM28" s="1"/>
  <c r="AP28" s="1"/>
  <c r="Q38" i="65"/>
  <c r="AH20" i="26"/>
  <c r="N56" i="52"/>
  <c r="AJ56" s="1"/>
  <c r="N54"/>
  <c r="AJ54" s="1"/>
  <c r="AB58"/>
  <c r="M33"/>
  <c r="G26" i="55"/>
  <c r="AH19" i="26"/>
  <c r="M40" i="62"/>
  <c r="N40" s="1"/>
  <c r="O40" s="1"/>
  <c r="S22" i="57"/>
  <c r="U22" s="1"/>
  <c r="U32" s="1"/>
  <c r="U38" s="1"/>
  <c r="S37" i="52"/>
  <c r="G12" i="55"/>
  <c r="AC22" i="57"/>
  <c r="AE22" s="1"/>
  <c r="AE32" s="1"/>
  <c r="AE38" s="1"/>
  <c r="AH15" i="26"/>
  <c r="X21" i="57"/>
  <c r="Z21" s="1"/>
  <c r="V12" i="26"/>
  <c r="I29" i="55"/>
  <c r="H29"/>
  <c r="BA29"/>
  <c r="BB29"/>
  <c r="BA27"/>
  <c r="BB27"/>
  <c r="Z27"/>
  <c r="AA27"/>
  <c r="Q13"/>
  <c r="R13"/>
  <c r="V24" i="26"/>
  <c r="Z24" s="1"/>
  <c r="AD24" s="1"/>
  <c r="AE24" s="1"/>
  <c r="AH24"/>
  <c r="W33" i="62"/>
  <c r="Y33"/>
  <c r="AP33" s="1"/>
  <c r="AP51" s="1"/>
  <c r="U33"/>
  <c r="F513" i="50"/>
  <c r="AI513" s="1"/>
  <c r="AM513" s="1"/>
  <c r="AP513" s="1"/>
  <c r="B525"/>
  <c r="J513"/>
  <c r="G513"/>
  <c r="I513"/>
  <c r="H513"/>
  <c r="M513"/>
  <c r="P513"/>
  <c r="X139" i="49"/>
  <c r="W146"/>
  <c r="AL77" i="50"/>
  <c r="A78"/>
  <c r="I160"/>
  <c r="E160"/>
  <c r="G160"/>
  <c r="F160"/>
  <c r="M160"/>
  <c r="B172"/>
  <c r="J160"/>
  <c r="L160"/>
  <c r="K160"/>
  <c r="H160"/>
  <c r="N333"/>
  <c r="G333"/>
  <c r="M333"/>
  <c r="B345"/>
  <c r="E333"/>
  <c r="P333"/>
  <c r="I333"/>
  <c r="F333"/>
  <c r="K333"/>
  <c r="J333"/>
  <c r="Q333"/>
  <c r="R333" s="1"/>
  <c r="O333"/>
  <c r="H333"/>
  <c r="L333"/>
  <c r="U23" i="49"/>
  <c r="U28"/>
  <c r="U25"/>
  <c r="B138" i="50"/>
  <c r="G126"/>
  <c r="L126"/>
  <c r="P126"/>
  <c r="F126"/>
  <c r="N126"/>
  <c r="K126"/>
  <c r="I126"/>
  <c r="E126"/>
  <c r="J126"/>
  <c r="O126"/>
  <c r="H126"/>
  <c r="M126"/>
  <c r="Q126"/>
  <c r="R126" s="1"/>
  <c r="V42"/>
  <c r="AI41"/>
  <c r="AM41" s="1"/>
  <c r="AP41" s="1"/>
  <c r="A18" i="58"/>
  <c r="D17"/>
  <c r="J17" s="1"/>
  <c r="P41" i="75"/>
  <c r="Q41"/>
  <c r="R19" i="55"/>
  <c r="Q19"/>
  <c r="G19"/>
  <c r="R18"/>
  <c r="Q18"/>
  <c r="G18"/>
  <c r="BB18"/>
  <c r="BA18"/>
  <c r="AR18"/>
  <c r="AS18"/>
  <c r="Z17"/>
  <c r="AA17"/>
  <c r="A51" i="50"/>
  <c r="AL50"/>
  <c r="AR16" i="55"/>
  <c r="AS16"/>
  <c r="Z16"/>
  <c r="AA16"/>
  <c r="G16"/>
  <c r="U145" i="49"/>
  <c r="V137"/>
  <c r="Y225" i="50"/>
  <c r="AI225" s="1"/>
  <c r="AM225" s="1"/>
  <c r="AP225" s="1"/>
  <c r="AI224"/>
  <c r="AM224" s="1"/>
  <c r="AP224" s="1"/>
  <c r="N57" i="52"/>
  <c r="AJ57" s="1"/>
  <c r="N55"/>
  <c r="AJ55" s="1"/>
  <c r="R66"/>
  <c r="N62"/>
  <c r="AJ62" s="1"/>
  <c r="Z58"/>
  <c r="N61"/>
  <c r="N63"/>
  <c r="AJ63" s="1"/>
  <c r="X58"/>
  <c r="N53"/>
  <c r="R58"/>
  <c r="AR29" i="55"/>
  <c r="M28" i="52"/>
  <c r="AJ27" i="55"/>
  <c r="M24" i="52"/>
  <c r="Q24" i="55"/>
  <c r="V75" i="67"/>
  <c r="G24" i="55"/>
  <c r="N25" i="57"/>
  <c r="P25" s="1"/>
  <c r="P32" s="1"/>
  <c r="P38" s="1"/>
  <c r="AJ24" i="55"/>
  <c r="M22" i="52"/>
  <c r="M23"/>
  <c r="V76" i="67"/>
  <c r="Z32" i="57"/>
  <c r="Z38" s="1"/>
  <c r="AE27" i="26"/>
  <c r="R64"/>
  <c r="AE28"/>
  <c r="AH17"/>
  <c r="U38" i="52"/>
  <c r="U39" s="1"/>
  <c r="U95" s="1"/>
  <c r="AE37"/>
  <c r="AE39" s="1"/>
  <c r="AE95" s="1"/>
  <c r="AG37"/>
  <c r="AG39" s="1"/>
  <c r="AG95" s="1"/>
  <c r="W38"/>
  <c r="W39" s="1"/>
  <c r="W95" s="1"/>
  <c r="T37"/>
  <c r="Z37"/>
  <c r="S38"/>
  <c r="Q37"/>
  <c r="Q39" s="1"/>
  <c r="Q95" s="1"/>
  <c r="AD71" i="61"/>
  <c r="AD52"/>
  <c r="AD66" s="1"/>
  <c r="T59" i="65"/>
  <c r="Q54"/>
  <c r="R54" s="1"/>
  <c r="O57" i="67"/>
  <c r="Y56" i="3"/>
  <c r="O56"/>
  <c r="O53" i="65"/>
  <c r="S53"/>
  <c r="U54" i="66"/>
  <c r="T54"/>
  <c r="X59"/>
  <c r="U59" i="65"/>
  <c r="P63" i="66"/>
  <c r="Q57" i="67"/>
  <c r="R57" s="1"/>
  <c r="AW22" i="55"/>
  <c r="AZ22" s="1"/>
  <c r="V22"/>
  <c r="Y22" s="1"/>
  <c r="AN22"/>
  <c r="AQ22" s="1"/>
  <c r="V36" i="61"/>
  <c r="V15" i="55"/>
  <c r="Y15" s="1"/>
  <c r="M15"/>
  <c r="P15" s="1"/>
  <c r="AW15"/>
  <c r="AZ15" s="1"/>
  <c r="U36" i="3"/>
  <c r="T37" i="66"/>
  <c r="V37" i="61"/>
  <c r="Y43" i="3"/>
  <c r="AP43" s="1"/>
  <c r="AP51" s="1"/>
  <c r="AW20" i="55"/>
  <c r="AZ20" s="1"/>
  <c r="AE15"/>
  <c r="AH15" s="1"/>
  <c r="AE20"/>
  <c r="AH20" s="1"/>
  <c r="U45" i="61"/>
  <c r="M20" i="55"/>
  <c r="P20" s="1"/>
  <c r="T37" i="67"/>
  <c r="Q63" i="66"/>
  <c r="R63" s="1"/>
  <c r="S59" i="65"/>
  <c r="W45" i="61"/>
  <c r="Y45"/>
  <c r="AP45" s="1"/>
  <c r="AP51" s="1"/>
  <c r="S43" i="65"/>
  <c r="S44" i="66"/>
  <c r="V43" i="3"/>
  <c r="AA72" i="62"/>
  <c r="AC72"/>
  <c r="AZ72" s="1"/>
  <c r="AA72" i="3"/>
  <c r="AC71" i="75"/>
  <c r="AZ71" s="1"/>
  <c r="W77" i="67"/>
  <c r="AW77"/>
  <c r="AW77" i="65"/>
  <c r="N538" i="50"/>
  <c r="P538"/>
  <c r="B550"/>
  <c r="I538"/>
  <c r="M538"/>
  <c r="N119" i="49"/>
  <c r="N118"/>
  <c r="N122"/>
  <c r="N129"/>
  <c r="N125"/>
  <c r="N116"/>
  <c r="N120"/>
  <c r="F501" i="50"/>
  <c r="O501"/>
  <c r="G501"/>
  <c r="H501"/>
  <c r="E501"/>
  <c r="K501"/>
  <c r="L501"/>
  <c r="BA75" i="75"/>
  <c r="BA83"/>
  <c r="E489" i="50"/>
  <c r="H489"/>
  <c r="N489"/>
  <c r="G489"/>
  <c r="P489"/>
  <c r="U56" i="62"/>
  <c r="V56" i="75"/>
  <c r="V33" i="49"/>
  <c r="V26"/>
  <c r="V32"/>
  <c r="O156" i="50"/>
  <c r="K156"/>
  <c r="L156"/>
  <c r="N156"/>
  <c r="P156"/>
  <c r="I156"/>
  <c r="AI156" s="1"/>
  <c r="AM156" s="1"/>
  <c r="AP156" s="1"/>
  <c r="N144"/>
  <c r="H144"/>
  <c r="E144"/>
  <c r="P144"/>
  <c r="K144"/>
  <c r="K148"/>
  <c r="I148"/>
  <c r="H148"/>
  <c r="E148"/>
  <c r="M328"/>
  <c r="L328"/>
  <c r="I328"/>
  <c r="H328"/>
  <c r="E328"/>
  <c r="L332"/>
  <c r="H332"/>
  <c r="G332"/>
  <c r="B344"/>
  <c r="Q332"/>
  <c r="R332" s="1"/>
  <c r="I332"/>
  <c r="O332"/>
  <c r="L133"/>
  <c r="I133"/>
  <c r="G133"/>
  <c r="E133"/>
  <c r="N316"/>
  <c r="M316"/>
  <c r="F316"/>
  <c r="K316"/>
  <c r="J316"/>
  <c r="F136"/>
  <c r="H136"/>
  <c r="L136"/>
  <c r="E136"/>
  <c r="AI136" s="1"/>
  <c r="AM136" s="1"/>
  <c r="AP136" s="1"/>
  <c r="P321"/>
  <c r="N321"/>
  <c r="J321"/>
  <c r="L321"/>
  <c r="H321"/>
  <c r="M321"/>
  <c r="H132"/>
  <c r="P132"/>
  <c r="I132"/>
  <c r="L132"/>
  <c r="E132"/>
  <c r="M317"/>
  <c r="L317"/>
  <c r="J317"/>
  <c r="I317"/>
  <c r="H317"/>
  <c r="AI317" s="1"/>
  <c r="AM317" s="1"/>
  <c r="AP317" s="1"/>
  <c r="V23" i="49"/>
  <c r="V28"/>
  <c r="V27"/>
  <c r="V29"/>
  <c r="O120" i="50"/>
  <c r="M120"/>
  <c r="K120"/>
  <c r="E120"/>
  <c r="AI120" s="1"/>
  <c r="AM120" s="1"/>
  <c r="AP120" s="1"/>
  <c r="G120"/>
  <c r="Q309"/>
  <c r="R309" s="1"/>
  <c r="I309"/>
  <c r="J309"/>
  <c r="F309"/>
  <c r="N309"/>
  <c r="H309"/>
  <c r="N111"/>
  <c r="L111"/>
  <c r="E111"/>
  <c r="H111"/>
  <c r="J111"/>
  <c r="J293"/>
  <c r="M293"/>
  <c r="L293"/>
  <c r="F293"/>
  <c r="AI293" s="1"/>
  <c r="AM293" s="1"/>
  <c r="AP293" s="1"/>
  <c r="K293"/>
  <c r="T23" i="49"/>
  <c r="T26"/>
  <c r="T36"/>
  <c r="T33"/>
  <c r="T34"/>
  <c r="G34" s="1"/>
  <c r="T22"/>
  <c r="T35"/>
  <c r="L110" i="50"/>
  <c r="H110"/>
  <c r="J110"/>
  <c r="E110"/>
  <c r="AI110" s="1"/>
  <c r="AM110" s="1"/>
  <c r="AP110" s="1"/>
  <c r="Q114"/>
  <c r="R114" s="1"/>
  <c r="F114"/>
  <c r="O114"/>
  <c r="I114"/>
  <c r="O272"/>
  <c r="L272"/>
  <c r="H272"/>
  <c r="P272"/>
  <c r="M272"/>
  <c r="R27" i="49"/>
  <c r="R32"/>
  <c r="G32" s="1"/>
  <c r="R29"/>
  <c r="R22"/>
  <c r="G22" s="1"/>
  <c r="R36"/>
  <c r="R26"/>
  <c r="Q89" i="50"/>
  <c r="R89" s="1"/>
  <c r="E89"/>
  <c r="O89"/>
  <c r="B101"/>
  <c r="Q24" i="49"/>
  <c r="G24" s="1"/>
  <c r="Q31"/>
  <c r="G31" s="1"/>
  <c r="Q29"/>
  <c r="Q35"/>
  <c r="Q23"/>
  <c r="G23" s="1"/>
  <c r="Q36"/>
  <c r="Q25"/>
  <c r="G25" s="1"/>
  <c r="E254" i="50"/>
  <c r="N254"/>
  <c r="I254"/>
  <c r="K254"/>
  <c r="B266"/>
  <c r="N256"/>
  <c r="M256"/>
  <c r="K256"/>
  <c r="I256"/>
  <c r="F256"/>
  <c r="AI256" s="1"/>
  <c r="AM256" s="1"/>
  <c r="AP256" s="1"/>
  <c r="Q267"/>
  <c r="R267" s="1"/>
  <c r="N267"/>
  <c r="E267"/>
  <c r="M267"/>
  <c r="I267"/>
  <c r="F267"/>
  <c r="I67"/>
  <c r="K67"/>
  <c r="B79"/>
  <c r="N67"/>
  <c r="O35" i="49"/>
  <c r="G35" s="1"/>
  <c r="O28"/>
  <c r="G28" s="1"/>
  <c r="Q207" i="50"/>
  <c r="R207" s="1"/>
  <c r="Q377"/>
  <c r="R377" s="1"/>
  <c r="Q195"/>
  <c r="R195" s="1"/>
  <c r="P219"/>
  <c r="AI219" s="1"/>
  <c r="AM219" s="1"/>
  <c r="AP219" s="1"/>
  <c r="P389"/>
  <c r="Z69" i="78"/>
  <c r="Z70"/>
  <c r="A56" i="58"/>
  <c r="Z73" i="78"/>
  <c r="Z81"/>
  <c r="Z89"/>
  <c r="W89" i="66"/>
  <c r="P9" i="55"/>
  <c r="G7" i="57"/>
  <c r="BA83" i="3"/>
  <c r="A86" i="50"/>
  <c r="AL49"/>
  <c r="AL272"/>
  <c r="AL332"/>
  <c r="V388"/>
  <c r="Z9" i="55"/>
  <c r="U9"/>
  <c r="T338" i="50"/>
  <c r="T339" s="1"/>
  <c r="T340" s="1"/>
  <c r="T341" s="1"/>
  <c r="T342" s="1"/>
  <c r="T343" s="1"/>
  <c r="T344" s="1"/>
  <c r="T345" s="1"/>
  <c r="AG338"/>
  <c r="AG339" s="1"/>
  <c r="AG340" s="1"/>
  <c r="AG341" s="1"/>
  <c r="AG342" s="1"/>
  <c r="AG343" s="1"/>
  <c r="AG344" s="1"/>
  <c r="AG345" s="1"/>
  <c r="AE338"/>
  <c r="AE339" s="1"/>
  <c r="AE340" s="1"/>
  <c r="AE341" s="1"/>
  <c r="AE342" s="1"/>
  <c r="AE343" s="1"/>
  <c r="AE344" s="1"/>
  <c r="AE345" s="1"/>
  <c r="BA90" i="62"/>
  <c r="AC90"/>
  <c r="AZ90" s="1"/>
  <c r="BA82"/>
  <c r="AC82"/>
  <c r="AZ82" s="1"/>
  <c r="BA74"/>
  <c r="AC74"/>
  <c r="AZ74" s="1"/>
  <c r="AM9" i="55"/>
  <c r="AQ9"/>
  <c r="AO9"/>
  <c r="AO31" s="1"/>
  <c r="AL9"/>
  <c r="AL245" i="50"/>
  <c r="K30" i="49"/>
  <c r="G30" s="1"/>
  <c r="K27"/>
  <c r="G27" s="1"/>
  <c r="K29"/>
  <c r="G29" s="1"/>
  <c r="K26"/>
  <c r="G26" s="1"/>
  <c r="K33"/>
  <c r="G33" s="1"/>
  <c r="AC22" i="26"/>
  <c r="AE22" s="1"/>
  <c r="Z544" i="50"/>
  <c r="Z545" s="1"/>
  <c r="Z546" s="1"/>
  <c r="Z547" s="1"/>
  <c r="Z548" s="1"/>
  <c r="Z549" s="1"/>
  <c r="Z550" s="1"/>
  <c r="Z551" s="1"/>
  <c r="AI551" s="1"/>
  <c r="AM551" s="1"/>
  <c r="AP551" s="1"/>
  <c r="J24"/>
  <c r="I24"/>
  <c r="J26"/>
  <c r="I26"/>
  <c r="L30"/>
  <c r="AI30" s="1"/>
  <c r="AM30" s="1"/>
  <c r="AP30" s="1"/>
  <c r="M30"/>
  <c r="I206"/>
  <c r="AI206" s="1"/>
  <c r="AM206" s="1"/>
  <c r="AP206" s="1"/>
  <c r="J206"/>
  <c r="M223"/>
  <c r="L223"/>
  <c r="J25"/>
  <c r="I25"/>
  <c r="L29"/>
  <c r="AI29" s="1"/>
  <c r="AM29" s="1"/>
  <c r="AP29" s="1"/>
  <c r="M29"/>
  <c r="L31"/>
  <c r="AI31" s="1"/>
  <c r="AM31" s="1"/>
  <c r="AP31" s="1"/>
  <c r="M31"/>
  <c r="B222"/>
  <c r="I210"/>
  <c r="AI210" s="1"/>
  <c r="AM210" s="1"/>
  <c r="AP210" s="1"/>
  <c r="AB144"/>
  <c r="AB145" s="1"/>
  <c r="AB146" s="1"/>
  <c r="AB147" s="1"/>
  <c r="AB148" s="1"/>
  <c r="AB149" s="1"/>
  <c r="AB150" s="1"/>
  <c r="AB151" s="1"/>
  <c r="U326"/>
  <c r="U327" s="1"/>
  <c r="U328" s="1"/>
  <c r="U329" s="1"/>
  <c r="U330" s="1"/>
  <c r="U331" s="1"/>
  <c r="AF326"/>
  <c r="AF327" s="1"/>
  <c r="AF328" s="1"/>
  <c r="AF329" s="1"/>
  <c r="AF330" s="1"/>
  <c r="AF331" s="1"/>
  <c r="AF332" s="1"/>
  <c r="AF333" s="1"/>
  <c r="T96"/>
  <c r="X96"/>
  <c r="X97" s="1"/>
  <c r="X98" s="1"/>
  <c r="X99" s="1"/>
  <c r="X100" s="1"/>
  <c r="X101" s="1"/>
  <c r="X102" s="1"/>
  <c r="X103" s="1"/>
  <c r="AB96"/>
  <c r="AB97" s="1"/>
  <c r="AB98" s="1"/>
  <c r="AB99" s="1"/>
  <c r="AB100" s="1"/>
  <c r="AB101" s="1"/>
  <c r="AB102" s="1"/>
  <c r="AB103" s="1"/>
  <c r="V96"/>
  <c r="V97" s="1"/>
  <c r="V98" s="1"/>
  <c r="V99" s="1"/>
  <c r="V100" s="1"/>
  <c r="V101" s="1"/>
  <c r="V102" s="1"/>
  <c r="V103" s="1"/>
  <c r="Z96"/>
  <c r="Z97" s="1"/>
  <c r="Z98" s="1"/>
  <c r="Z99" s="1"/>
  <c r="Z100" s="1"/>
  <c r="Z101" s="1"/>
  <c r="Z102" s="1"/>
  <c r="Z103" s="1"/>
  <c r="W460"/>
  <c r="W461" s="1"/>
  <c r="AE460"/>
  <c r="AE461" s="1"/>
  <c r="AE462" s="1"/>
  <c r="AE463" s="1"/>
  <c r="AE464" s="1"/>
  <c r="AE465" s="1"/>
  <c r="AE466" s="1"/>
  <c r="AE467" s="1"/>
  <c r="X460"/>
  <c r="X461" s="1"/>
  <c r="X462" s="1"/>
  <c r="X463" s="1"/>
  <c r="X464" s="1"/>
  <c r="X465" s="1"/>
  <c r="X466" s="1"/>
  <c r="X467" s="1"/>
  <c r="AF460"/>
  <c r="AF461" s="1"/>
  <c r="AF462" s="1"/>
  <c r="AF463" s="1"/>
  <c r="AF464" s="1"/>
  <c r="AF465" s="1"/>
  <c r="AF466" s="1"/>
  <c r="AF467" s="1"/>
  <c r="Y460"/>
  <c r="Y461" s="1"/>
  <c r="Y462" s="1"/>
  <c r="Y463" s="1"/>
  <c r="Y464" s="1"/>
  <c r="Y465" s="1"/>
  <c r="Y466" s="1"/>
  <c r="Y467" s="1"/>
  <c r="AG460"/>
  <c r="AG461" s="1"/>
  <c r="AG462" s="1"/>
  <c r="AG463" s="1"/>
  <c r="AG464" s="1"/>
  <c r="AG465" s="1"/>
  <c r="AG466" s="1"/>
  <c r="AG467" s="1"/>
  <c r="BU8" i="46"/>
  <c r="BU29" s="1"/>
  <c r="BY8"/>
  <c r="BY29" s="1"/>
  <c r="EG8"/>
  <c r="EG29" s="1"/>
  <c r="EK8"/>
  <c r="EK29" s="1"/>
  <c r="GB8"/>
  <c r="GB29" s="1"/>
  <c r="GU8"/>
  <c r="GU29" s="1"/>
  <c r="GY8"/>
  <c r="GY29" s="1"/>
  <c r="Z93" i="66"/>
  <c r="F45" i="63"/>
  <c r="F40"/>
  <c r="D40" s="1"/>
  <c r="Q39" i="62"/>
  <c r="P41"/>
  <c r="P40"/>
  <c r="Q41" i="78"/>
  <c r="Q40" i="75"/>
  <c r="Q63" i="67"/>
  <c r="R63" s="1"/>
  <c r="Q40" i="62"/>
  <c r="Q49" i="3"/>
  <c r="Q41" i="62"/>
  <c r="Q35" i="65"/>
  <c r="O59" i="62"/>
  <c r="Q59"/>
  <c r="R59" s="1"/>
  <c r="X59"/>
  <c r="V59"/>
  <c r="U59"/>
  <c r="P59"/>
  <c r="W59"/>
  <c r="Y59"/>
  <c r="AG59" i="65"/>
  <c r="AH59" s="1"/>
  <c r="AA59"/>
  <c r="AW59" s="1"/>
  <c r="Q35" i="67"/>
  <c r="Q38" i="78"/>
  <c r="Q39" i="75"/>
  <c r="O62" i="65"/>
  <c r="Q62"/>
  <c r="R62" s="1"/>
  <c r="S62"/>
  <c r="U62"/>
  <c r="T62"/>
  <c r="P62"/>
  <c r="X93" i="66" l="1"/>
  <c r="V93"/>
  <c r="Z96"/>
  <c r="T97" i="50"/>
  <c r="AI96"/>
  <c r="AM96" s="1"/>
  <c r="AP96" s="1"/>
  <c r="U332"/>
  <c r="U333" s="1"/>
  <c r="AI331"/>
  <c r="AM331" s="1"/>
  <c r="AP331" s="1"/>
  <c r="K79"/>
  <c r="H79"/>
  <c r="O79"/>
  <c r="J79"/>
  <c r="F79"/>
  <c r="P79"/>
  <c r="I79"/>
  <c r="B91"/>
  <c r="L79"/>
  <c r="Q79"/>
  <c r="R79" s="1"/>
  <c r="E79"/>
  <c r="M79"/>
  <c r="G79"/>
  <c r="N79"/>
  <c r="E266"/>
  <c r="J266"/>
  <c r="L266"/>
  <c r="O266"/>
  <c r="H266"/>
  <c r="G266"/>
  <c r="B278"/>
  <c r="I266"/>
  <c r="K266"/>
  <c r="M266"/>
  <c r="N266"/>
  <c r="F266"/>
  <c r="P266"/>
  <c r="Q266"/>
  <c r="R266" s="1"/>
  <c r="G101"/>
  <c r="K101"/>
  <c r="N101"/>
  <c r="E101"/>
  <c r="M101"/>
  <c r="O101"/>
  <c r="B113"/>
  <c r="I101"/>
  <c r="F101"/>
  <c r="Q101"/>
  <c r="R101" s="1"/>
  <c r="H101"/>
  <c r="L101"/>
  <c r="J101"/>
  <c r="P101"/>
  <c r="N17" i="3"/>
  <c r="N18"/>
  <c r="N10"/>
  <c r="F11" i="52"/>
  <c r="N17" i="65"/>
  <c r="N9" i="3"/>
  <c r="N9" i="65"/>
  <c r="N18"/>
  <c r="N10"/>
  <c r="O5" i="26"/>
  <c r="R20" i="55"/>
  <c r="G20"/>
  <c r="Q20"/>
  <c r="AI20"/>
  <c r="AJ20"/>
  <c r="BB20"/>
  <c r="BA20"/>
  <c r="G15"/>
  <c r="Q15"/>
  <c r="R15"/>
  <c r="AA22"/>
  <c r="Z22"/>
  <c r="Y42" i="52"/>
  <c r="Z42" s="1"/>
  <c r="Y46"/>
  <c r="Z46" s="1"/>
  <c r="Q81"/>
  <c r="W81"/>
  <c r="N66"/>
  <c r="AJ66" s="1"/>
  <c r="AJ61"/>
  <c r="W137" i="49"/>
  <c r="V145"/>
  <c r="H16" i="55"/>
  <c r="I16"/>
  <c r="A52" i="50"/>
  <c r="AL51"/>
  <c r="I19" i="55"/>
  <c r="H19"/>
  <c r="A19" i="58"/>
  <c r="D18"/>
  <c r="J18" s="1"/>
  <c r="V43" i="50"/>
  <c r="AI43" s="1"/>
  <c r="AM43" s="1"/>
  <c r="AP43" s="1"/>
  <c r="AI42"/>
  <c r="AM42" s="1"/>
  <c r="AP42" s="1"/>
  <c r="K138"/>
  <c r="O138"/>
  <c r="L138"/>
  <c r="J138"/>
  <c r="I138"/>
  <c r="H138"/>
  <c r="Q138"/>
  <c r="R138" s="1"/>
  <c r="B150"/>
  <c r="F138"/>
  <c r="N138"/>
  <c r="M138"/>
  <c r="G138"/>
  <c r="P138"/>
  <c r="E138"/>
  <c r="AI138" s="1"/>
  <c r="AM138" s="1"/>
  <c r="AP138" s="1"/>
  <c r="H345"/>
  <c r="K345"/>
  <c r="F345"/>
  <c r="J345"/>
  <c r="O345"/>
  <c r="G345"/>
  <c r="M345"/>
  <c r="N345"/>
  <c r="B357"/>
  <c r="L345"/>
  <c r="Q345"/>
  <c r="R345" s="1"/>
  <c r="P345"/>
  <c r="I345"/>
  <c r="E345"/>
  <c r="AI345" s="1"/>
  <c r="AM345" s="1"/>
  <c r="AP345" s="1"/>
  <c r="B184"/>
  <c r="F172"/>
  <c r="J172"/>
  <c r="H172"/>
  <c r="G172"/>
  <c r="L172"/>
  <c r="E172"/>
  <c r="I172"/>
  <c r="K172"/>
  <c r="M172"/>
  <c r="N172"/>
  <c r="Q172"/>
  <c r="R172" s="1"/>
  <c r="O172"/>
  <c r="P172"/>
  <c r="A79"/>
  <c r="AL79" s="1"/>
  <c r="AL78"/>
  <c r="E525"/>
  <c r="K525"/>
  <c r="M525"/>
  <c r="Q525"/>
  <c r="R525" s="1"/>
  <c r="B537"/>
  <c r="N525"/>
  <c r="L525"/>
  <c r="H525"/>
  <c r="J525"/>
  <c r="I525"/>
  <c r="O525"/>
  <c r="P525"/>
  <c r="F525"/>
  <c r="G525"/>
  <c r="Z12" i="26"/>
  <c r="T395" i="50"/>
  <c r="Z60" i="26"/>
  <c r="V64"/>
  <c r="I341" i="50"/>
  <c r="K341"/>
  <c r="E341"/>
  <c r="G341"/>
  <c r="F341"/>
  <c r="B353"/>
  <c r="M341"/>
  <c r="H341"/>
  <c r="J341"/>
  <c r="L341"/>
  <c r="N341"/>
  <c r="O341"/>
  <c r="P341"/>
  <c r="Q341"/>
  <c r="R341" s="1"/>
  <c r="B364"/>
  <c r="J352"/>
  <c r="G352"/>
  <c r="F352"/>
  <c r="M352"/>
  <c r="L352"/>
  <c r="I352"/>
  <c r="H352"/>
  <c r="O352"/>
  <c r="N352"/>
  <c r="E352"/>
  <c r="K352"/>
  <c r="P352"/>
  <c r="Q352"/>
  <c r="R352" s="1"/>
  <c r="P115" i="49"/>
  <c r="Q112"/>
  <c r="AJ23" i="55"/>
  <c r="AI23"/>
  <c r="BA23"/>
  <c r="BB23"/>
  <c r="AJ14"/>
  <c r="AI14"/>
  <c r="Q14"/>
  <c r="R14"/>
  <c r="G14"/>
  <c r="P49" i="75"/>
  <c r="O49"/>
  <c r="Q49" s="1"/>
  <c r="O41" i="61"/>
  <c r="P41"/>
  <c r="P40" i="66"/>
  <c r="O40"/>
  <c r="Q40" s="1"/>
  <c r="P41" i="3"/>
  <c r="O41"/>
  <c r="Q41" s="1"/>
  <c r="P40" i="67"/>
  <c r="O40"/>
  <c r="Q40" s="1"/>
  <c r="O38"/>
  <c r="P38"/>
  <c r="P39"/>
  <c r="O39"/>
  <c r="Q39" s="1"/>
  <c r="O39" i="66"/>
  <c r="P39"/>
  <c r="O38" i="62"/>
  <c r="P38"/>
  <c r="P38" i="66"/>
  <c r="O38"/>
  <c r="Q38" s="1"/>
  <c r="A17" i="50"/>
  <c r="AL16"/>
  <c r="U46" i="52"/>
  <c r="V46" s="1"/>
  <c r="V21" i="26"/>
  <c r="Z21" s="1"/>
  <c r="AD21" s="1"/>
  <c r="AE21" s="1"/>
  <c r="R32"/>
  <c r="AI211" i="50"/>
  <c r="AM211" s="1"/>
  <c r="AP211" s="1"/>
  <c r="AC212"/>
  <c r="T55"/>
  <c r="AI55" s="1"/>
  <c r="AM55" s="1"/>
  <c r="AP55" s="1"/>
  <c r="AI54"/>
  <c r="AM54" s="1"/>
  <c r="AP54" s="1"/>
  <c r="L40" i="26"/>
  <c r="O40" s="1"/>
  <c r="AF42" i="52"/>
  <c r="AD42"/>
  <c r="AH42"/>
  <c r="P42"/>
  <c r="R42"/>
  <c r="AB42"/>
  <c r="X42"/>
  <c r="N16" i="61"/>
  <c r="N14"/>
  <c r="N15" i="66"/>
  <c r="N16"/>
  <c r="N13" i="61"/>
  <c r="N13" i="66"/>
  <c r="N15" i="61"/>
  <c r="N14" i="66"/>
  <c r="AI25" i="50"/>
  <c r="AM25" s="1"/>
  <c r="AP25" s="1"/>
  <c r="AI223"/>
  <c r="AM223" s="1"/>
  <c r="AP223" s="1"/>
  <c r="AI26"/>
  <c r="AM26" s="1"/>
  <c r="AP26" s="1"/>
  <c r="AI24"/>
  <c r="AM24" s="1"/>
  <c r="AP24" s="1"/>
  <c r="AI67"/>
  <c r="AM67" s="1"/>
  <c r="AP67" s="1"/>
  <c r="AI267"/>
  <c r="AM267" s="1"/>
  <c r="AP267" s="1"/>
  <c r="AI254"/>
  <c r="AM254" s="1"/>
  <c r="AP254" s="1"/>
  <c r="G36" i="49"/>
  <c r="AI89" i="50"/>
  <c r="AM89" s="1"/>
  <c r="AP89" s="1"/>
  <c r="AI272"/>
  <c r="AM272" s="1"/>
  <c r="AP272" s="1"/>
  <c r="AI309"/>
  <c r="AM309" s="1"/>
  <c r="AP309" s="1"/>
  <c r="AI132"/>
  <c r="AM132" s="1"/>
  <c r="AP132" s="1"/>
  <c r="AI321"/>
  <c r="AM321" s="1"/>
  <c r="AP321" s="1"/>
  <c r="AI133"/>
  <c r="AM133" s="1"/>
  <c r="AP133" s="1"/>
  <c r="AI148"/>
  <c r="AM148" s="1"/>
  <c r="AP148" s="1"/>
  <c r="AI144"/>
  <c r="AM144" s="1"/>
  <c r="AP144" s="1"/>
  <c r="AI489"/>
  <c r="AM489" s="1"/>
  <c r="AP489" s="1"/>
  <c r="AI538"/>
  <c r="AM538" s="1"/>
  <c r="AP538" s="1"/>
  <c r="M38" i="52"/>
  <c r="M39" s="1"/>
  <c r="AI126" i="50"/>
  <c r="AM126" s="1"/>
  <c r="AP126" s="1"/>
  <c r="AI160"/>
  <c r="AM160" s="1"/>
  <c r="AP160" s="1"/>
  <c r="S39" i="52"/>
  <c r="S95" s="1"/>
  <c r="Q40" i="78"/>
  <c r="AI122" i="50"/>
  <c r="AM122" s="1"/>
  <c r="AP122" s="1"/>
  <c r="AI123"/>
  <c r="AM123" s="1"/>
  <c r="AP123" s="1"/>
  <c r="AI329"/>
  <c r="AM329" s="1"/>
  <c r="AP329" s="1"/>
  <c r="AI207"/>
  <c r="AM207" s="1"/>
  <c r="AP207" s="1"/>
  <c r="AI547"/>
  <c r="AM547" s="1"/>
  <c r="AP547" s="1"/>
  <c r="AH21" i="26"/>
  <c r="AI377" i="50"/>
  <c r="AM377" s="1"/>
  <c r="AP377" s="1"/>
  <c r="AH23" i="26"/>
  <c r="AH26"/>
  <c r="AI343" i="50"/>
  <c r="AM343" s="1"/>
  <c r="AP343" s="1"/>
  <c r="AI544"/>
  <c r="AM544" s="1"/>
  <c r="AP544" s="1"/>
  <c r="W462"/>
  <c r="AI461"/>
  <c r="AM461" s="1"/>
  <c r="AP461" s="1"/>
  <c r="K222"/>
  <c r="M222"/>
  <c r="F222"/>
  <c r="G222"/>
  <c r="E222"/>
  <c r="H222"/>
  <c r="N222"/>
  <c r="O222"/>
  <c r="B234"/>
  <c r="I222"/>
  <c r="P222"/>
  <c r="Q222"/>
  <c r="R222" s="1"/>
  <c r="L222"/>
  <c r="J222"/>
  <c r="V389"/>
  <c r="V390" s="1"/>
  <c r="AI388"/>
  <c r="AM388" s="1"/>
  <c r="AP388" s="1"/>
  <c r="AL86"/>
  <c r="A87"/>
  <c r="J11" i="57"/>
  <c r="E11" s="1"/>
  <c r="H12"/>
  <c r="J16"/>
  <c r="E16" s="1"/>
  <c r="H13"/>
  <c r="H10"/>
  <c r="G16"/>
  <c r="G18"/>
  <c r="J20"/>
  <c r="E20" s="1"/>
  <c r="H14"/>
  <c r="J12"/>
  <c r="E12" s="1"/>
  <c r="H16"/>
  <c r="J13"/>
  <c r="E13" s="1"/>
  <c r="G10"/>
  <c r="I10" s="1"/>
  <c r="K10" s="1"/>
  <c r="J10"/>
  <c r="G17"/>
  <c r="J19"/>
  <c r="E19" s="1"/>
  <c r="J21"/>
  <c r="E21" s="1"/>
  <c r="H20"/>
  <c r="G20"/>
  <c r="I20" s="1"/>
  <c r="K20" s="1"/>
  <c r="F20" s="1"/>
  <c r="H22"/>
  <c r="J23"/>
  <c r="E23" s="1"/>
  <c r="G13"/>
  <c r="I13" s="1"/>
  <c r="K13" s="1"/>
  <c r="F13" s="1"/>
  <c r="G12"/>
  <c r="I12" s="1"/>
  <c r="K12" s="1"/>
  <c r="F12" s="1"/>
  <c r="G15"/>
  <c r="J17"/>
  <c r="E17" s="1"/>
  <c r="G14"/>
  <c r="H15"/>
  <c r="J18"/>
  <c r="E18" s="1"/>
  <c r="H19"/>
  <c r="G11"/>
  <c r="H11"/>
  <c r="H17"/>
  <c r="J14"/>
  <c r="E14" s="1"/>
  <c r="J15"/>
  <c r="E15" s="1"/>
  <c r="H18"/>
  <c r="G19"/>
  <c r="H21"/>
  <c r="H23"/>
  <c r="J25"/>
  <c r="E25" s="1"/>
  <c r="G24"/>
  <c r="H25"/>
  <c r="H26"/>
  <c r="J27"/>
  <c r="E27" s="1"/>
  <c r="G26"/>
  <c r="I26" s="1"/>
  <c r="H27"/>
  <c r="G27"/>
  <c r="G28"/>
  <c r="I28" s="1"/>
  <c r="H28"/>
  <c r="K34"/>
  <c r="F34" s="1"/>
  <c r="G21"/>
  <c r="H24"/>
  <c r="K36"/>
  <c r="F36" s="1"/>
  <c r="G23"/>
  <c r="I23" s="1"/>
  <c r="K23" s="1"/>
  <c r="F23" s="1"/>
  <c r="J22"/>
  <c r="E22" s="1"/>
  <c r="G22"/>
  <c r="I22" s="1"/>
  <c r="K22" s="1"/>
  <c r="F22" s="1"/>
  <c r="J24"/>
  <c r="E24" s="1"/>
  <c r="G25"/>
  <c r="I25" s="1"/>
  <c r="K25" s="1"/>
  <c r="F25" s="1"/>
  <c r="J26"/>
  <c r="E26" s="1"/>
  <c r="J28"/>
  <c r="E28" s="1"/>
  <c r="H29"/>
  <c r="G29"/>
  <c r="I29" s="1"/>
  <c r="K29" s="1"/>
  <c r="F29" s="1"/>
  <c r="J29"/>
  <c r="E29" s="1"/>
  <c r="K35"/>
  <c r="F35" s="1"/>
  <c r="D56" i="58"/>
  <c r="J56" s="1"/>
  <c r="A57"/>
  <c r="D57" s="1"/>
  <c r="J57" s="1"/>
  <c r="N18" i="75"/>
  <c r="N10" i="78"/>
  <c r="N17"/>
  <c r="N9"/>
  <c r="AA5" i="26"/>
  <c r="N18" i="78"/>
  <c r="N10" i="75"/>
  <c r="N9"/>
  <c r="N17"/>
  <c r="N10" i="61"/>
  <c r="S5" i="26"/>
  <c r="N9" i="66"/>
  <c r="N17" i="61"/>
  <c r="N18" i="66"/>
  <c r="N18" i="61"/>
  <c r="N10" i="66"/>
  <c r="N9" i="61"/>
  <c r="N17" i="66"/>
  <c r="N17" i="62"/>
  <c r="N18"/>
  <c r="N10"/>
  <c r="N18" i="67"/>
  <c r="N10"/>
  <c r="N9"/>
  <c r="N17"/>
  <c r="W5" i="26"/>
  <c r="N9" i="62"/>
  <c r="B356" i="50"/>
  <c r="L344"/>
  <c r="O344"/>
  <c r="F344"/>
  <c r="E344"/>
  <c r="N344"/>
  <c r="J344"/>
  <c r="I344"/>
  <c r="K344"/>
  <c r="G344"/>
  <c r="M344"/>
  <c r="P344"/>
  <c r="H344"/>
  <c r="Q344"/>
  <c r="R344" s="1"/>
  <c r="I550"/>
  <c r="G550"/>
  <c r="F550"/>
  <c r="K550"/>
  <c r="L550"/>
  <c r="J550"/>
  <c r="N550"/>
  <c r="M550"/>
  <c r="E550"/>
  <c r="Q550"/>
  <c r="R550" s="1"/>
  <c r="O550"/>
  <c r="P550"/>
  <c r="H550"/>
  <c r="AW21" i="55"/>
  <c r="AZ21" s="1"/>
  <c r="M21"/>
  <c r="P21" s="1"/>
  <c r="V21"/>
  <c r="Y21" s="1"/>
  <c r="AN21"/>
  <c r="AQ21" s="1"/>
  <c r="AE21"/>
  <c r="AH21" s="1"/>
  <c r="AI15"/>
  <c r="AJ15"/>
  <c r="BA15"/>
  <c r="AY39"/>
  <c r="BB15"/>
  <c r="Z15"/>
  <c r="AA15"/>
  <c r="AR22"/>
  <c r="AS22"/>
  <c r="BA22"/>
  <c r="BB22"/>
  <c r="AD91" i="61"/>
  <c r="S42" i="52"/>
  <c r="T42" s="1"/>
  <c r="I24" i="55"/>
  <c r="H24"/>
  <c r="AJ53" i="52"/>
  <c r="N58"/>
  <c r="AJ58" s="1"/>
  <c r="Y81"/>
  <c r="Q76"/>
  <c r="H18" i="55"/>
  <c r="I18"/>
  <c r="X146" i="49"/>
  <c r="X144"/>
  <c r="I12" i="55"/>
  <c r="H12"/>
  <c r="H26"/>
  <c r="I26"/>
  <c r="AA81" i="52"/>
  <c r="I17" i="55"/>
  <c r="H17"/>
  <c r="B303" i="50"/>
  <c r="G291"/>
  <c r="J291"/>
  <c r="I291"/>
  <c r="M291"/>
  <c r="N291"/>
  <c r="P291"/>
  <c r="H291"/>
  <c r="E291"/>
  <c r="F291"/>
  <c r="K291"/>
  <c r="L291"/>
  <c r="Q291"/>
  <c r="R291" s="1"/>
  <c r="O291"/>
  <c r="B146"/>
  <c r="E134"/>
  <c r="G134"/>
  <c r="I134"/>
  <c r="L134"/>
  <c r="J134"/>
  <c r="K134"/>
  <c r="F134"/>
  <c r="H134"/>
  <c r="N134"/>
  <c r="P134"/>
  <c r="M134"/>
  <c r="O134"/>
  <c r="Q134"/>
  <c r="R134" s="1"/>
  <c r="K135"/>
  <c r="E135"/>
  <c r="M135"/>
  <c r="N135"/>
  <c r="L135"/>
  <c r="B147"/>
  <c r="J135"/>
  <c r="G135"/>
  <c r="H135"/>
  <c r="F135"/>
  <c r="I135"/>
  <c r="Q135"/>
  <c r="R135" s="1"/>
  <c r="O135"/>
  <c r="P135"/>
  <c r="G157"/>
  <c r="F157"/>
  <c r="I157"/>
  <c r="E157"/>
  <c r="B169"/>
  <c r="K157"/>
  <c r="H157"/>
  <c r="J157"/>
  <c r="L157"/>
  <c r="P157"/>
  <c r="M157"/>
  <c r="N157"/>
  <c r="O157"/>
  <c r="Q157"/>
  <c r="R157" s="1"/>
  <c r="O122" i="49"/>
  <c r="O129"/>
  <c r="O125"/>
  <c r="O117"/>
  <c r="O123"/>
  <c r="O116"/>
  <c r="O124"/>
  <c r="O118"/>
  <c r="O128"/>
  <c r="O119"/>
  <c r="O127"/>
  <c r="O120"/>
  <c r="O130"/>
  <c r="O121"/>
  <c r="O126"/>
  <c r="AS23" i="55"/>
  <c r="AR23"/>
  <c r="Z23"/>
  <c r="AA23"/>
  <c r="G23"/>
  <c r="AA14"/>
  <c r="Z14"/>
  <c r="X39"/>
  <c r="O49" i="78"/>
  <c r="Q49" s="1"/>
  <c r="P49"/>
  <c r="O41" i="66"/>
  <c r="Q41" s="1"/>
  <c r="P41"/>
  <c r="P41" i="65"/>
  <c r="O41"/>
  <c r="O41" i="67"/>
  <c r="Q41" s="1"/>
  <c r="P41"/>
  <c r="O40" i="61"/>
  <c r="Q40" s="1"/>
  <c r="P40"/>
  <c r="O40" i="65"/>
  <c r="Q40" s="1"/>
  <c r="P40"/>
  <c r="P40" i="3"/>
  <c r="O40"/>
  <c r="O39"/>
  <c r="Q39" s="1"/>
  <c r="R39" s="1"/>
  <c r="P39"/>
  <c r="O38"/>
  <c r="Q38" s="1"/>
  <c r="R38" s="1"/>
  <c r="P38"/>
  <c r="P39" i="65"/>
  <c r="O39"/>
  <c r="O39" i="61"/>
  <c r="Q39" s="1"/>
  <c r="P39"/>
  <c r="P38"/>
  <c r="O38"/>
  <c r="R22" i="65"/>
  <c r="R22" i="3"/>
  <c r="R21"/>
  <c r="R49" s="1"/>
  <c r="R23" i="65"/>
  <c r="V23"/>
  <c r="Z17" i="3"/>
  <c r="M71" i="26"/>
  <c r="O71" s="1"/>
  <c r="V22" i="65"/>
  <c r="Z19" i="3"/>
  <c r="Z9"/>
  <c r="Z10"/>
  <c r="Z18"/>
  <c r="V21" i="65"/>
  <c r="V17"/>
  <c r="V9"/>
  <c r="L82" i="52"/>
  <c r="Z24" i="3"/>
  <c r="V20" i="65"/>
  <c r="Z22" i="3"/>
  <c r="Z12"/>
  <c r="L81" i="52"/>
  <c r="M66" i="26"/>
  <c r="O66" s="1"/>
  <c r="R23" i="3"/>
  <c r="M67" i="26"/>
  <c r="Z21" i="3"/>
  <c r="L80" i="52"/>
  <c r="V19" i="65"/>
  <c r="V24"/>
  <c r="M72" i="26"/>
  <c r="M70"/>
  <c r="V10" i="65"/>
  <c r="L83" i="52"/>
  <c r="R21" i="65"/>
  <c r="R38" s="1"/>
  <c r="V38" s="1"/>
  <c r="L76" i="52"/>
  <c r="L77"/>
  <c r="V12" i="65"/>
  <c r="Z11" i="3"/>
  <c r="Z23"/>
  <c r="V11" i="65"/>
  <c r="V18"/>
  <c r="Z20" i="3"/>
  <c r="M73" i="26"/>
  <c r="Z96" i="65"/>
  <c r="N33" i="26"/>
  <c r="N44"/>
  <c r="N76" s="1"/>
  <c r="N85" s="1"/>
  <c r="N15" i="67"/>
  <c r="N13" i="62"/>
  <c r="N16" i="67"/>
  <c r="N16" i="62"/>
  <c r="N14" i="67"/>
  <c r="N15" i="62"/>
  <c r="N14"/>
  <c r="N13" i="67"/>
  <c r="N13" i="65"/>
  <c r="N15" i="3"/>
  <c r="N16" i="65"/>
  <c r="N16" i="3"/>
  <c r="N13"/>
  <c r="N14"/>
  <c r="N15" i="65"/>
  <c r="N14"/>
  <c r="N16" i="75"/>
  <c r="N14" i="78"/>
  <c r="N16"/>
  <c r="N15" i="75"/>
  <c r="N13"/>
  <c r="N14"/>
  <c r="N13" i="78"/>
  <c r="N15"/>
  <c r="R35" i="65"/>
  <c r="V35" s="1"/>
  <c r="W35" s="1"/>
  <c r="AE35" s="1"/>
  <c r="AI114" i="50"/>
  <c r="AM114" s="1"/>
  <c r="AP114" s="1"/>
  <c r="AI111"/>
  <c r="AM111" s="1"/>
  <c r="AP111" s="1"/>
  <c r="AI316"/>
  <c r="AM316" s="1"/>
  <c r="AP316" s="1"/>
  <c r="AI328"/>
  <c r="AM328" s="1"/>
  <c r="AP328" s="1"/>
  <c r="AI501"/>
  <c r="AM501" s="1"/>
  <c r="AP501" s="1"/>
  <c r="AP53" i="62"/>
  <c r="AI195" i="50"/>
  <c r="AM195" s="1"/>
  <c r="AP195" s="1"/>
  <c r="AI333"/>
  <c r="AM333" s="1"/>
  <c r="AP333" s="1"/>
  <c r="AI279"/>
  <c r="AM279" s="1"/>
  <c r="AP279" s="1"/>
  <c r="AI145"/>
  <c r="AM145" s="1"/>
  <c r="AP145" s="1"/>
  <c r="AI340"/>
  <c r="AM340" s="1"/>
  <c r="AP340" s="1"/>
  <c r="G22" i="55"/>
  <c r="AI460" i="50"/>
  <c r="AM460" s="1"/>
  <c r="AP460" s="1"/>
  <c r="AI548"/>
  <c r="AM548" s="1"/>
  <c r="AP548" s="1"/>
  <c r="AI546"/>
  <c r="AM546" s="1"/>
  <c r="AP546" s="1"/>
  <c r="AI545"/>
  <c r="AM545" s="1"/>
  <c r="AP545" s="1"/>
  <c r="F42" i="63"/>
  <c r="F43" s="1"/>
  <c r="F46"/>
  <c r="D46" s="1"/>
  <c r="V62" i="65"/>
  <c r="X35"/>
  <c r="Y35" s="1"/>
  <c r="W62"/>
  <c r="X62"/>
  <c r="Y62" s="1"/>
  <c r="AE62"/>
  <c r="W38"/>
  <c r="V76" l="1"/>
  <c r="X76"/>
  <c r="H22" i="55"/>
  <c r="I22"/>
  <c r="Z77" i="52"/>
  <c r="AF77"/>
  <c r="T77"/>
  <c r="X77"/>
  <c r="P77"/>
  <c r="AD77"/>
  <c r="AB77"/>
  <c r="AH77"/>
  <c r="R77"/>
  <c r="V77"/>
  <c r="V54" i="65"/>
  <c r="W54" s="1"/>
  <c r="V64"/>
  <c r="W64" s="1"/>
  <c r="V63"/>
  <c r="W63" s="1"/>
  <c r="V53"/>
  <c r="W53" s="1"/>
  <c r="V57"/>
  <c r="W57" s="1"/>
  <c r="V58"/>
  <c r="W58" s="1"/>
  <c r="I23" i="55"/>
  <c r="H23"/>
  <c r="B159" i="50"/>
  <c r="L147"/>
  <c r="G147"/>
  <c r="E147"/>
  <c r="H147"/>
  <c r="F147"/>
  <c r="I147"/>
  <c r="K147"/>
  <c r="J147"/>
  <c r="M147"/>
  <c r="N147"/>
  <c r="O147"/>
  <c r="P147"/>
  <c r="Q147"/>
  <c r="R147" s="1"/>
  <c r="AB73" i="61"/>
  <c r="Z73"/>
  <c r="Z70"/>
  <c r="AS21" i="55"/>
  <c r="AR21"/>
  <c r="R21"/>
  <c r="Q21"/>
  <c r="G21"/>
  <c r="J356" i="50"/>
  <c r="M356"/>
  <c r="O356"/>
  <c r="F356"/>
  <c r="K356"/>
  <c r="N356"/>
  <c r="Q356"/>
  <c r="R356" s="1"/>
  <c r="H356"/>
  <c r="G356"/>
  <c r="P356"/>
  <c r="E356"/>
  <c r="B368"/>
  <c r="I356"/>
  <c r="L356"/>
  <c r="U28" i="26"/>
  <c r="W28" s="1"/>
  <c r="U15"/>
  <c r="W15" s="1"/>
  <c r="U11"/>
  <c r="W11" s="1"/>
  <c r="U20"/>
  <c r="W20" s="1"/>
  <c r="U12"/>
  <c r="W12" s="1"/>
  <c r="U19"/>
  <c r="W19" s="1"/>
  <c r="U14"/>
  <c r="W14" s="1"/>
  <c r="U26"/>
  <c r="W26" s="1"/>
  <c r="U16"/>
  <c r="W16" s="1"/>
  <c r="U13"/>
  <c r="W13" s="1"/>
  <c r="U17"/>
  <c r="W17" s="1"/>
  <c r="U25"/>
  <c r="W25" s="1"/>
  <c r="U29"/>
  <c r="W29" s="1"/>
  <c r="U10"/>
  <c r="W10" s="1"/>
  <c r="U18"/>
  <c r="W18" s="1"/>
  <c r="U22"/>
  <c r="W22" s="1"/>
  <c r="U24"/>
  <c r="W24" s="1"/>
  <c r="U27"/>
  <c r="W27" s="1"/>
  <c r="U23"/>
  <c r="W23" s="1"/>
  <c r="U21"/>
  <c r="W21" s="1"/>
  <c r="N32" i="66"/>
  <c r="N36"/>
  <c r="N46"/>
  <c r="N45"/>
  <c r="N33"/>
  <c r="N44"/>
  <c r="N37"/>
  <c r="N42"/>
  <c r="N43"/>
  <c r="N34"/>
  <c r="N32" i="61"/>
  <c r="N36"/>
  <c r="N33"/>
  <c r="N46"/>
  <c r="N35"/>
  <c r="N48"/>
  <c r="N44"/>
  <c r="N45"/>
  <c r="N37"/>
  <c r="N34"/>
  <c r="N42"/>
  <c r="N43"/>
  <c r="N45" i="78"/>
  <c r="N43"/>
  <c r="N34"/>
  <c r="N46"/>
  <c r="N32"/>
  <c r="N42"/>
  <c r="N44"/>
  <c r="N33"/>
  <c r="N37"/>
  <c r="N36"/>
  <c r="N48"/>
  <c r="N35"/>
  <c r="F10" i="57"/>
  <c r="V391" i="50"/>
  <c r="AI390"/>
  <c r="AM390" s="1"/>
  <c r="AP390" s="1"/>
  <c r="H234"/>
  <c r="B246"/>
  <c r="K234"/>
  <c r="M234"/>
  <c r="G234"/>
  <c r="O234"/>
  <c r="F234"/>
  <c r="I234"/>
  <c r="J234"/>
  <c r="L234"/>
  <c r="E234"/>
  <c r="N234"/>
  <c r="P234"/>
  <c r="Q234"/>
  <c r="R234" s="1"/>
  <c r="W463"/>
  <c r="AI462"/>
  <c r="AM462" s="1"/>
  <c r="AP462" s="1"/>
  <c r="W46" i="52"/>
  <c r="X46" s="1"/>
  <c r="Q46"/>
  <c r="R46" s="1"/>
  <c r="AG46"/>
  <c r="AH46" s="1"/>
  <c r="AE46"/>
  <c r="AF46" s="1"/>
  <c r="AC213" i="50"/>
  <c r="AI213" s="1"/>
  <c r="AM213" s="1"/>
  <c r="AP213" s="1"/>
  <c r="AI212"/>
  <c r="AM212" s="1"/>
  <c r="AP212" s="1"/>
  <c r="R33" i="26"/>
  <c r="R44"/>
  <c r="R76" s="1"/>
  <c r="R85" s="1"/>
  <c r="H14" i="55"/>
  <c r="I14"/>
  <c r="Q115" i="49"/>
  <c r="R112"/>
  <c r="G353" i="50"/>
  <c r="B365"/>
  <c r="E353"/>
  <c r="N353"/>
  <c r="L353"/>
  <c r="O353"/>
  <c r="J353"/>
  <c r="H353"/>
  <c r="M353"/>
  <c r="K353"/>
  <c r="I353"/>
  <c r="F353"/>
  <c r="Q353"/>
  <c r="R353" s="1"/>
  <c r="P353"/>
  <c r="AD12" i="26"/>
  <c r="Z32"/>
  <c r="AH12"/>
  <c r="AH32" s="1"/>
  <c r="B162" i="50"/>
  <c r="M150"/>
  <c r="L150"/>
  <c r="N150"/>
  <c r="I150"/>
  <c r="Q150"/>
  <c r="R150" s="1"/>
  <c r="E150"/>
  <c r="F150"/>
  <c r="P150"/>
  <c r="K150"/>
  <c r="J150"/>
  <c r="O150"/>
  <c r="G150"/>
  <c r="H150"/>
  <c r="H15" i="55"/>
  <c r="I15"/>
  <c r="H20"/>
  <c r="I20"/>
  <c r="M28" i="26"/>
  <c r="O28" s="1"/>
  <c r="AI28" s="1"/>
  <c r="AN28" s="1"/>
  <c r="M26"/>
  <c r="O26" s="1"/>
  <c r="M18"/>
  <c r="O18" s="1"/>
  <c r="M23"/>
  <c r="O23" s="1"/>
  <c r="M17"/>
  <c r="O17" s="1"/>
  <c r="M11"/>
  <c r="O11" s="1"/>
  <c r="M16"/>
  <c r="O16" s="1"/>
  <c r="M13"/>
  <c r="O13" s="1"/>
  <c r="M21"/>
  <c r="O21" s="1"/>
  <c r="M12"/>
  <c r="O12" s="1"/>
  <c r="M20"/>
  <c r="O20" s="1"/>
  <c r="M10"/>
  <c r="O10" s="1"/>
  <c r="M15"/>
  <c r="O15" s="1"/>
  <c r="M29"/>
  <c r="O29" s="1"/>
  <c r="AI29" s="1"/>
  <c r="AN29" s="1"/>
  <c r="M14"/>
  <c r="O14" s="1"/>
  <c r="M24"/>
  <c r="O24" s="1"/>
  <c r="M27"/>
  <c r="O27" s="1"/>
  <c r="AI27" s="1"/>
  <c r="AN27" s="1"/>
  <c r="M19"/>
  <c r="O19" s="1"/>
  <c r="M22"/>
  <c r="O22" s="1"/>
  <c r="M25"/>
  <c r="O25" s="1"/>
  <c r="L20" i="52"/>
  <c r="L34"/>
  <c r="L26"/>
  <c r="L22"/>
  <c r="L19"/>
  <c r="L29"/>
  <c r="L32"/>
  <c r="L33"/>
  <c r="L24"/>
  <c r="L25"/>
  <c r="L16"/>
  <c r="L17"/>
  <c r="L30"/>
  <c r="L23"/>
  <c r="L31"/>
  <c r="L27"/>
  <c r="L35"/>
  <c r="L21"/>
  <c r="L28"/>
  <c r="L18"/>
  <c r="J91" i="50"/>
  <c r="K91"/>
  <c r="H91"/>
  <c r="Q91"/>
  <c r="R91" s="1"/>
  <c r="B103"/>
  <c r="G91"/>
  <c r="F91"/>
  <c r="N91"/>
  <c r="E91"/>
  <c r="L91"/>
  <c r="O91"/>
  <c r="I91"/>
  <c r="M91"/>
  <c r="P91"/>
  <c r="V75" i="66"/>
  <c r="X76"/>
  <c r="V76"/>
  <c r="V75" i="65"/>
  <c r="Z38" i="3"/>
  <c r="AA38" s="1"/>
  <c r="Z39"/>
  <c r="AA39" s="1"/>
  <c r="R40" i="65"/>
  <c r="AI157" i="50"/>
  <c r="AM157" s="1"/>
  <c r="AP157" s="1"/>
  <c r="AI135"/>
  <c r="AM135" s="1"/>
  <c r="AP135" s="1"/>
  <c r="AI134"/>
  <c r="AM134" s="1"/>
  <c r="AP134" s="1"/>
  <c r="R76" i="52"/>
  <c r="Z81"/>
  <c r="Y90" s="1"/>
  <c r="Z90" s="1"/>
  <c r="AI550" i="50"/>
  <c r="AM550" s="1"/>
  <c r="AP550" s="1"/>
  <c r="AI344"/>
  <c r="AM344" s="1"/>
  <c r="AP344" s="1"/>
  <c r="K28" i="57"/>
  <c r="F28" s="1"/>
  <c r="I17"/>
  <c r="K17" s="1"/>
  <c r="F17" s="1"/>
  <c r="I18"/>
  <c r="K18" s="1"/>
  <c r="F18" s="1"/>
  <c r="AI222" i="50"/>
  <c r="AM222" s="1"/>
  <c r="AP222" s="1"/>
  <c r="AI389"/>
  <c r="AM389" s="1"/>
  <c r="AP389" s="1"/>
  <c r="AP39" i="55"/>
  <c r="R41" i="3"/>
  <c r="Z41" s="1"/>
  <c r="AA41" s="1"/>
  <c r="AI332" i="50"/>
  <c r="AM332" s="1"/>
  <c r="AP332" s="1"/>
  <c r="AB76" i="52"/>
  <c r="V76"/>
  <c r="T76"/>
  <c r="AF76"/>
  <c r="X76"/>
  <c r="AH76"/>
  <c r="Z76"/>
  <c r="AD76"/>
  <c r="P76"/>
  <c r="L72" i="26"/>
  <c r="O72" s="1"/>
  <c r="L81"/>
  <c r="O81" s="1"/>
  <c r="T81" i="52"/>
  <c r="S90" s="1"/>
  <c r="T90" s="1"/>
  <c r="AH81"/>
  <c r="AG90" s="1"/>
  <c r="AH90" s="1"/>
  <c r="AF81"/>
  <c r="AE90" s="1"/>
  <c r="AF90" s="1"/>
  <c r="V81"/>
  <c r="U90" s="1"/>
  <c r="V90" s="1"/>
  <c r="AD81"/>
  <c r="AC90" s="1"/>
  <c r="AD90" s="1"/>
  <c r="P81"/>
  <c r="Z58" i="3"/>
  <c r="AA58" s="1"/>
  <c r="Z59"/>
  <c r="AA59" s="1"/>
  <c r="AB59" s="1"/>
  <c r="AC59" s="1"/>
  <c r="AE59" s="1"/>
  <c r="Z56"/>
  <c r="AA56" s="1"/>
  <c r="Z57"/>
  <c r="AA57" s="1"/>
  <c r="L80" i="26"/>
  <c r="O80" s="1"/>
  <c r="X41" i="55"/>
  <c r="X42"/>
  <c r="H169" i="50"/>
  <c r="G169"/>
  <c r="F169"/>
  <c r="J169"/>
  <c r="B181"/>
  <c r="K169"/>
  <c r="L169"/>
  <c r="E169"/>
  <c r="I169"/>
  <c r="O169"/>
  <c r="M169"/>
  <c r="N169"/>
  <c r="P169"/>
  <c r="Q169"/>
  <c r="R169" s="1"/>
  <c r="B158"/>
  <c r="I146"/>
  <c r="K146"/>
  <c r="E146"/>
  <c r="H146"/>
  <c r="G146"/>
  <c r="L146"/>
  <c r="J146"/>
  <c r="F146"/>
  <c r="M146"/>
  <c r="O146"/>
  <c r="N146"/>
  <c r="P146"/>
  <c r="Q146"/>
  <c r="R146" s="1"/>
  <c r="B315"/>
  <c r="J303"/>
  <c r="K303"/>
  <c r="H303"/>
  <c r="L303"/>
  <c r="N303"/>
  <c r="Q303"/>
  <c r="R303" s="1"/>
  <c r="P303"/>
  <c r="F303"/>
  <c r="E303"/>
  <c r="G303"/>
  <c r="I303"/>
  <c r="M303"/>
  <c r="O303"/>
  <c r="AY41" i="55"/>
  <c r="AY42"/>
  <c r="AI21"/>
  <c r="AJ21"/>
  <c r="Z21"/>
  <c r="AA21"/>
  <c r="BB21"/>
  <c r="BA21"/>
  <c r="N33" i="67"/>
  <c r="N37"/>
  <c r="N36"/>
  <c r="N45"/>
  <c r="N44"/>
  <c r="N43"/>
  <c r="N46"/>
  <c r="N34"/>
  <c r="N32"/>
  <c r="N42"/>
  <c r="N46" i="62"/>
  <c r="N37"/>
  <c r="N32"/>
  <c r="N36"/>
  <c r="N48"/>
  <c r="N43"/>
  <c r="N45"/>
  <c r="N34"/>
  <c r="N42"/>
  <c r="N35"/>
  <c r="N44"/>
  <c r="N33"/>
  <c r="Q28" i="26"/>
  <c r="S28" s="1"/>
  <c r="Q14"/>
  <c r="S14" s="1"/>
  <c r="Q11"/>
  <c r="S11" s="1"/>
  <c r="Q18"/>
  <c r="S18" s="1"/>
  <c r="Q10"/>
  <c r="S10" s="1"/>
  <c r="Q19"/>
  <c r="S19" s="1"/>
  <c r="Q29"/>
  <c r="S29" s="1"/>
  <c r="Q13"/>
  <c r="S13" s="1"/>
  <c r="Q23"/>
  <c r="S23" s="1"/>
  <c r="Q12"/>
  <c r="S12" s="1"/>
  <c r="Q20"/>
  <c r="S20" s="1"/>
  <c r="Q24"/>
  <c r="S24" s="1"/>
  <c r="Q21"/>
  <c r="S21" s="1"/>
  <c r="Q17"/>
  <c r="S17" s="1"/>
  <c r="Q16"/>
  <c r="S16" s="1"/>
  <c r="Q27"/>
  <c r="S27" s="1"/>
  <c r="Q26"/>
  <c r="S26" s="1"/>
  <c r="Q15"/>
  <c r="S15" s="1"/>
  <c r="Q25"/>
  <c r="S25" s="1"/>
  <c r="Q22"/>
  <c r="S22" s="1"/>
  <c r="N37" i="75"/>
  <c r="N35"/>
  <c r="N32"/>
  <c r="N42"/>
  <c r="N43"/>
  <c r="N36"/>
  <c r="N48"/>
  <c r="N46"/>
  <c r="N45"/>
  <c r="N44"/>
  <c r="N34"/>
  <c r="N33"/>
  <c r="Y29" i="26"/>
  <c r="AA29" s="1"/>
  <c r="Y18"/>
  <c r="AA18" s="1"/>
  <c r="Y23"/>
  <c r="AA23" s="1"/>
  <c r="Y21"/>
  <c r="AA21" s="1"/>
  <c r="Y11"/>
  <c r="AA11" s="1"/>
  <c r="Y15"/>
  <c r="AA15" s="1"/>
  <c r="Y25"/>
  <c r="AA25" s="1"/>
  <c r="Y13"/>
  <c r="AA13" s="1"/>
  <c r="Y14"/>
  <c r="AA14" s="1"/>
  <c r="Y22"/>
  <c r="AA22" s="1"/>
  <c r="Y26"/>
  <c r="AA26" s="1"/>
  <c r="Y12"/>
  <c r="AA12" s="1"/>
  <c r="Y19"/>
  <c r="AA19" s="1"/>
  <c r="Y17"/>
  <c r="AA17" s="1"/>
  <c r="Y24"/>
  <c r="AA24" s="1"/>
  <c r="Y28"/>
  <c r="AA28" s="1"/>
  <c r="Y20"/>
  <c r="AA20" s="1"/>
  <c r="Y27"/>
  <c r="AA27" s="1"/>
  <c r="Y16"/>
  <c r="AA16" s="1"/>
  <c r="Y10"/>
  <c r="AA10" s="1"/>
  <c r="AA32" s="1"/>
  <c r="E10" i="57"/>
  <c r="E32" s="1"/>
  <c r="J32"/>
  <c r="A88" i="50"/>
  <c r="AL87"/>
  <c r="AA46" i="52"/>
  <c r="AB46" s="1"/>
  <c r="O46"/>
  <c r="P46" s="1"/>
  <c r="N42"/>
  <c r="AC46"/>
  <c r="AD46" s="1"/>
  <c r="AL17" i="50"/>
  <c r="A18"/>
  <c r="P119" i="49"/>
  <c r="P116"/>
  <c r="P129"/>
  <c r="P117"/>
  <c r="P120"/>
  <c r="P126"/>
  <c r="P121"/>
  <c r="P127"/>
  <c r="P128"/>
  <c r="P124"/>
  <c r="P123"/>
  <c r="P122"/>
  <c r="P118"/>
  <c r="P130"/>
  <c r="P125"/>
  <c r="L364" i="50"/>
  <c r="G364"/>
  <c r="N364"/>
  <c r="M364"/>
  <c r="J364"/>
  <c r="K364"/>
  <c r="I364"/>
  <c r="H364"/>
  <c r="P364"/>
  <c r="E364"/>
  <c r="F364"/>
  <c r="O364"/>
  <c r="Q364"/>
  <c r="R364" s="1"/>
  <c r="AD60" i="26"/>
  <c r="AD64" s="1"/>
  <c r="Z64"/>
  <c r="AH60"/>
  <c r="AH64" s="1"/>
  <c r="E537" i="50"/>
  <c r="N537"/>
  <c r="O537"/>
  <c r="I537"/>
  <c r="P537"/>
  <c r="B549"/>
  <c r="K537"/>
  <c r="L537"/>
  <c r="M537"/>
  <c r="G537"/>
  <c r="J537"/>
  <c r="F537"/>
  <c r="Q537"/>
  <c r="R537" s="1"/>
  <c r="H537"/>
  <c r="I184"/>
  <c r="E184"/>
  <c r="H184"/>
  <c r="M184"/>
  <c r="G184"/>
  <c r="J184"/>
  <c r="F184"/>
  <c r="K184"/>
  <c r="L184"/>
  <c r="N184"/>
  <c r="O184"/>
  <c r="P184"/>
  <c r="Q184"/>
  <c r="R184" s="1"/>
  <c r="J357"/>
  <c r="H357"/>
  <c r="P357"/>
  <c r="E357"/>
  <c r="L357"/>
  <c r="O357"/>
  <c r="F357"/>
  <c r="K357"/>
  <c r="B369"/>
  <c r="M357"/>
  <c r="Q357"/>
  <c r="R357" s="1"/>
  <c r="N357"/>
  <c r="G357"/>
  <c r="I357"/>
  <c r="A20" i="58"/>
  <c r="D19"/>
  <c r="J19" s="1"/>
  <c r="A53" i="50"/>
  <c r="AL52"/>
  <c r="W145" i="49"/>
  <c r="X137"/>
  <c r="X145" s="1"/>
  <c r="N34" i="65"/>
  <c r="N44"/>
  <c r="N43"/>
  <c r="N32"/>
  <c r="N42"/>
  <c r="N37"/>
  <c r="N45"/>
  <c r="N33"/>
  <c r="N46"/>
  <c r="N36"/>
  <c r="N34" i="3"/>
  <c r="N33"/>
  <c r="N45"/>
  <c r="N36"/>
  <c r="N32"/>
  <c r="N43"/>
  <c r="N46"/>
  <c r="N44"/>
  <c r="N48"/>
  <c r="Q48" s="1"/>
  <c r="R48" s="1"/>
  <c r="Z48" s="1"/>
  <c r="AA48" s="1"/>
  <c r="N35"/>
  <c r="N37"/>
  <c r="N42"/>
  <c r="K113" i="50"/>
  <c r="O113"/>
  <c r="N113"/>
  <c r="Q113"/>
  <c r="R113" s="1"/>
  <c r="B125"/>
  <c r="L113"/>
  <c r="F113"/>
  <c r="P113"/>
  <c r="M113"/>
  <c r="J113"/>
  <c r="H113"/>
  <c r="I113"/>
  <c r="G113"/>
  <c r="E113"/>
  <c r="AI113" s="1"/>
  <c r="AM113" s="1"/>
  <c r="AP113" s="1"/>
  <c r="G278"/>
  <c r="F278"/>
  <c r="I278"/>
  <c r="J278"/>
  <c r="N278"/>
  <c r="M278"/>
  <c r="E278"/>
  <c r="B290"/>
  <c r="H278"/>
  <c r="L278"/>
  <c r="K278"/>
  <c r="O278"/>
  <c r="P278"/>
  <c r="Q278"/>
  <c r="R278" s="1"/>
  <c r="T98"/>
  <c r="AI97"/>
  <c r="AM97" s="1"/>
  <c r="AP97" s="1"/>
  <c r="Z49" i="3"/>
  <c r="AA49" s="1"/>
  <c r="Q38" i="61"/>
  <c r="Q39" i="65"/>
  <c r="Q40" i="3"/>
  <c r="Q41" i="65"/>
  <c r="AI291" i="50"/>
  <c r="AM291" s="1"/>
  <c r="AP291" s="1"/>
  <c r="AB81" i="52"/>
  <c r="AA90" s="1"/>
  <c r="AB90" s="1"/>
  <c r="S46"/>
  <c r="T46" s="1"/>
  <c r="AB71" i="61"/>
  <c r="Z71"/>
  <c r="I21" i="57"/>
  <c r="K21" s="1"/>
  <c r="F21" s="1"/>
  <c r="I27"/>
  <c r="K27" s="1"/>
  <c r="F27" s="1"/>
  <c r="K26"/>
  <c r="F26" s="1"/>
  <c r="I24"/>
  <c r="K24" s="1"/>
  <c r="F24" s="1"/>
  <c r="I19"/>
  <c r="K19" s="1"/>
  <c r="F19" s="1"/>
  <c r="I11"/>
  <c r="K11" s="1"/>
  <c r="F11" s="1"/>
  <c r="I14"/>
  <c r="K14" s="1"/>
  <c r="F14" s="1"/>
  <c r="I15"/>
  <c r="K15" s="1"/>
  <c r="F15" s="1"/>
  <c r="I16"/>
  <c r="K16" s="1"/>
  <c r="F16" s="1"/>
  <c r="O39" i="55"/>
  <c r="Q38" i="62"/>
  <c r="Q39" i="66"/>
  <c r="Q38" i="67"/>
  <c r="Q41" i="61"/>
  <c r="AG39" i="55"/>
  <c r="AI352" i="50"/>
  <c r="AM352" s="1"/>
  <c r="AP352" s="1"/>
  <c r="AI341"/>
  <c r="AM341" s="1"/>
  <c r="AP341" s="1"/>
  <c r="V32" i="26"/>
  <c r="AI525" i="50"/>
  <c r="AM525" s="1"/>
  <c r="AP525" s="1"/>
  <c r="AI172"/>
  <c r="AM172" s="1"/>
  <c r="AP172" s="1"/>
  <c r="X81" i="52"/>
  <c r="W90" s="1"/>
  <c r="X90" s="1"/>
  <c r="R81"/>
  <c r="Q90" s="1"/>
  <c r="R90" s="1"/>
  <c r="AI266" i="50"/>
  <c r="AM266" s="1"/>
  <c r="AP266" s="1"/>
  <c r="AI79"/>
  <c r="AM79" s="1"/>
  <c r="AP79" s="1"/>
  <c r="F48" i="63"/>
  <c r="F49" s="1"/>
  <c r="AF35" i="65"/>
  <c r="AG35" s="1"/>
  <c r="AH35" s="1"/>
  <c r="AB35"/>
  <c r="AV35"/>
  <c r="AA35"/>
  <c r="AW35" s="1"/>
  <c r="AA62"/>
  <c r="AF62"/>
  <c r="AG62" s="1"/>
  <c r="AH62" s="1"/>
  <c r="AV62"/>
  <c r="X38"/>
  <c r="Y38" s="1"/>
  <c r="AE38"/>
  <c r="AB39" i="3"/>
  <c r="AC39" s="1"/>
  <c r="AI39"/>
  <c r="AI49"/>
  <c r="AB49"/>
  <c r="AC49" s="1"/>
  <c r="AG41" i="55" l="1"/>
  <c r="AG42"/>
  <c r="O42"/>
  <c r="O41"/>
  <c r="R41" i="65"/>
  <c r="V41" s="1"/>
  <c r="R39"/>
  <c r="V39" s="1"/>
  <c r="T99" i="50"/>
  <c r="AI98"/>
  <c r="AM98" s="1"/>
  <c r="AP98" s="1"/>
  <c r="E125"/>
  <c r="F125"/>
  <c r="G125"/>
  <c r="O125"/>
  <c r="P125"/>
  <c r="J125"/>
  <c r="B137"/>
  <c r="I125"/>
  <c r="Q125"/>
  <c r="R125" s="1"/>
  <c r="L125"/>
  <c r="H125"/>
  <c r="M125"/>
  <c r="N125"/>
  <c r="K125"/>
  <c r="O37" i="3"/>
  <c r="X37"/>
  <c r="Q37"/>
  <c r="R37" s="1"/>
  <c r="P37"/>
  <c r="AI48"/>
  <c r="AB48"/>
  <c r="AC48" s="1"/>
  <c r="O46"/>
  <c r="Q46" s="1"/>
  <c r="R46" s="1"/>
  <c r="P46"/>
  <c r="X46"/>
  <c r="X32"/>
  <c r="P32"/>
  <c r="O32"/>
  <c r="Q32" s="1"/>
  <c r="R32" s="1"/>
  <c r="O45"/>
  <c r="Q45" s="1"/>
  <c r="R45" s="1"/>
  <c r="X45"/>
  <c r="P45"/>
  <c r="P34"/>
  <c r="O34"/>
  <c r="X34"/>
  <c r="P46" i="65"/>
  <c r="O46"/>
  <c r="Q46" s="1"/>
  <c r="R46" s="1"/>
  <c r="V46" s="1"/>
  <c r="W46" s="1"/>
  <c r="U46"/>
  <c r="U45"/>
  <c r="P45"/>
  <c r="O45"/>
  <c r="P42"/>
  <c r="U42"/>
  <c r="O42"/>
  <c r="Q42" s="1"/>
  <c r="P43"/>
  <c r="U43"/>
  <c r="O43"/>
  <c r="Q43"/>
  <c r="R43" s="1"/>
  <c r="V43" s="1"/>
  <c r="W43" s="1"/>
  <c r="P34"/>
  <c r="U34"/>
  <c r="O34"/>
  <c r="Q34"/>
  <c r="R34" s="1"/>
  <c r="AL53" i="50"/>
  <c r="A54"/>
  <c r="A21" i="58"/>
  <c r="D20"/>
  <c r="J20" s="1"/>
  <c r="O369" i="50"/>
  <c r="I369"/>
  <c r="Q369"/>
  <c r="R369" s="1"/>
  <c r="N369"/>
  <c r="K369"/>
  <c r="M369"/>
  <c r="J369"/>
  <c r="G369"/>
  <c r="H369"/>
  <c r="F369"/>
  <c r="E369"/>
  <c r="P369"/>
  <c r="L369"/>
  <c r="G549"/>
  <c r="N549"/>
  <c r="L549"/>
  <c r="K549"/>
  <c r="E549"/>
  <c r="M549"/>
  <c r="J549"/>
  <c r="O549"/>
  <c r="Q549"/>
  <c r="R549" s="1"/>
  <c r="I549"/>
  <c r="P549"/>
  <c r="H549"/>
  <c r="F549"/>
  <c r="X37" i="26"/>
  <c r="AA85"/>
  <c r="AA33"/>
  <c r="AA44"/>
  <c r="AA76"/>
  <c r="P33" i="75"/>
  <c r="X33"/>
  <c r="O33"/>
  <c r="O44"/>
  <c r="X44"/>
  <c r="P44"/>
  <c r="X46"/>
  <c r="P46"/>
  <c r="O46"/>
  <c r="P36"/>
  <c r="O36"/>
  <c r="X36"/>
  <c r="P42"/>
  <c r="X42"/>
  <c r="O42"/>
  <c r="P35"/>
  <c r="X35"/>
  <c r="O35"/>
  <c r="X33" i="62"/>
  <c r="O33"/>
  <c r="P33"/>
  <c r="O35"/>
  <c r="X35"/>
  <c r="P35"/>
  <c r="P34"/>
  <c r="X34"/>
  <c r="O34"/>
  <c r="O43"/>
  <c r="P43"/>
  <c r="X43"/>
  <c r="P36"/>
  <c r="O36"/>
  <c r="X36"/>
  <c r="O37"/>
  <c r="X37"/>
  <c r="P37"/>
  <c r="P42" i="67"/>
  <c r="U42"/>
  <c r="O42"/>
  <c r="O34"/>
  <c r="P34"/>
  <c r="U34"/>
  <c r="O43"/>
  <c r="U43"/>
  <c r="P43"/>
  <c r="U45"/>
  <c r="P45"/>
  <c r="O45"/>
  <c r="U37"/>
  <c r="P37"/>
  <c r="O37"/>
  <c r="AB57" i="3"/>
  <c r="AC57"/>
  <c r="AI57"/>
  <c r="N81" i="52"/>
  <c r="AJ81" s="1"/>
  <c r="O90"/>
  <c r="P90" s="1"/>
  <c r="N90" s="1"/>
  <c r="AJ90" s="1"/>
  <c r="AC82"/>
  <c r="AD82" s="1"/>
  <c r="AC91" s="1"/>
  <c r="AD91" s="1"/>
  <c r="AD78"/>
  <c r="AG82"/>
  <c r="AH82" s="1"/>
  <c r="AG91"/>
  <c r="AH91" s="1"/>
  <c r="AH78"/>
  <c r="AE82"/>
  <c r="AF82" s="1"/>
  <c r="AE91" s="1"/>
  <c r="AF91" s="1"/>
  <c r="AF78"/>
  <c r="U82"/>
  <c r="V82" s="1"/>
  <c r="U91"/>
  <c r="V91" s="1"/>
  <c r="V78"/>
  <c r="AB41" i="3"/>
  <c r="AC41" s="1"/>
  <c r="AI41"/>
  <c r="AP41" i="55"/>
  <c r="AP42"/>
  <c r="Q82" i="52"/>
  <c r="R82" s="1"/>
  <c r="R78"/>
  <c r="Q91"/>
  <c r="R91" s="1"/>
  <c r="I103" i="50"/>
  <c r="F103"/>
  <c r="G103"/>
  <c r="E103"/>
  <c r="M103"/>
  <c r="H103"/>
  <c r="N103"/>
  <c r="K103"/>
  <c r="B115"/>
  <c r="Q103"/>
  <c r="R103" s="1"/>
  <c r="P103"/>
  <c r="L103"/>
  <c r="J103"/>
  <c r="O103"/>
  <c r="Z28" i="52"/>
  <c r="P28"/>
  <c r="AD28"/>
  <c r="AF28"/>
  <c r="X28"/>
  <c r="AB28"/>
  <c r="T28"/>
  <c r="V28"/>
  <c r="R28"/>
  <c r="AH28"/>
  <c r="AF35"/>
  <c r="V35"/>
  <c r="R35"/>
  <c r="X35"/>
  <c r="AB35"/>
  <c r="T35"/>
  <c r="P35"/>
  <c r="N35" s="1"/>
  <c r="AJ35" s="1"/>
  <c r="AD35"/>
  <c r="AH35"/>
  <c r="Z35"/>
  <c r="AD31"/>
  <c r="V31"/>
  <c r="AF31"/>
  <c r="AH31"/>
  <c r="X31"/>
  <c r="R31"/>
  <c r="T31"/>
  <c r="AB31"/>
  <c r="Z31"/>
  <c r="P31"/>
  <c r="N31" s="1"/>
  <c r="AJ31" s="1"/>
  <c r="V30"/>
  <c r="AB30"/>
  <c r="Z30"/>
  <c r="AD30"/>
  <c r="T30"/>
  <c r="X30"/>
  <c r="AF30"/>
  <c r="R30"/>
  <c r="AH30"/>
  <c r="P30"/>
  <c r="N30" s="1"/>
  <c r="AJ30" s="1"/>
  <c r="T16"/>
  <c r="Z16"/>
  <c r="X16"/>
  <c r="P16"/>
  <c r="AD16"/>
  <c r="AH16"/>
  <c r="AF16"/>
  <c r="V16"/>
  <c r="AB16"/>
  <c r="R16"/>
  <c r="R24"/>
  <c r="V24"/>
  <c r="AF24"/>
  <c r="X24"/>
  <c r="AD24"/>
  <c r="P24"/>
  <c r="Z24"/>
  <c r="T24"/>
  <c r="AB24"/>
  <c r="AH24"/>
  <c r="V32"/>
  <c r="T32"/>
  <c r="AF32"/>
  <c r="AD32"/>
  <c r="AB32"/>
  <c r="R32"/>
  <c r="Z32"/>
  <c r="AH32"/>
  <c r="X32"/>
  <c r="P32"/>
  <c r="N32" s="1"/>
  <c r="AJ32" s="1"/>
  <c r="AH19"/>
  <c r="X19"/>
  <c r="AB19"/>
  <c r="AD19"/>
  <c r="P19"/>
  <c r="AF19"/>
  <c r="V19"/>
  <c r="T19"/>
  <c r="Z19"/>
  <c r="R19"/>
  <c r="Z26"/>
  <c r="X26"/>
  <c r="AH26"/>
  <c r="AF26"/>
  <c r="T26"/>
  <c r="V26"/>
  <c r="AB26"/>
  <c r="AD26"/>
  <c r="R26"/>
  <c r="P26"/>
  <c r="N26" s="1"/>
  <c r="AJ26" s="1"/>
  <c r="V20"/>
  <c r="P20"/>
  <c r="AH20"/>
  <c r="AB20"/>
  <c r="Z20"/>
  <c r="X20"/>
  <c r="R20"/>
  <c r="AD20"/>
  <c r="AF20"/>
  <c r="T20"/>
  <c r="B174" i="50"/>
  <c r="K162"/>
  <c r="I162"/>
  <c r="O162"/>
  <c r="G162"/>
  <c r="M162"/>
  <c r="E162"/>
  <c r="Q162"/>
  <c r="R162" s="1"/>
  <c r="H162"/>
  <c r="J162"/>
  <c r="L162"/>
  <c r="F162"/>
  <c r="N162"/>
  <c r="P162"/>
  <c r="Z33" i="26"/>
  <c r="Z44"/>
  <c r="Z76" s="1"/>
  <c r="Z85" s="1"/>
  <c r="N365" i="50"/>
  <c r="K365"/>
  <c r="I365"/>
  <c r="G365"/>
  <c r="H365"/>
  <c r="L365"/>
  <c r="M365"/>
  <c r="E365"/>
  <c r="J365"/>
  <c r="O365"/>
  <c r="F365"/>
  <c r="P365"/>
  <c r="Q365"/>
  <c r="R365" s="1"/>
  <c r="R115" i="49"/>
  <c r="S112"/>
  <c r="B258" i="50"/>
  <c r="F246"/>
  <c r="H246"/>
  <c r="J246"/>
  <c r="L246"/>
  <c r="E246"/>
  <c r="N246"/>
  <c r="G246"/>
  <c r="I246"/>
  <c r="K246"/>
  <c r="M246"/>
  <c r="O246"/>
  <c r="P246"/>
  <c r="Q246"/>
  <c r="R246" s="1"/>
  <c r="P35" i="78"/>
  <c r="X35"/>
  <c r="O35"/>
  <c r="X36"/>
  <c r="O36"/>
  <c r="P36"/>
  <c r="P33"/>
  <c r="O33"/>
  <c r="X33"/>
  <c r="O42"/>
  <c r="P42"/>
  <c r="X42"/>
  <c r="X46"/>
  <c r="P46"/>
  <c r="O46"/>
  <c r="P43"/>
  <c r="X43"/>
  <c r="O43"/>
  <c r="O43" i="61"/>
  <c r="X43"/>
  <c r="P43"/>
  <c r="O34"/>
  <c r="X34"/>
  <c r="P34"/>
  <c r="P45"/>
  <c r="O45"/>
  <c r="X45"/>
  <c r="O46"/>
  <c r="P46"/>
  <c r="X46"/>
  <c r="X36"/>
  <c r="O36"/>
  <c r="P36"/>
  <c r="U34" i="66"/>
  <c r="O34"/>
  <c r="P34"/>
  <c r="U42"/>
  <c r="P42"/>
  <c r="O42"/>
  <c r="O44"/>
  <c r="U44"/>
  <c r="P44"/>
  <c r="O45"/>
  <c r="U45"/>
  <c r="P45"/>
  <c r="P36"/>
  <c r="U36"/>
  <c r="O36"/>
  <c r="F368" i="50"/>
  <c r="I368"/>
  <c r="G368"/>
  <c r="H368"/>
  <c r="J368"/>
  <c r="O368"/>
  <c r="L368"/>
  <c r="E368"/>
  <c r="P368"/>
  <c r="Q368"/>
  <c r="R368" s="1"/>
  <c r="N368"/>
  <c r="K368"/>
  <c r="M368"/>
  <c r="H21" i="55"/>
  <c r="I21"/>
  <c r="F39"/>
  <c r="AE58" i="65"/>
  <c r="X58"/>
  <c r="Y58" s="1"/>
  <c r="AE53"/>
  <c r="X53"/>
  <c r="Y53"/>
  <c r="AE64"/>
  <c r="X64"/>
  <c r="Y64" s="1"/>
  <c r="U83" i="52"/>
  <c r="V83" s="1"/>
  <c r="U92"/>
  <c r="V92" s="1"/>
  <c r="AG83"/>
  <c r="AH83" s="1"/>
  <c r="AG92"/>
  <c r="AH92" s="1"/>
  <c r="AC83"/>
  <c r="AD83" s="1"/>
  <c r="AC92"/>
  <c r="AD92" s="1"/>
  <c r="W83"/>
  <c r="X83" s="1"/>
  <c r="W92"/>
  <c r="X92" s="1"/>
  <c r="AE83"/>
  <c r="AF83" s="1"/>
  <c r="AE92"/>
  <c r="AF92" s="1"/>
  <c r="AI278" i="50"/>
  <c r="AM278" s="1"/>
  <c r="AP278" s="1"/>
  <c r="AI184"/>
  <c r="AM184" s="1"/>
  <c r="AP184" s="1"/>
  <c r="AI364"/>
  <c r="AM364" s="1"/>
  <c r="AP364" s="1"/>
  <c r="AI303"/>
  <c r="AM303" s="1"/>
  <c r="AP303" s="1"/>
  <c r="AI146"/>
  <c r="AM146" s="1"/>
  <c r="AP146" s="1"/>
  <c r="AI169"/>
  <c r="AM169" s="1"/>
  <c r="AP169" s="1"/>
  <c r="AI91"/>
  <c r="AM91" s="1"/>
  <c r="AP91" s="1"/>
  <c r="AI22" i="26"/>
  <c r="AN22" s="1"/>
  <c r="AI14"/>
  <c r="AN14" s="1"/>
  <c r="AI15"/>
  <c r="AN15" s="1"/>
  <c r="AI20"/>
  <c r="AN20" s="1"/>
  <c r="AI21"/>
  <c r="AN21" s="1"/>
  <c r="AI16"/>
  <c r="AN16" s="1"/>
  <c r="AI17"/>
  <c r="AN17" s="1"/>
  <c r="AI18"/>
  <c r="AN18" s="1"/>
  <c r="AI150" i="50"/>
  <c r="AM150" s="1"/>
  <c r="AP150" s="1"/>
  <c r="F32" i="57"/>
  <c r="F38" s="1"/>
  <c r="W32" i="26"/>
  <c r="AI147" i="50"/>
  <c r="AM147" s="1"/>
  <c r="AP147" s="1"/>
  <c r="V33" i="26"/>
  <c r="V44"/>
  <c r="V76"/>
  <c r="V85" s="1"/>
  <c r="R40" i="3"/>
  <c r="Z40" s="1"/>
  <c r="AA40"/>
  <c r="E290" i="50"/>
  <c r="I290"/>
  <c r="L290"/>
  <c r="G290"/>
  <c r="M290"/>
  <c r="O290"/>
  <c r="B302"/>
  <c r="F290"/>
  <c r="J290"/>
  <c r="H290"/>
  <c r="K290"/>
  <c r="N290"/>
  <c r="P290"/>
  <c r="Q290"/>
  <c r="R290" s="1"/>
  <c r="O42" i="3"/>
  <c r="P42"/>
  <c r="Q42" s="1"/>
  <c r="R42" s="1"/>
  <c r="X42"/>
  <c r="P35"/>
  <c r="O35"/>
  <c r="X35"/>
  <c r="Q35"/>
  <c r="R35" s="1"/>
  <c r="X44"/>
  <c r="P44"/>
  <c r="O44"/>
  <c r="Q44"/>
  <c r="R44" s="1"/>
  <c r="P43"/>
  <c r="O43"/>
  <c r="Q43" s="1"/>
  <c r="R43" s="1"/>
  <c r="X43"/>
  <c r="O36"/>
  <c r="X36"/>
  <c r="P36"/>
  <c r="Q36" s="1"/>
  <c r="R36" s="1"/>
  <c r="O33"/>
  <c r="X33"/>
  <c r="P33"/>
  <c r="Q33" s="1"/>
  <c r="R33" s="1"/>
  <c r="P36" i="65"/>
  <c r="O36"/>
  <c r="U36"/>
  <c r="Q36"/>
  <c r="R36" s="1"/>
  <c r="O33"/>
  <c r="P33"/>
  <c r="U33"/>
  <c r="Q33"/>
  <c r="R33" s="1"/>
  <c r="V33" s="1"/>
  <c r="W33" s="1"/>
  <c r="U37"/>
  <c r="O37"/>
  <c r="P37"/>
  <c r="Q37" s="1"/>
  <c r="R37" s="1"/>
  <c r="V37" s="1"/>
  <c r="W37" s="1"/>
  <c r="P32"/>
  <c r="U32"/>
  <c r="O32"/>
  <c r="Q32"/>
  <c r="R32" s="1"/>
  <c r="V32" s="1"/>
  <c r="W32" s="1"/>
  <c r="U44"/>
  <c r="O44"/>
  <c r="P44"/>
  <c r="Q44"/>
  <c r="R44" s="1"/>
  <c r="V44" s="1"/>
  <c r="W44" s="1"/>
  <c r="AL18" i="50"/>
  <c r="Q11" i="66" s="1"/>
  <c r="A19" i="50"/>
  <c r="AL19" s="1"/>
  <c r="AJ42" i="52"/>
  <c r="N46"/>
  <c r="A89" i="50"/>
  <c r="AL88"/>
  <c r="P34" i="75"/>
  <c r="X34"/>
  <c r="O34"/>
  <c r="O45"/>
  <c r="P45"/>
  <c r="X45"/>
  <c r="O48"/>
  <c r="P48"/>
  <c r="X43"/>
  <c r="P43"/>
  <c r="O43"/>
  <c r="O32"/>
  <c r="P32"/>
  <c r="X32"/>
  <c r="O37"/>
  <c r="P37"/>
  <c r="X37"/>
  <c r="P44" i="62"/>
  <c r="X44"/>
  <c r="O44"/>
  <c r="P42"/>
  <c r="O42"/>
  <c r="X42"/>
  <c r="X45"/>
  <c r="P45"/>
  <c r="O45"/>
  <c r="X32"/>
  <c r="P32"/>
  <c r="O32"/>
  <c r="X46"/>
  <c r="P46"/>
  <c r="O46"/>
  <c r="O32" i="67"/>
  <c r="U32"/>
  <c r="P32"/>
  <c r="U46"/>
  <c r="P46"/>
  <c r="O46"/>
  <c r="U44"/>
  <c r="P44"/>
  <c r="O44"/>
  <c r="P36"/>
  <c r="O36"/>
  <c r="U36"/>
  <c r="P33"/>
  <c r="U33"/>
  <c r="O33"/>
  <c r="K315" i="50"/>
  <c r="L315"/>
  <c r="I315"/>
  <c r="J315"/>
  <c r="M315"/>
  <c r="O315"/>
  <c r="B327"/>
  <c r="H315"/>
  <c r="F315"/>
  <c r="G315"/>
  <c r="E315"/>
  <c r="N315"/>
  <c r="Q315"/>
  <c r="R315" s="1"/>
  <c r="P315"/>
  <c r="I158"/>
  <c r="L158"/>
  <c r="K158"/>
  <c r="H158"/>
  <c r="B170"/>
  <c r="E158"/>
  <c r="G158"/>
  <c r="F158"/>
  <c r="N158"/>
  <c r="P158"/>
  <c r="J158"/>
  <c r="M158"/>
  <c r="O158"/>
  <c r="Q158"/>
  <c r="R158" s="1"/>
  <c r="G181"/>
  <c r="J181"/>
  <c r="F181"/>
  <c r="K181"/>
  <c r="I181"/>
  <c r="E181"/>
  <c r="H181"/>
  <c r="L181"/>
  <c r="M181"/>
  <c r="N181"/>
  <c r="O181"/>
  <c r="P181"/>
  <c r="Q181"/>
  <c r="R181" s="1"/>
  <c r="AB56" i="3"/>
  <c r="AC56" s="1"/>
  <c r="AI56"/>
  <c r="AB58"/>
  <c r="AC58"/>
  <c r="AI58"/>
  <c r="P78" i="52"/>
  <c r="N76"/>
  <c r="O82"/>
  <c r="P82" s="1"/>
  <c r="Y82"/>
  <c r="Z82" s="1"/>
  <c r="Y91" s="1"/>
  <c r="Z91" s="1"/>
  <c r="Z78"/>
  <c r="W82"/>
  <c r="X82" s="1"/>
  <c r="W91"/>
  <c r="X91" s="1"/>
  <c r="X78"/>
  <c r="S82"/>
  <c r="T82" s="1"/>
  <c r="S91" s="1"/>
  <c r="T91" s="1"/>
  <c r="T78"/>
  <c r="AA82"/>
  <c r="AB82" s="1"/>
  <c r="AA91"/>
  <c r="AB91" s="1"/>
  <c r="AB78"/>
  <c r="V40" i="65"/>
  <c r="W40" s="1"/>
  <c r="AB38" i="3"/>
  <c r="AI38"/>
  <c r="AC38"/>
  <c r="P18" i="52"/>
  <c r="X18"/>
  <c r="AF18"/>
  <c r="V18"/>
  <c r="T18"/>
  <c r="Z18"/>
  <c r="AB18"/>
  <c r="AD18"/>
  <c r="R18"/>
  <c r="AH18"/>
  <c r="AD21"/>
  <c r="AF21"/>
  <c r="V21"/>
  <c r="P21"/>
  <c r="AH21"/>
  <c r="T21"/>
  <c r="AB21"/>
  <c r="Z21"/>
  <c r="X21"/>
  <c r="R21"/>
  <c r="P27"/>
  <c r="AH27"/>
  <c r="R27"/>
  <c r="T27"/>
  <c r="AD27"/>
  <c r="AB27"/>
  <c r="AF27"/>
  <c r="Z27"/>
  <c r="V27"/>
  <c r="X27"/>
  <c r="X23"/>
  <c r="V23"/>
  <c r="R23"/>
  <c r="AD23"/>
  <c r="Z23"/>
  <c r="T23"/>
  <c r="AF23"/>
  <c r="AB23"/>
  <c r="P23"/>
  <c r="AH23"/>
  <c r="V17"/>
  <c r="AB17"/>
  <c r="AD17"/>
  <c r="R17"/>
  <c r="X17"/>
  <c r="Z17"/>
  <c r="AH17"/>
  <c r="P17"/>
  <c r="AF17"/>
  <c r="T17"/>
  <c r="AB25"/>
  <c r="AH25"/>
  <c r="R25"/>
  <c r="X25"/>
  <c r="AF25"/>
  <c r="Z25"/>
  <c r="V25"/>
  <c r="P25"/>
  <c r="AD25"/>
  <c r="T25"/>
  <c r="R33"/>
  <c r="X33"/>
  <c r="Z33"/>
  <c r="AH33"/>
  <c r="AD33"/>
  <c r="AB33"/>
  <c r="AF33"/>
  <c r="V33"/>
  <c r="P33"/>
  <c r="N33" s="1"/>
  <c r="AJ33" s="1"/>
  <c r="T33"/>
  <c r="R29"/>
  <c r="AB29"/>
  <c r="AF29"/>
  <c r="Z29"/>
  <c r="AH29"/>
  <c r="V29"/>
  <c r="AD29"/>
  <c r="T29"/>
  <c r="X29"/>
  <c r="P29"/>
  <c r="N29" s="1"/>
  <c r="AJ29" s="1"/>
  <c r="AH22"/>
  <c r="AB22"/>
  <c r="P22"/>
  <c r="AD22"/>
  <c r="R22"/>
  <c r="V22"/>
  <c r="AF22"/>
  <c r="T22"/>
  <c r="X22"/>
  <c r="Z22"/>
  <c r="X34"/>
  <c r="P34"/>
  <c r="N34" s="1"/>
  <c r="AJ34" s="1"/>
  <c r="AF34"/>
  <c r="AD34"/>
  <c r="R34"/>
  <c r="T34"/>
  <c r="Z34"/>
  <c r="AB34"/>
  <c r="V34"/>
  <c r="AH34"/>
  <c r="O32" i="26"/>
  <c r="AI10"/>
  <c r="AH33"/>
  <c r="AH44" s="1"/>
  <c r="AH76" s="1"/>
  <c r="AE12"/>
  <c r="AD32"/>
  <c r="Q125" i="49"/>
  <c r="Q128"/>
  <c r="Q127"/>
  <c r="Q117"/>
  <c r="Q119"/>
  <c r="Q116"/>
  <c r="Q121"/>
  <c r="Q123"/>
  <c r="Q126"/>
  <c r="Q124"/>
  <c r="Q122"/>
  <c r="Q118"/>
  <c r="Q120"/>
  <c r="Q129"/>
  <c r="Q130"/>
  <c r="W464" i="50"/>
  <c r="AI463"/>
  <c r="AM463" s="1"/>
  <c r="AP463" s="1"/>
  <c r="V392"/>
  <c r="AI391"/>
  <c r="AM391" s="1"/>
  <c r="AP391" s="1"/>
  <c r="P48" i="78"/>
  <c r="O48"/>
  <c r="O37"/>
  <c r="P37"/>
  <c r="X37"/>
  <c r="O44"/>
  <c r="P44"/>
  <c r="X44"/>
  <c r="O32"/>
  <c r="P32"/>
  <c r="X32"/>
  <c r="P34"/>
  <c r="O34"/>
  <c r="X34"/>
  <c r="X45"/>
  <c r="P45"/>
  <c r="O45"/>
  <c r="P42" i="61"/>
  <c r="O42"/>
  <c r="X42"/>
  <c r="O37"/>
  <c r="P37"/>
  <c r="X37"/>
  <c r="O44"/>
  <c r="P44"/>
  <c r="X44"/>
  <c r="O35"/>
  <c r="X35"/>
  <c r="P35"/>
  <c r="O33"/>
  <c r="P33"/>
  <c r="X33"/>
  <c r="O32"/>
  <c r="P32"/>
  <c r="X32"/>
  <c r="O43" i="66"/>
  <c r="P43"/>
  <c r="U43"/>
  <c r="O37"/>
  <c r="P37"/>
  <c r="U37"/>
  <c r="O33"/>
  <c r="U33"/>
  <c r="P33"/>
  <c r="O46"/>
  <c r="U46"/>
  <c r="P46"/>
  <c r="U32"/>
  <c r="O32"/>
  <c r="P32"/>
  <c r="G159" i="50"/>
  <c r="F159"/>
  <c r="E159"/>
  <c r="J159"/>
  <c r="K159"/>
  <c r="B171"/>
  <c r="N159"/>
  <c r="I159"/>
  <c r="L159"/>
  <c r="H159"/>
  <c r="M159"/>
  <c r="P159"/>
  <c r="Q159"/>
  <c r="R159" s="1"/>
  <c r="O159"/>
  <c r="X57" i="65"/>
  <c r="Y57" s="1"/>
  <c r="AE57"/>
  <c r="X63"/>
  <c r="Y63" s="1"/>
  <c r="AE63"/>
  <c r="X54"/>
  <c r="AE54"/>
  <c r="Y54"/>
  <c r="Q83" i="52"/>
  <c r="R83" s="1"/>
  <c r="Q92" s="1"/>
  <c r="R92" s="1"/>
  <c r="AA83"/>
  <c r="AB83" s="1"/>
  <c r="AA92" s="1"/>
  <c r="AB92" s="1"/>
  <c r="N77"/>
  <c r="AJ77" s="1"/>
  <c r="O83"/>
  <c r="P83" s="1"/>
  <c r="O92"/>
  <c r="P92" s="1"/>
  <c r="S83"/>
  <c r="T83" s="1"/>
  <c r="S92"/>
  <c r="T92" s="1"/>
  <c r="Y83"/>
  <c r="Z83" s="1"/>
  <c r="Y92"/>
  <c r="Z92" s="1"/>
  <c r="AI357" i="50"/>
  <c r="AM357" s="1"/>
  <c r="AP357" s="1"/>
  <c r="AI537"/>
  <c r="AM537" s="1"/>
  <c r="AP537" s="1"/>
  <c r="S32" i="26"/>
  <c r="AI25"/>
  <c r="AN25" s="1"/>
  <c r="AI19"/>
  <c r="AN19" s="1"/>
  <c r="AI24"/>
  <c r="AN24" s="1"/>
  <c r="AI12"/>
  <c r="AN12" s="1"/>
  <c r="AI13"/>
  <c r="AN13" s="1"/>
  <c r="AI11"/>
  <c r="AN11" s="1"/>
  <c r="AI23"/>
  <c r="AN23" s="1"/>
  <c r="AI26"/>
  <c r="AN26" s="1"/>
  <c r="AI353" i="50"/>
  <c r="AM353" s="1"/>
  <c r="AP353" s="1"/>
  <c r="AI234"/>
  <c r="AM234" s="1"/>
  <c r="AP234" s="1"/>
  <c r="K32" i="57"/>
  <c r="K38" s="1"/>
  <c r="AI356" i="50"/>
  <c r="AM356" s="1"/>
  <c r="AP356" s="1"/>
  <c r="AZ39" i="3"/>
  <c r="AF39"/>
  <c r="AE39"/>
  <c r="AJ39"/>
  <c r="AK39" s="1"/>
  <c r="AL39" s="1"/>
  <c r="AE49"/>
  <c r="AZ49"/>
  <c r="AJ49"/>
  <c r="AK49" s="1"/>
  <c r="AL49" s="1"/>
  <c r="AF49"/>
  <c r="AB38" i="65"/>
  <c r="AF38"/>
  <c r="AG38" s="1"/>
  <c r="AH38" s="1"/>
  <c r="AA38"/>
  <c r="AV38"/>
  <c r="AW62"/>
  <c r="AF63" l="1"/>
  <c r="AG63" s="1"/>
  <c r="AH63" s="1"/>
  <c r="AA63"/>
  <c r="AV63"/>
  <c r="AE40"/>
  <c r="X40"/>
  <c r="Y40" s="1"/>
  <c r="AZ56" i="3"/>
  <c r="AJ56"/>
  <c r="AK56" s="1"/>
  <c r="AL56" s="1"/>
  <c r="AE56"/>
  <c r="V36" i="65"/>
  <c r="W36" s="1"/>
  <c r="R42"/>
  <c r="V42" s="1"/>
  <c r="AE37"/>
  <c r="X37"/>
  <c r="Y37"/>
  <c r="X46"/>
  <c r="Y46" s="1"/>
  <c r="AE46"/>
  <c r="P37" i="26"/>
  <c r="S76"/>
  <c r="S85"/>
  <c r="S33"/>
  <c r="S44"/>
  <c r="AA57" i="65"/>
  <c r="AF57"/>
  <c r="AG57" s="1"/>
  <c r="AH57" s="1"/>
  <c r="AV57"/>
  <c r="V393" i="50"/>
  <c r="AI392"/>
  <c r="AM392" s="1"/>
  <c r="AP392" s="1"/>
  <c r="W465"/>
  <c r="AI464"/>
  <c r="AM464" s="1"/>
  <c r="AP464" s="1"/>
  <c r="AD33" i="26"/>
  <c r="AN10"/>
  <c r="AI32"/>
  <c r="AF38" i="3"/>
  <c r="H15" i="63" s="1"/>
  <c r="J15" s="1"/>
  <c r="AE38" i="3"/>
  <c r="BA38" s="1"/>
  <c r="AZ38"/>
  <c r="AJ38"/>
  <c r="AK38" s="1"/>
  <c r="AL38" s="1"/>
  <c r="N78" i="52"/>
  <c r="AJ78" s="1"/>
  <c r="AJ76"/>
  <c r="AE58" i="3"/>
  <c r="AJ58"/>
  <c r="AK58" s="1"/>
  <c r="AL58" s="1"/>
  <c r="AE44" i="65"/>
  <c r="X44"/>
  <c r="Y44" s="1"/>
  <c r="AE32"/>
  <c r="X32"/>
  <c r="Y32" s="1"/>
  <c r="X33"/>
  <c r="Y33" s="1"/>
  <c r="AE33"/>
  <c r="AB40" i="3"/>
  <c r="AC40" s="1"/>
  <c r="AI40"/>
  <c r="AF64" i="65"/>
  <c r="AG64" s="1"/>
  <c r="AH64" s="1"/>
  <c r="AA64"/>
  <c r="AF53"/>
  <c r="AG53" s="1"/>
  <c r="AH53" s="1"/>
  <c r="AV53"/>
  <c r="AA53"/>
  <c r="F258" i="50"/>
  <c r="E258"/>
  <c r="O258"/>
  <c r="M258"/>
  <c r="B270"/>
  <c r="H258"/>
  <c r="J258"/>
  <c r="G258"/>
  <c r="L258"/>
  <c r="K258"/>
  <c r="P258"/>
  <c r="N258"/>
  <c r="I258"/>
  <c r="Q258"/>
  <c r="R258" s="1"/>
  <c r="R122" i="49"/>
  <c r="R127"/>
  <c r="R128"/>
  <c r="R116"/>
  <c r="R117"/>
  <c r="R129"/>
  <c r="R124"/>
  <c r="R130"/>
  <c r="R121"/>
  <c r="R120"/>
  <c r="R125"/>
  <c r="R126"/>
  <c r="R123"/>
  <c r="R118"/>
  <c r="R119"/>
  <c r="N16" i="52"/>
  <c r="P38"/>
  <c r="AJ41" i="3"/>
  <c r="AK41" s="1"/>
  <c r="AL41" s="1"/>
  <c r="AE41"/>
  <c r="BA41" s="1"/>
  <c r="AF41"/>
  <c r="H18" i="63" s="1"/>
  <c r="J18" s="1"/>
  <c r="AZ41" i="3"/>
  <c r="AJ57"/>
  <c r="AK57" s="1"/>
  <c r="AL57" s="1"/>
  <c r="AE57"/>
  <c r="BA57" s="1"/>
  <c r="AZ57"/>
  <c r="A22" i="58"/>
  <c r="D21"/>
  <c r="J21" s="1"/>
  <c r="AE43" i="65"/>
  <c r="X43"/>
  <c r="Y43" s="1"/>
  <c r="K137" i="50"/>
  <c r="P137"/>
  <c r="E137"/>
  <c r="Q137"/>
  <c r="R137" s="1"/>
  <c r="B149"/>
  <c r="F137"/>
  <c r="N137"/>
  <c r="G137"/>
  <c r="M137"/>
  <c r="H137"/>
  <c r="I137"/>
  <c r="L137"/>
  <c r="J137"/>
  <c r="O137"/>
  <c r="T100"/>
  <c r="AI99"/>
  <c r="AM99" s="1"/>
  <c r="AP99" s="1"/>
  <c r="N92" i="52"/>
  <c r="AJ92" s="1"/>
  <c r="AI159" i="50"/>
  <c r="AM159" s="1"/>
  <c r="AP159" s="1"/>
  <c r="N25" i="52"/>
  <c r="AJ25" s="1"/>
  <c r="N17"/>
  <c r="AJ17" s="1"/>
  <c r="N21"/>
  <c r="AJ21" s="1"/>
  <c r="AI181" i="50"/>
  <c r="AM181" s="1"/>
  <c r="AP181" s="1"/>
  <c r="AI158"/>
  <c r="AM158" s="1"/>
  <c r="AP158" s="1"/>
  <c r="AI365"/>
  <c r="AM365" s="1"/>
  <c r="AP365" s="1"/>
  <c r="N20" i="52"/>
  <c r="AJ20" s="1"/>
  <c r="N24"/>
  <c r="AJ24" s="1"/>
  <c r="R38"/>
  <c r="V38"/>
  <c r="AH38"/>
  <c r="Z38"/>
  <c r="N28"/>
  <c r="AJ28" s="1"/>
  <c r="R12" i="75"/>
  <c r="R9" i="62"/>
  <c r="R10" i="67"/>
  <c r="Z24" i="78"/>
  <c r="R17" i="75"/>
  <c r="Z18" i="61"/>
  <c r="Z24"/>
  <c r="Z21" i="62"/>
  <c r="Q9" i="67"/>
  <c r="Q19" i="75"/>
  <c r="R21" i="61"/>
  <c r="R23" i="78"/>
  <c r="R12" i="61"/>
  <c r="R20" i="78"/>
  <c r="R19" i="67"/>
  <c r="R9" i="66"/>
  <c r="R20" i="67"/>
  <c r="Z22" i="78"/>
  <c r="Z17" i="75"/>
  <c r="Z10"/>
  <c r="Z20" i="78"/>
  <c r="R19" i="75"/>
  <c r="V10" i="66"/>
  <c r="Q70" i="26"/>
  <c r="Q73"/>
  <c r="V18" i="67"/>
  <c r="U70" i="26"/>
  <c r="Y37"/>
  <c r="AA37" s="1"/>
  <c r="X41" s="1"/>
  <c r="AA41" s="1"/>
  <c r="Q11" i="75"/>
  <c r="Q11" i="67"/>
  <c r="Z18" i="62"/>
  <c r="V24" i="67"/>
  <c r="Q20" i="75"/>
  <c r="Q12" i="67"/>
  <c r="R22"/>
  <c r="R12" i="66"/>
  <c r="R10"/>
  <c r="R18" i="75"/>
  <c r="R17" i="67"/>
  <c r="R11" i="61"/>
  <c r="U41" i="26"/>
  <c r="Z9" i="75"/>
  <c r="Z19"/>
  <c r="Z18" i="78"/>
  <c r="Y73" i="26"/>
  <c r="R11" i="75"/>
  <c r="Z12" i="61"/>
  <c r="V9" i="66"/>
  <c r="V11"/>
  <c r="Z17" i="62"/>
  <c r="U72" i="26"/>
  <c r="Q18" i="75"/>
  <c r="Q9" i="62"/>
  <c r="V19" i="67"/>
  <c r="U73" i="26"/>
  <c r="Q9" i="75"/>
  <c r="Q66" i="26"/>
  <c r="S66" s="1"/>
  <c r="Q19" i="67"/>
  <c r="R23" i="66"/>
  <c r="U67" i="26"/>
  <c r="W67" s="1"/>
  <c r="R22" i="78"/>
  <c r="Q37" i="26"/>
  <c r="Q19" i="61"/>
  <c r="Q9" i="66"/>
  <c r="Q36" i="26"/>
  <c r="S36" s="1"/>
  <c r="Q17" i="61"/>
  <c r="R18" i="78"/>
  <c r="R11" i="67"/>
  <c r="Z21" i="75"/>
  <c r="Z19" i="78"/>
  <c r="V12" i="66"/>
  <c r="V19"/>
  <c r="Z24" i="62"/>
  <c r="Y36" i="26"/>
  <c r="AA36" s="1"/>
  <c r="V21" i="67"/>
  <c r="Q19" i="78"/>
  <c r="Q67" i="26"/>
  <c r="S67" s="1"/>
  <c r="R18" i="66"/>
  <c r="R10" i="78"/>
  <c r="R17" i="62"/>
  <c r="Q40" i="26"/>
  <c r="R20" i="62"/>
  <c r="Y70" i="26"/>
  <c r="Z12" i="75"/>
  <c r="Z11"/>
  <c r="Z24"/>
  <c r="R9" i="78"/>
  <c r="Z19" i="61"/>
  <c r="Z21"/>
  <c r="Z20"/>
  <c r="V20" i="67"/>
  <c r="Z11" i="62"/>
  <c r="Q20" i="78"/>
  <c r="U36" i="26"/>
  <c r="W36" s="1"/>
  <c r="Z9" i="62"/>
  <c r="V23" i="67"/>
  <c r="Q18" i="78"/>
  <c r="Q10" i="62"/>
  <c r="Q46" s="1"/>
  <c r="R21" i="75"/>
  <c r="R21" i="66"/>
  <c r="R21" i="62"/>
  <c r="R23" i="75"/>
  <c r="Q10" i="66"/>
  <c r="Q46" s="1"/>
  <c r="R46" s="1"/>
  <c r="V46" s="1"/>
  <c r="W46" s="1"/>
  <c r="Q9" i="61"/>
  <c r="Q11"/>
  <c r="Q12" i="66"/>
  <c r="Q12" i="61"/>
  <c r="AI369" i="50"/>
  <c r="AM369" s="1"/>
  <c r="AP369" s="1"/>
  <c r="AI125"/>
  <c r="AM125" s="1"/>
  <c r="AP125" s="1"/>
  <c r="AV54" i="65"/>
  <c r="AF54"/>
  <c r="AG54" s="1"/>
  <c r="AH54" s="1"/>
  <c r="AA54"/>
  <c r="AW54" s="1"/>
  <c r="K171" i="50"/>
  <c r="I171"/>
  <c r="M171"/>
  <c r="L171"/>
  <c r="H171"/>
  <c r="N171"/>
  <c r="E171"/>
  <c r="J171"/>
  <c r="Q171"/>
  <c r="R171" s="1"/>
  <c r="F171"/>
  <c r="B183"/>
  <c r="G171"/>
  <c r="O171"/>
  <c r="P171"/>
  <c r="L37" i="26"/>
  <c r="O37" s="1"/>
  <c r="O33"/>
  <c r="O44"/>
  <c r="L41"/>
  <c r="O41" s="1"/>
  <c r="O76"/>
  <c r="O85"/>
  <c r="J170" i="50"/>
  <c r="G170"/>
  <c r="L170"/>
  <c r="I170"/>
  <c r="M170"/>
  <c r="O170"/>
  <c r="F170"/>
  <c r="H170"/>
  <c r="B182"/>
  <c r="E170"/>
  <c r="K170"/>
  <c r="N170"/>
  <c r="P170"/>
  <c r="Q170"/>
  <c r="R170" s="1"/>
  <c r="B339"/>
  <c r="J327"/>
  <c r="K327"/>
  <c r="F327"/>
  <c r="G327"/>
  <c r="P327"/>
  <c r="O327"/>
  <c r="E327"/>
  <c r="H327"/>
  <c r="I327"/>
  <c r="M327"/>
  <c r="L327"/>
  <c r="Q327"/>
  <c r="R327" s="1"/>
  <c r="N327"/>
  <c r="A90"/>
  <c r="AL89"/>
  <c r="AJ46" i="52"/>
  <c r="B314" i="50"/>
  <c r="H302"/>
  <c r="L302"/>
  <c r="J302"/>
  <c r="K302"/>
  <c r="N302"/>
  <c r="G302"/>
  <c r="I302"/>
  <c r="F302"/>
  <c r="E302"/>
  <c r="M302"/>
  <c r="O302"/>
  <c r="P302"/>
  <c r="Q302"/>
  <c r="R302" s="1"/>
  <c r="W44" i="26"/>
  <c r="W85"/>
  <c r="T37"/>
  <c r="W76"/>
  <c r="W33"/>
  <c r="AF58" i="65"/>
  <c r="AG58" s="1"/>
  <c r="AH58" s="1"/>
  <c r="AV58"/>
  <c r="AA58"/>
  <c r="AW58" s="1"/>
  <c r="F42" i="55"/>
  <c r="F41"/>
  <c r="S115" i="49"/>
  <c r="T112"/>
  <c r="P174" i="50"/>
  <c r="J174"/>
  <c r="I174"/>
  <c r="E174"/>
  <c r="H174"/>
  <c r="G174"/>
  <c r="K174"/>
  <c r="M174"/>
  <c r="B186"/>
  <c r="Q174"/>
  <c r="R174" s="1"/>
  <c r="F174"/>
  <c r="N174"/>
  <c r="L174"/>
  <c r="O174"/>
  <c r="G115"/>
  <c r="E115"/>
  <c r="P115"/>
  <c r="I115"/>
  <c r="N115"/>
  <c r="M115"/>
  <c r="K115"/>
  <c r="F115"/>
  <c r="Q115"/>
  <c r="R115" s="1"/>
  <c r="L115"/>
  <c r="B127"/>
  <c r="J115"/>
  <c r="H115"/>
  <c r="O115"/>
  <c r="X70" i="26"/>
  <c r="AA70" s="1"/>
  <c r="AA74" s="1"/>
  <c r="A55" i="50"/>
  <c r="AL55" s="1"/>
  <c r="AL54"/>
  <c r="AE48" i="3"/>
  <c r="AJ48"/>
  <c r="AK48" s="1"/>
  <c r="AL48" s="1"/>
  <c r="AZ48"/>
  <c r="AF48"/>
  <c r="N83" i="52"/>
  <c r="AJ83" s="1"/>
  <c r="AH85" i="26"/>
  <c r="N22" i="52"/>
  <c r="AJ22" s="1"/>
  <c r="N23"/>
  <c r="AJ23" s="1"/>
  <c r="N27"/>
  <c r="AJ27" s="1"/>
  <c r="N18"/>
  <c r="AJ18" s="1"/>
  <c r="N82"/>
  <c r="AJ82" s="1"/>
  <c r="O91"/>
  <c r="P91" s="1"/>
  <c r="N91" s="1"/>
  <c r="AJ91" s="1"/>
  <c r="AI315" i="50"/>
  <c r="AM315" s="1"/>
  <c r="AP315" s="1"/>
  <c r="AI290"/>
  <c r="AM290" s="1"/>
  <c r="AP290" s="1"/>
  <c r="AI368"/>
  <c r="AM368" s="1"/>
  <c r="AP368" s="1"/>
  <c r="AI246"/>
  <c r="AM246" s="1"/>
  <c r="AP246" s="1"/>
  <c r="AI162"/>
  <c r="AM162" s="1"/>
  <c r="AP162" s="1"/>
  <c r="N19" i="52"/>
  <c r="AJ19" s="1"/>
  <c r="AB38"/>
  <c r="AF38"/>
  <c r="AD38"/>
  <c r="X38"/>
  <c r="T38"/>
  <c r="R10" i="61"/>
  <c r="U40" i="26"/>
  <c r="R17" i="61"/>
  <c r="Y72" i="26"/>
  <c r="Z11" i="78"/>
  <c r="R9" i="75"/>
  <c r="Z17" i="61"/>
  <c r="Z23" i="62"/>
  <c r="Q17" i="78"/>
  <c r="Z12" i="62"/>
  <c r="Q20"/>
  <c r="R21" i="67"/>
  <c r="Y41" i="26"/>
  <c r="R20" i="66"/>
  <c r="R12" i="78"/>
  <c r="R19" i="62"/>
  <c r="R17" i="66"/>
  <c r="R19" i="61"/>
  <c r="R18" i="62"/>
  <c r="Z9" i="78"/>
  <c r="Y71" i="26"/>
  <c r="AA71" s="1"/>
  <c r="X80" s="1"/>
  <c r="AA80" s="1"/>
  <c r="Z17" i="78"/>
  <c r="Y40" i="26"/>
  <c r="Q72"/>
  <c r="Z11" i="61"/>
  <c r="V18" i="66"/>
  <c r="Z23" i="61"/>
  <c r="AC70" i="26"/>
  <c r="AE70" s="1"/>
  <c r="Z20" i="62"/>
  <c r="V12" i="67"/>
  <c r="Q10" i="78"/>
  <c r="Q20" i="67"/>
  <c r="V17"/>
  <c r="Q9" i="78"/>
  <c r="Q12" i="75"/>
  <c r="R22" i="61"/>
  <c r="R22" i="75"/>
  <c r="R18" i="61"/>
  <c r="R10" i="75"/>
  <c r="R11" i="62"/>
  <c r="R11" i="66"/>
  <c r="R10" i="62"/>
  <c r="Z22" i="75"/>
  <c r="Z20"/>
  <c r="Z10" i="78"/>
  <c r="Z21"/>
  <c r="R19"/>
  <c r="V24" i="66"/>
  <c r="V17"/>
  <c r="V22"/>
  <c r="Z10" i="61"/>
  <c r="Z10" i="62"/>
  <c r="V10" i="67"/>
  <c r="Q12" i="78"/>
  <c r="Q17" i="67"/>
  <c r="V9"/>
  <c r="U71" i="26"/>
  <c r="W71" s="1"/>
  <c r="T80" s="1"/>
  <c r="W80" s="1"/>
  <c r="Q11" i="78"/>
  <c r="Q19" i="62"/>
  <c r="R23"/>
  <c r="Q18" i="67"/>
  <c r="R22" i="66"/>
  <c r="R23" i="67"/>
  <c r="Y67" i="26"/>
  <c r="AA67" s="1"/>
  <c r="Y66"/>
  <c r="AA66" s="1"/>
  <c r="Q19" i="66"/>
  <c r="Q17"/>
  <c r="Q10" i="61"/>
  <c r="Q18"/>
  <c r="Q41" i="26"/>
  <c r="R20" i="75"/>
  <c r="R9" i="61"/>
  <c r="R12" i="62"/>
  <c r="Z12" i="78"/>
  <c r="R17"/>
  <c r="V20" i="66"/>
  <c r="V23"/>
  <c r="V11" i="67"/>
  <c r="Q18" i="62"/>
  <c r="V22" i="67"/>
  <c r="Q12" i="62"/>
  <c r="AC66" i="26"/>
  <c r="AE66" s="1"/>
  <c r="R20" i="61"/>
  <c r="R9" i="67"/>
  <c r="R19" i="66"/>
  <c r="R12" i="67"/>
  <c r="R18"/>
  <c r="Z23" i="75"/>
  <c r="Z23" i="78"/>
  <c r="Z18" i="75"/>
  <c r="R11" i="78"/>
  <c r="Z22" i="61"/>
  <c r="Q71" i="26"/>
  <c r="S71" s="1"/>
  <c r="Z9" i="61"/>
  <c r="V21" i="66"/>
  <c r="Z19" i="62"/>
  <c r="Q17" i="75"/>
  <c r="Q17" i="62"/>
  <c r="U37" i="26"/>
  <c r="Z22" i="62"/>
  <c r="Q10" i="75"/>
  <c r="Q43" s="1"/>
  <c r="Q11" i="62"/>
  <c r="U66" i="26"/>
  <c r="W66" s="1"/>
  <c r="Q10" i="67"/>
  <c r="R23" i="61"/>
  <c r="R22" i="62"/>
  <c r="R21" i="78"/>
  <c r="Q20" i="66"/>
  <c r="Q18"/>
  <c r="Q20" i="61"/>
  <c r="AI549" i="50"/>
  <c r="AM549" s="1"/>
  <c r="AP549" s="1"/>
  <c r="V34" i="65"/>
  <c r="W34" s="1"/>
  <c r="Q45"/>
  <c r="Q34" i="3"/>
  <c r="R34" s="1"/>
  <c r="W39" i="65"/>
  <c r="W41"/>
  <c r="H16" i="63"/>
  <c r="J16" s="1"/>
  <c r="AW38" i="65"/>
  <c r="BA39" i="3"/>
  <c r="BA49"/>
  <c r="T10"/>
  <c r="AE73"/>
  <c r="X46" i="66" l="1"/>
  <c r="Y46" s="1"/>
  <c r="AE46"/>
  <c r="AV33" i="65"/>
  <c r="AA33"/>
  <c r="AW33" s="1"/>
  <c r="AF33"/>
  <c r="AG33" s="1"/>
  <c r="AH33" s="1"/>
  <c r="AB33"/>
  <c r="AE36"/>
  <c r="X36"/>
  <c r="Y36" s="1"/>
  <c r="R43" i="75"/>
  <c r="Z43"/>
  <c r="AA43" s="1"/>
  <c r="R46" i="62"/>
  <c r="R45" i="65"/>
  <c r="V45" s="1"/>
  <c r="X41"/>
  <c r="Y41" s="1"/>
  <c r="AE41"/>
  <c r="X34"/>
  <c r="Y34" s="1"/>
  <c r="AE34"/>
  <c r="Q42" i="67"/>
  <c r="Q43"/>
  <c r="Q32"/>
  <c r="Q46"/>
  <c r="Q36"/>
  <c r="R36" s="1"/>
  <c r="V36" s="1"/>
  <c r="W36" s="1"/>
  <c r="Q33"/>
  <c r="R33" s="1"/>
  <c r="V33" s="1"/>
  <c r="W33" s="1"/>
  <c r="AE68" i="26"/>
  <c r="AB72"/>
  <c r="Q48" i="61"/>
  <c r="R48" s="1"/>
  <c r="Z48" s="1"/>
  <c r="AA48" s="1"/>
  <c r="Q46"/>
  <c r="R46" s="1"/>
  <c r="Q36"/>
  <c r="Q42"/>
  <c r="R42" s="1"/>
  <c r="Q35"/>
  <c r="R35" s="1"/>
  <c r="Q33"/>
  <c r="R33" s="1"/>
  <c r="Q32"/>
  <c r="R32" s="1"/>
  <c r="X73" i="26"/>
  <c r="AA73" s="1"/>
  <c r="X82"/>
  <c r="AA82" s="1"/>
  <c r="Q43" i="78"/>
  <c r="Q37"/>
  <c r="AE74" i="26"/>
  <c r="AB79"/>
  <c r="AE79" s="1"/>
  <c r="AE83" s="1"/>
  <c r="R35" i="67"/>
  <c r="R41"/>
  <c r="V41" s="1"/>
  <c r="W41" s="1"/>
  <c r="R40"/>
  <c r="V40" s="1"/>
  <c r="W40" s="1"/>
  <c r="R39"/>
  <c r="R38"/>
  <c r="S43" i="52"/>
  <c r="T43" s="1"/>
  <c r="T44" s="1"/>
  <c r="T39"/>
  <c r="T50"/>
  <c r="T95"/>
  <c r="S69" s="1"/>
  <c r="T86"/>
  <c r="S93" s="1"/>
  <c r="AC43"/>
  <c r="AD43" s="1"/>
  <c r="AD44" s="1"/>
  <c r="AD39"/>
  <c r="AC47"/>
  <c r="AD47" s="1"/>
  <c r="AD48" s="1"/>
  <c r="AD86"/>
  <c r="AC93" s="1"/>
  <c r="AD95"/>
  <c r="AC69" s="1"/>
  <c r="AD50"/>
  <c r="AB39"/>
  <c r="AA43"/>
  <c r="AB43" s="1"/>
  <c r="AB44" s="1"/>
  <c r="AB50"/>
  <c r="AB86"/>
  <c r="AA93" s="1"/>
  <c r="AB95"/>
  <c r="AA69" s="1"/>
  <c r="AA47"/>
  <c r="AB47" s="1"/>
  <c r="AB48" s="1"/>
  <c r="U112" i="49"/>
  <c r="T115"/>
  <c r="T70" i="26"/>
  <c r="W70" s="1"/>
  <c r="W74" s="1"/>
  <c r="I314" i="50"/>
  <c r="J314"/>
  <c r="K314"/>
  <c r="F314"/>
  <c r="M314"/>
  <c r="N314"/>
  <c r="B326"/>
  <c r="G314"/>
  <c r="E314"/>
  <c r="H314"/>
  <c r="L314"/>
  <c r="O314"/>
  <c r="P314"/>
  <c r="Q314"/>
  <c r="R314" s="1"/>
  <c r="A91"/>
  <c r="AL91" s="1"/>
  <c r="AL90"/>
  <c r="B351"/>
  <c r="I339"/>
  <c r="K339"/>
  <c r="E339"/>
  <c r="G339"/>
  <c r="N339"/>
  <c r="P339"/>
  <c r="M339"/>
  <c r="H339"/>
  <c r="J339"/>
  <c r="L339"/>
  <c r="F339"/>
  <c r="O339"/>
  <c r="Q339"/>
  <c r="R339" s="1"/>
  <c r="G182"/>
  <c r="L182"/>
  <c r="J182"/>
  <c r="H182"/>
  <c r="O182"/>
  <c r="I182"/>
  <c r="F182"/>
  <c r="E182"/>
  <c r="K182"/>
  <c r="M182"/>
  <c r="N182"/>
  <c r="P182"/>
  <c r="Q182"/>
  <c r="R182" s="1"/>
  <c r="L70" i="26"/>
  <c r="O70" s="1"/>
  <c r="L79"/>
  <c r="O79" s="1"/>
  <c r="AI37"/>
  <c r="AN37" s="1"/>
  <c r="O38"/>
  <c r="I183" i="50"/>
  <c r="M183"/>
  <c r="K183"/>
  <c r="E183"/>
  <c r="G183"/>
  <c r="Q183"/>
  <c r="R183" s="1"/>
  <c r="N183"/>
  <c r="H183"/>
  <c r="J183"/>
  <c r="L183"/>
  <c r="O183"/>
  <c r="F183"/>
  <c r="P183"/>
  <c r="R49" i="62"/>
  <c r="Z49" s="1"/>
  <c r="AA49" s="1"/>
  <c r="R39"/>
  <c r="R41"/>
  <c r="R40"/>
  <c r="Z40" s="1"/>
  <c r="AA40" s="1"/>
  <c r="R38"/>
  <c r="R39" i="75"/>
  <c r="R38"/>
  <c r="Z38" s="1"/>
  <c r="AA38" s="1"/>
  <c r="R40"/>
  <c r="Z40" s="1"/>
  <c r="AA40" s="1"/>
  <c r="R41"/>
  <c r="Z41" s="1"/>
  <c r="AA41" s="1"/>
  <c r="R49"/>
  <c r="Z49" s="1"/>
  <c r="AA49" s="1"/>
  <c r="P73" i="26"/>
  <c r="S73" s="1"/>
  <c r="P82"/>
  <c r="S82" s="1"/>
  <c r="AA38"/>
  <c r="X40"/>
  <c r="AA40" s="1"/>
  <c r="AA42" s="1"/>
  <c r="T73"/>
  <c r="W73" s="1"/>
  <c r="T82"/>
  <c r="W82" s="1"/>
  <c r="P72"/>
  <c r="S72" s="1"/>
  <c r="P81"/>
  <c r="S81" s="1"/>
  <c r="S68"/>
  <c r="AI66"/>
  <c r="R49" i="61"/>
  <c r="Z49" s="1"/>
  <c r="AA49" s="1"/>
  <c r="R39"/>
  <c r="R40"/>
  <c r="R41"/>
  <c r="R38"/>
  <c r="Z58"/>
  <c r="AA58" s="1"/>
  <c r="Z59"/>
  <c r="AA59" s="1"/>
  <c r="AB59" s="1"/>
  <c r="AC59" s="1"/>
  <c r="AE59" s="1"/>
  <c r="Z57"/>
  <c r="AA57" s="1"/>
  <c r="Z56"/>
  <c r="AA56" s="1"/>
  <c r="AG43" i="52"/>
  <c r="AH43" s="1"/>
  <c r="AH44" s="1"/>
  <c r="AH95"/>
  <c r="AG69" s="1"/>
  <c r="AH50"/>
  <c r="AG47"/>
  <c r="AH47" s="1"/>
  <c r="AH48" s="1"/>
  <c r="AH86"/>
  <c r="AG93" s="1"/>
  <c r="AH39"/>
  <c r="Q43"/>
  <c r="R43" s="1"/>
  <c r="R44" s="1"/>
  <c r="R86"/>
  <c r="Q93" s="1"/>
  <c r="R95"/>
  <c r="Q69" s="1"/>
  <c r="R39"/>
  <c r="Q47"/>
  <c r="R47" s="1"/>
  <c r="R48" s="1"/>
  <c r="R50"/>
  <c r="T101" i="50"/>
  <c r="AI100"/>
  <c r="AM100" s="1"/>
  <c r="AP100" s="1"/>
  <c r="J149"/>
  <c r="E149"/>
  <c r="H149"/>
  <c r="P149"/>
  <c r="L149"/>
  <c r="K149"/>
  <c r="O149"/>
  <c r="M149"/>
  <c r="B161"/>
  <c r="F149"/>
  <c r="Q149"/>
  <c r="R149" s="1"/>
  <c r="I149"/>
  <c r="G149"/>
  <c r="N149"/>
  <c r="A23" i="58"/>
  <c r="D22"/>
  <c r="J22" s="1"/>
  <c r="P50" i="52"/>
  <c r="O43"/>
  <c r="P43" s="1"/>
  <c r="P95"/>
  <c r="O69" s="1"/>
  <c r="P86"/>
  <c r="O93" s="1"/>
  <c r="P39"/>
  <c r="O47"/>
  <c r="P47" s="1"/>
  <c r="K270" i="50"/>
  <c r="F270"/>
  <c r="B282"/>
  <c r="L270"/>
  <c r="H270"/>
  <c r="O270"/>
  <c r="E270"/>
  <c r="J270"/>
  <c r="G270"/>
  <c r="I270"/>
  <c r="M270"/>
  <c r="N270"/>
  <c r="P270"/>
  <c r="Q270"/>
  <c r="R270" s="1"/>
  <c r="W466"/>
  <c r="AI465"/>
  <c r="AM465" s="1"/>
  <c r="AP465" s="1"/>
  <c r="V394"/>
  <c r="AI393"/>
  <c r="AM393" s="1"/>
  <c r="AP393" s="1"/>
  <c r="AB37" i="65"/>
  <c r="AA37"/>
  <c r="AW37" s="1"/>
  <c r="AF37"/>
  <c r="AG37" s="1"/>
  <c r="AH37" s="1"/>
  <c r="AV37"/>
  <c r="AA40"/>
  <c r="AW40" s="1"/>
  <c r="AB40"/>
  <c r="AV40"/>
  <c r="AF40"/>
  <c r="AG40" s="1"/>
  <c r="AH40" s="1"/>
  <c r="Q33" i="75"/>
  <c r="Q36" i="78"/>
  <c r="R36" s="1"/>
  <c r="Z36" s="1"/>
  <c r="AA36" s="1"/>
  <c r="Q44" i="61"/>
  <c r="X79" i="26"/>
  <c r="AA79" s="1"/>
  <c r="AA83" s="1"/>
  <c r="AI115" i="50"/>
  <c r="AM115" s="1"/>
  <c r="AP115" s="1"/>
  <c r="AI174"/>
  <c r="AM174" s="1"/>
  <c r="AP174" s="1"/>
  <c r="W37" i="26"/>
  <c r="T41" s="1"/>
  <c r="W41" s="1"/>
  <c r="AI171" i="50"/>
  <c r="AM171" s="1"/>
  <c r="AP171" s="1"/>
  <c r="V16" i="66"/>
  <c r="V14"/>
  <c r="Q14" i="67"/>
  <c r="AC37" i="26"/>
  <c r="AE37" s="1"/>
  <c r="AB41" s="1"/>
  <c r="R14" i="65"/>
  <c r="Q13" i="75"/>
  <c r="Z15" i="78"/>
  <c r="R16" i="67"/>
  <c r="Q16" i="66"/>
  <c r="R16" i="61"/>
  <c r="R16" i="78"/>
  <c r="Z16" i="61"/>
  <c r="V16" i="67"/>
  <c r="Z16" i="75"/>
  <c r="R13" i="78"/>
  <c r="Z14" i="3"/>
  <c r="Q13" i="66"/>
  <c r="Q14" i="61"/>
  <c r="AC72" i="26"/>
  <c r="AC73"/>
  <c r="R16" i="75"/>
  <c r="Z16" i="3"/>
  <c r="R14" i="61"/>
  <c r="AC40" i="26"/>
  <c r="R15" i="66"/>
  <c r="R13" i="61"/>
  <c r="R14" i="67"/>
  <c r="Q33" i="62"/>
  <c r="Q37" i="67"/>
  <c r="R37" s="1"/>
  <c r="V37" s="1"/>
  <c r="W37" s="1"/>
  <c r="Q35" i="78"/>
  <c r="R35" s="1"/>
  <c r="Z35" s="1"/>
  <c r="AA35" s="1"/>
  <c r="Q46"/>
  <c r="R46" s="1"/>
  <c r="Z46" s="1"/>
  <c r="AA46" s="1"/>
  <c r="Q44" i="62"/>
  <c r="Q45"/>
  <c r="Q44" i="78"/>
  <c r="R44" s="1"/>
  <c r="Z44" s="1"/>
  <c r="AA44" s="1"/>
  <c r="AI137" i="50"/>
  <c r="AM137" s="1"/>
  <c r="AP137" s="1"/>
  <c r="Q35" i="75"/>
  <c r="R35" s="1"/>
  <c r="Z35" s="1"/>
  <c r="AA35" s="1"/>
  <c r="Q45" i="61"/>
  <c r="R45" s="1"/>
  <c r="Q48" i="75"/>
  <c r="R48" s="1"/>
  <c r="Z48" s="1"/>
  <c r="AA48" s="1"/>
  <c r="Q33" i="66"/>
  <c r="R33" s="1"/>
  <c r="V33" s="1"/>
  <c r="W33" s="1"/>
  <c r="Q42" i="75"/>
  <c r="R42" s="1"/>
  <c r="Z42" s="1"/>
  <c r="AA42" s="1"/>
  <c r="Q42" i="66"/>
  <c r="R42" s="1"/>
  <c r="V42" s="1"/>
  <c r="W42" s="1"/>
  <c r="Q32" i="78"/>
  <c r="R32" s="1"/>
  <c r="Z32" s="1"/>
  <c r="AA32" s="1"/>
  <c r="Q37" i="61"/>
  <c r="R37" s="1"/>
  <c r="X39" i="65"/>
  <c r="Y39" s="1"/>
  <c r="AE39"/>
  <c r="R41" i="78"/>
  <c r="R39"/>
  <c r="Z39" s="1"/>
  <c r="AA39" s="1"/>
  <c r="R38"/>
  <c r="R40"/>
  <c r="R49"/>
  <c r="T72" i="26"/>
  <c r="W72" s="1"/>
  <c r="T81" s="1"/>
  <c r="W81" s="1"/>
  <c r="W68"/>
  <c r="Q46" i="75"/>
  <c r="R46" s="1"/>
  <c r="Z46" s="1"/>
  <c r="AA46" s="1"/>
  <c r="Q36"/>
  <c r="Q34"/>
  <c r="R34" s="1"/>
  <c r="Z34" s="1"/>
  <c r="AA34" s="1"/>
  <c r="Q45"/>
  <c r="R45" s="1"/>
  <c r="Z45" s="1"/>
  <c r="AA45" s="1"/>
  <c r="Q32"/>
  <c r="R32" s="1"/>
  <c r="Z32" s="1"/>
  <c r="AA32" s="1"/>
  <c r="Q37"/>
  <c r="P80" i="26"/>
  <c r="S80" s="1"/>
  <c r="AA68"/>
  <c r="X81"/>
  <c r="AA81" s="1"/>
  <c r="X72"/>
  <c r="AA72" s="1"/>
  <c r="V57" i="66"/>
  <c r="W57" s="1"/>
  <c r="V54"/>
  <c r="W54" s="1"/>
  <c r="V63"/>
  <c r="W63" s="1"/>
  <c r="V64"/>
  <c r="W64" s="1"/>
  <c r="V58"/>
  <c r="W58" s="1"/>
  <c r="V53"/>
  <c r="W53" s="1"/>
  <c r="V62"/>
  <c r="W62" s="1"/>
  <c r="W43" i="52"/>
  <c r="X43" s="1"/>
  <c r="X44" s="1"/>
  <c r="X50"/>
  <c r="X86"/>
  <c r="W93" s="1"/>
  <c r="X95"/>
  <c r="W69" s="1"/>
  <c r="W47"/>
  <c r="X47" s="1"/>
  <c r="X48" s="1"/>
  <c r="X39"/>
  <c r="AF39"/>
  <c r="AE43"/>
  <c r="AF43" s="1"/>
  <c r="AF44" s="1"/>
  <c r="AF95"/>
  <c r="AE69" s="1"/>
  <c r="AF86"/>
  <c r="AE93" s="1"/>
  <c r="AF50"/>
  <c r="AE47"/>
  <c r="AF47" s="1"/>
  <c r="AF48" s="1"/>
  <c r="S10" i="3"/>
  <c r="BA48"/>
  <c r="N127" i="50"/>
  <c r="K127"/>
  <c r="O127"/>
  <c r="P127"/>
  <c r="G127"/>
  <c r="I127"/>
  <c r="J127"/>
  <c r="H127"/>
  <c r="M127"/>
  <c r="B139"/>
  <c r="L127"/>
  <c r="Q127"/>
  <c r="R127" s="1"/>
  <c r="E127"/>
  <c r="F127"/>
  <c r="L186"/>
  <c r="O186"/>
  <c r="J186"/>
  <c r="P186"/>
  <c r="H186"/>
  <c r="F186"/>
  <c r="E186"/>
  <c r="M186"/>
  <c r="N186"/>
  <c r="I186"/>
  <c r="Q186"/>
  <c r="R186" s="1"/>
  <c r="G186"/>
  <c r="K186"/>
  <c r="S122" i="49"/>
  <c r="S128"/>
  <c r="S126"/>
  <c r="S130"/>
  <c r="S117"/>
  <c r="S120"/>
  <c r="S121"/>
  <c r="S125"/>
  <c r="S118"/>
  <c r="S119"/>
  <c r="S116"/>
  <c r="S129"/>
  <c r="S127"/>
  <c r="S123"/>
  <c r="S124"/>
  <c r="AI41" i="26"/>
  <c r="AN41" s="1"/>
  <c r="O42"/>
  <c r="Q34" i="66"/>
  <c r="R34" s="1"/>
  <c r="V34" s="1"/>
  <c r="W34" s="1"/>
  <c r="Q44"/>
  <c r="R44" s="1"/>
  <c r="V44" s="1"/>
  <c r="W44" s="1"/>
  <c r="Q43"/>
  <c r="R43" s="1"/>
  <c r="V43" s="1"/>
  <c r="W43" s="1"/>
  <c r="Q37"/>
  <c r="R35"/>
  <c r="V35" s="1"/>
  <c r="W35" s="1"/>
  <c r="R41"/>
  <c r="V41" s="1"/>
  <c r="W41" s="1"/>
  <c r="R38"/>
  <c r="V38" s="1"/>
  <c r="W38" s="1"/>
  <c r="R40"/>
  <c r="V40" s="1"/>
  <c r="W40" s="1"/>
  <c r="R39"/>
  <c r="V39" s="1"/>
  <c r="W39" s="1"/>
  <c r="Q48" i="62"/>
  <c r="R48" s="1"/>
  <c r="Z48" s="1"/>
  <c r="AA48" s="1"/>
  <c r="Q35"/>
  <c r="Q34"/>
  <c r="Q36"/>
  <c r="Q37"/>
  <c r="W38" i="26"/>
  <c r="T40"/>
  <c r="W40" s="1"/>
  <c r="W42" s="1"/>
  <c r="Z57" i="75"/>
  <c r="AA57" s="1"/>
  <c r="Z56"/>
  <c r="AA56" s="1"/>
  <c r="Z58"/>
  <c r="AA58" s="1"/>
  <c r="Z56" i="62"/>
  <c r="AA56" s="1"/>
  <c r="Z58"/>
  <c r="AA58" s="1"/>
  <c r="Z59"/>
  <c r="AA59" s="1"/>
  <c r="AB59" s="1"/>
  <c r="AC59" s="1"/>
  <c r="AE59" s="1"/>
  <c r="Z57"/>
  <c r="AA57" s="1"/>
  <c r="P40" i="26"/>
  <c r="S40" s="1"/>
  <c r="V62" i="67"/>
  <c r="W62" s="1"/>
  <c r="V57"/>
  <c r="W57" s="1"/>
  <c r="V63"/>
  <c r="W63" s="1"/>
  <c r="V54"/>
  <c r="W54" s="1"/>
  <c r="V64"/>
  <c r="W64" s="1"/>
  <c r="V58"/>
  <c r="W58" s="1"/>
  <c r="V53"/>
  <c r="W53" s="1"/>
  <c r="Z58" i="78"/>
  <c r="AA58" s="1"/>
  <c r="Z57"/>
  <c r="AA57" s="1"/>
  <c r="Z56"/>
  <c r="AA56" s="1"/>
  <c r="Y43" i="52"/>
  <c r="Z43" s="1"/>
  <c r="Z44" s="1"/>
  <c r="Y47"/>
  <c r="Z47" s="1"/>
  <c r="Z48" s="1"/>
  <c r="Z95"/>
  <c r="Y69" s="1"/>
  <c r="Z86"/>
  <c r="Y93" s="1"/>
  <c r="Z39"/>
  <c r="Z50"/>
  <c r="U43"/>
  <c r="V43" s="1"/>
  <c r="V44" s="1"/>
  <c r="V95"/>
  <c r="U69" s="1"/>
  <c r="V39"/>
  <c r="U47"/>
  <c r="V47" s="1"/>
  <c r="V48" s="1"/>
  <c r="V86"/>
  <c r="U93" s="1"/>
  <c r="V50"/>
  <c r="AV43" i="65"/>
  <c r="AA43"/>
  <c r="AW43" s="1"/>
  <c r="AF43"/>
  <c r="AG43" s="1"/>
  <c r="AH43" s="1"/>
  <c r="AB43"/>
  <c r="AJ16" i="52"/>
  <c r="N38"/>
  <c r="AW53" i="65"/>
  <c r="AA55"/>
  <c r="AA68" s="1"/>
  <c r="AW68" s="1"/>
  <c r="AF40" i="3"/>
  <c r="H17" i="63" s="1"/>
  <c r="J17" s="1"/>
  <c r="AZ40" i="3"/>
  <c r="AJ40"/>
  <c r="AK40" s="1"/>
  <c r="AL40" s="1"/>
  <c r="AE40"/>
  <c r="AB32" i="65"/>
  <c r="AF32"/>
  <c r="AA32"/>
  <c r="AV32"/>
  <c r="AB44"/>
  <c r="AA44"/>
  <c r="AW44" s="1"/>
  <c r="AF44"/>
  <c r="AG44" s="1"/>
  <c r="AH44" s="1"/>
  <c r="AV44"/>
  <c r="AI33" i="26"/>
  <c r="AN33" s="1"/>
  <c r="AI44"/>
  <c r="AN44" s="1"/>
  <c r="AI76"/>
  <c r="AN76" s="1"/>
  <c r="AI85"/>
  <c r="AN85" s="1"/>
  <c r="AN32"/>
  <c r="AW57" i="65"/>
  <c r="AA60"/>
  <c r="P70" i="26"/>
  <c r="S70" s="1"/>
  <c r="S74" s="1"/>
  <c r="AA46" i="65"/>
  <c r="AW46" s="1"/>
  <c r="AB46"/>
  <c r="AF46"/>
  <c r="AG46" s="1"/>
  <c r="AH46" s="1"/>
  <c r="AV46"/>
  <c r="BA56" i="3"/>
  <c r="AE60"/>
  <c r="AW63" i="65"/>
  <c r="AA65"/>
  <c r="Q45" i="67"/>
  <c r="Q33" i="78"/>
  <c r="R33" s="1"/>
  <c r="Z33" s="1"/>
  <c r="AA33" s="1"/>
  <c r="Q43" i="61"/>
  <c r="Q48" i="78"/>
  <c r="R48" s="1"/>
  <c r="Z48" s="1"/>
  <c r="AA48" s="1"/>
  <c r="AI302" i="50"/>
  <c r="AM302" s="1"/>
  <c r="AP302" s="1"/>
  <c r="AI327"/>
  <c r="AM327" s="1"/>
  <c r="AP327" s="1"/>
  <c r="AI170"/>
  <c r="AM170" s="1"/>
  <c r="AP170" s="1"/>
  <c r="Z14" i="75"/>
  <c r="AC36" i="26"/>
  <c r="AE36" s="1"/>
  <c r="R14" i="3"/>
  <c r="Q14" i="78"/>
  <c r="V15" i="65"/>
  <c r="Q14" i="75"/>
  <c r="Z16" i="78"/>
  <c r="Q13"/>
  <c r="Q16" i="62"/>
  <c r="AC41" i="26"/>
  <c r="V13" i="66"/>
  <c r="AC67" i="26"/>
  <c r="AE67" s="1"/>
  <c r="Q13" i="62"/>
  <c r="R13" i="67"/>
  <c r="R13" i="66"/>
  <c r="R16" i="3"/>
  <c r="R15" i="75"/>
  <c r="R13" i="62"/>
  <c r="Z14"/>
  <c r="R16" i="65"/>
  <c r="AC71" i="26"/>
  <c r="AE71" s="1"/>
  <c r="AB80" s="1"/>
  <c r="AE80" s="1"/>
  <c r="Z14" i="78"/>
  <c r="R15" i="3"/>
  <c r="R15" i="61"/>
  <c r="Q15"/>
  <c r="Q14" i="3"/>
  <c r="Q44" i="75"/>
  <c r="R44" s="1"/>
  <c r="Z44" s="1"/>
  <c r="AA44" s="1"/>
  <c r="Q42" i="78"/>
  <c r="R42" s="1"/>
  <c r="Z42" s="1"/>
  <c r="AA42" s="1"/>
  <c r="Q34" i="61"/>
  <c r="R34" s="1"/>
  <c r="Q42" i="62"/>
  <c r="Q32"/>
  <c r="Q44" i="67"/>
  <c r="AI258" i="50"/>
  <c r="AM258" s="1"/>
  <c r="AP258" s="1"/>
  <c r="AD44" i="26"/>
  <c r="AD76" s="1"/>
  <c r="S37"/>
  <c r="P41" s="1"/>
  <c r="S41" s="1"/>
  <c r="Q34" i="67"/>
  <c r="Q36" i="66"/>
  <c r="R36" s="1"/>
  <c r="V36" s="1"/>
  <c r="W36" s="1"/>
  <c r="Q34" i="78"/>
  <c r="R34" s="1"/>
  <c r="Z34" s="1"/>
  <c r="AA34" s="1"/>
  <c r="Q32" i="66"/>
  <c r="R32" s="1"/>
  <c r="V32" s="1"/>
  <c r="W32" s="1"/>
  <c r="Q43" i="62"/>
  <c r="Q45" i="66"/>
  <c r="Q45" i="78"/>
  <c r="R45" s="1"/>
  <c r="Z45" s="1"/>
  <c r="AA45" s="1"/>
  <c r="W42" i="65"/>
  <c r="BA73" i="3"/>
  <c r="T35"/>
  <c r="T43"/>
  <c r="T34"/>
  <c r="T36"/>
  <c r="T42"/>
  <c r="T45"/>
  <c r="T46"/>
  <c r="T33"/>
  <c r="T37"/>
  <c r="T32"/>
  <c r="T44"/>
  <c r="AA41" i="65" l="1"/>
  <c r="AW41" s="1"/>
  <c r="AV41"/>
  <c r="AF41"/>
  <c r="AG41" s="1"/>
  <c r="AH41" s="1"/>
  <c r="AB41"/>
  <c r="AI34" i="78"/>
  <c r="AB34"/>
  <c r="AC34" s="1"/>
  <c r="AE42" i="65"/>
  <c r="X42"/>
  <c r="Y42" s="1"/>
  <c r="R45" i="66"/>
  <c r="V45" s="1"/>
  <c r="W45"/>
  <c r="X32"/>
  <c r="Y32" s="1"/>
  <c r="AE32"/>
  <c r="AE36"/>
  <c r="X36"/>
  <c r="Y36" s="1"/>
  <c r="R32" i="62"/>
  <c r="AI44" i="75"/>
  <c r="AB44"/>
  <c r="AC44" s="1"/>
  <c r="AB48" i="78"/>
  <c r="AC48" s="1"/>
  <c r="AI48"/>
  <c r="AI33"/>
  <c r="AB33"/>
  <c r="AC33" s="1"/>
  <c r="E35" i="63"/>
  <c r="G35" s="1"/>
  <c r="AE63" i="3"/>
  <c r="BA63" s="1"/>
  <c r="AW32" i="65"/>
  <c r="AB57" i="78"/>
  <c r="AC57" s="1"/>
  <c r="AI57"/>
  <c r="AE53" i="67"/>
  <c r="X53"/>
  <c r="Y53" s="1"/>
  <c r="X64"/>
  <c r="Y64" s="1"/>
  <c r="AE64"/>
  <c r="AE63"/>
  <c r="X63"/>
  <c r="Y63" s="1"/>
  <c r="AE62"/>
  <c r="X62"/>
  <c r="Y62" s="1"/>
  <c r="AB57" i="62"/>
  <c r="AI57"/>
  <c r="AC57"/>
  <c r="AI58"/>
  <c r="AB58"/>
  <c r="AC58" s="1"/>
  <c r="AB58" i="75"/>
  <c r="AI58"/>
  <c r="AC58"/>
  <c r="AI57"/>
  <c r="AB57"/>
  <c r="AC57" s="1"/>
  <c r="R36" i="62"/>
  <c r="R35"/>
  <c r="X39" i="66"/>
  <c r="Y39"/>
  <c r="AE39"/>
  <c r="AE38"/>
  <c r="X38"/>
  <c r="Y38" s="1"/>
  <c r="AE35"/>
  <c r="X35"/>
  <c r="Y35" s="1"/>
  <c r="AE43"/>
  <c r="X43"/>
  <c r="Y43" s="1"/>
  <c r="AE34"/>
  <c r="X34"/>
  <c r="Y34" s="1"/>
  <c r="S46" i="3"/>
  <c r="S42"/>
  <c r="S43"/>
  <c r="S44"/>
  <c r="S37"/>
  <c r="S34"/>
  <c r="S32"/>
  <c r="S35"/>
  <c r="S33"/>
  <c r="S36"/>
  <c r="S45"/>
  <c r="AE80" i="52"/>
  <c r="AF80" s="1"/>
  <c r="AF84" s="1"/>
  <c r="AE53" i="66"/>
  <c r="X53"/>
  <c r="Y53" s="1"/>
  <c r="AE64"/>
  <c r="X64"/>
  <c r="Y64" s="1"/>
  <c r="X54"/>
  <c r="Y54" s="1"/>
  <c r="AE54"/>
  <c r="AI32" i="75"/>
  <c r="AB32"/>
  <c r="AC32" s="1"/>
  <c r="AB34"/>
  <c r="AC34" s="1"/>
  <c r="AI34"/>
  <c r="AB46"/>
  <c r="AC46" s="1"/>
  <c r="AI46"/>
  <c r="Z49" i="78"/>
  <c r="AA49"/>
  <c r="Z38"/>
  <c r="AA38"/>
  <c r="Z41"/>
  <c r="AA41"/>
  <c r="AF39" i="65"/>
  <c r="AG39" s="1"/>
  <c r="AH39" s="1"/>
  <c r="AV39"/>
  <c r="AA39"/>
  <c r="AB39"/>
  <c r="AI32" i="78"/>
  <c r="AB32"/>
  <c r="AC32" s="1"/>
  <c r="AI42" i="75"/>
  <c r="AB42"/>
  <c r="AC42" s="1"/>
  <c r="AI48"/>
  <c r="AB48"/>
  <c r="AC48" s="1"/>
  <c r="AI35"/>
  <c r="AB35"/>
  <c r="AC35" s="1"/>
  <c r="AI44" i="78"/>
  <c r="AB44"/>
  <c r="AC44" s="1"/>
  <c r="R44" i="62"/>
  <c r="AI35" i="78"/>
  <c r="AB35"/>
  <c r="AC35" s="1"/>
  <c r="R33" i="62"/>
  <c r="AI36" i="78"/>
  <c r="AB36"/>
  <c r="AC36" s="1"/>
  <c r="N47" i="52"/>
  <c r="P48"/>
  <c r="N43"/>
  <c r="P44"/>
  <c r="Q89"/>
  <c r="R89" s="1"/>
  <c r="R93" s="1"/>
  <c r="Q80"/>
  <c r="R80" s="1"/>
  <c r="R84" s="1"/>
  <c r="AB56" i="61"/>
  <c r="AC56" s="1"/>
  <c r="AI56"/>
  <c r="Z38"/>
  <c r="AA38" s="1"/>
  <c r="Z40"/>
  <c r="AA40" s="1"/>
  <c r="AI49"/>
  <c r="AB49"/>
  <c r="AC49" s="1"/>
  <c r="AB41" i="75"/>
  <c r="AC41" s="1"/>
  <c r="AI41"/>
  <c r="AI38"/>
  <c r="AB38"/>
  <c r="AC38" s="1"/>
  <c r="Z38" i="62"/>
  <c r="AA38" s="1"/>
  <c r="Z41"/>
  <c r="AA41" s="1"/>
  <c r="AB49"/>
  <c r="AI49"/>
  <c r="AC49"/>
  <c r="O83" i="26"/>
  <c r="AI79"/>
  <c r="B363" i="50"/>
  <c r="G351"/>
  <c r="H351"/>
  <c r="F351"/>
  <c r="K351"/>
  <c r="L351"/>
  <c r="O351"/>
  <c r="Q351"/>
  <c r="R351" s="1"/>
  <c r="E351"/>
  <c r="M351"/>
  <c r="J351"/>
  <c r="I351"/>
  <c r="N351"/>
  <c r="P351"/>
  <c r="E326"/>
  <c r="H326"/>
  <c r="I326"/>
  <c r="G326"/>
  <c r="N326"/>
  <c r="B338"/>
  <c r="F326"/>
  <c r="J326"/>
  <c r="K326"/>
  <c r="M326"/>
  <c r="L326"/>
  <c r="O326"/>
  <c r="Q326"/>
  <c r="R326" s="1"/>
  <c r="P326"/>
  <c r="V112" i="49"/>
  <c r="U115"/>
  <c r="AA80" i="52"/>
  <c r="AB80" s="1"/>
  <c r="AB84" s="1"/>
  <c r="AA89"/>
  <c r="AB89" s="1"/>
  <c r="AB93" s="1"/>
  <c r="V39" i="67"/>
  <c r="W39"/>
  <c r="X41"/>
  <c r="Y41" s="1"/>
  <c r="AE41"/>
  <c r="R37" i="78"/>
  <c r="Z37"/>
  <c r="AA37" s="1"/>
  <c r="R36" i="61"/>
  <c r="AI48"/>
  <c r="AB48"/>
  <c r="AC48" s="1"/>
  <c r="AE33" i="67"/>
  <c r="X33"/>
  <c r="Y33" s="1"/>
  <c r="R46"/>
  <c r="V46" s="1"/>
  <c r="W46" s="1"/>
  <c r="R43"/>
  <c r="V43" s="1"/>
  <c r="W43" s="1"/>
  <c r="AI43" i="75"/>
  <c r="AB43"/>
  <c r="AC43" s="1"/>
  <c r="AV46" i="66"/>
  <c r="AF46"/>
  <c r="AG46" s="1"/>
  <c r="AH46" s="1"/>
  <c r="AB46"/>
  <c r="AA46"/>
  <c r="AW46" s="1"/>
  <c r="P79" i="26"/>
  <c r="S79" s="1"/>
  <c r="S83" s="1"/>
  <c r="S38"/>
  <c r="AI186" i="50"/>
  <c r="AM186" s="1"/>
  <c r="AP186" s="1"/>
  <c r="AI127"/>
  <c r="AM127" s="1"/>
  <c r="AP127" s="1"/>
  <c r="AI80" i="26"/>
  <c r="AN80" s="1"/>
  <c r="AE41"/>
  <c r="AI149" i="50"/>
  <c r="AM149" s="1"/>
  <c r="AP149" s="1"/>
  <c r="AI183"/>
  <c r="AM183" s="1"/>
  <c r="AP183" s="1"/>
  <c r="AI314"/>
  <c r="AM314" s="1"/>
  <c r="AP314" s="1"/>
  <c r="AE72" i="26"/>
  <c r="AB81" s="1"/>
  <c r="AE81" s="1"/>
  <c r="AB45" i="78"/>
  <c r="AC45" s="1"/>
  <c r="AI45"/>
  <c r="R43" i="62"/>
  <c r="R34" i="67"/>
  <c r="V34" s="1"/>
  <c r="W34" s="1"/>
  <c r="R44"/>
  <c r="V44" s="1"/>
  <c r="W44" s="1"/>
  <c r="R42" i="62"/>
  <c r="AI42" i="78"/>
  <c r="AB42"/>
  <c r="AC42"/>
  <c r="AB73" i="26"/>
  <c r="AE73" s="1"/>
  <c r="AB82"/>
  <c r="AE82" s="1"/>
  <c r="AB40"/>
  <c r="AE40" s="1"/>
  <c r="AE42" s="1"/>
  <c r="AE38"/>
  <c r="R43" i="61"/>
  <c r="R45" i="67"/>
  <c r="V45"/>
  <c r="W45" s="1"/>
  <c r="AG32" i="65"/>
  <c r="BA40" i="3"/>
  <c r="AE71"/>
  <c r="BA71" s="1"/>
  <c r="AJ38" i="52"/>
  <c r="N39"/>
  <c r="AJ39" s="1"/>
  <c r="N50"/>
  <c r="AJ50" s="1"/>
  <c r="N86"/>
  <c r="AJ86" s="1"/>
  <c r="N95"/>
  <c r="U80"/>
  <c r="V80" s="1"/>
  <c r="V84" s="1"/>
  <c r="Y80"/>
  <c r="Z80" s="1"/>
  <c r="Z84" s="1"/>
  <c r="AB56" i="78"/>
  <c r="AC56" s="1"/>
  <c r="AI56"/>
  <c r="AB58"/>
  <c r="AC58" s="1"/>
  <c r="AI58"/>
  <c r="AE58" i="67"/>
  <c r="X58"/>
  <c r="Y58" s="1"/>
  <c r="X54"/>
  <c r="Y54" s="1"/>
  <c r="AE54"/>
  <c r="X57"/>
  <c r="Y57" s="1"/>
  <c r="AE57"/>
  <c r="S42" i="26"/>
  <c r="AI40"/>
  <c r="AB56" i="62"/>
  <c r="AC56" s="1"/>
  <c r="AI56"/>
  <c r="AI56" i="75"/>
  <c r="AB56"/>
  <c r="AC56" s="1"/>
  <c r="R37" i="62"/>
  <c r="R34"/>
  <c r="AI48"/>
  <c r="AB48"/>
  <c r="AC48" s="1"/>
  <c r="AE40" i="66"/>
  <c r="X40"/>
  <c r="Y40" s="1"/>
  <c r="AE41"/>
  <c r="X41"/>
  <c r="Y41"/>
  <c r="R37"/>
  <c r="V37" s="1"/>
  <c r="W37"/>
  <c r="X44"/>
  <c r="Y44"/>
  <c r="AE44"/>
  <c r="B151" i="50"/>
  <c r="E139"/>
  <c r="P139"/>
  <c r="O139"/>
  <c r="Q139"/>
  <c r="R139" s="1"/>
  <c r="F139"/>
  <c r="H139"/>
  <c r="I139"/>
  <c r="K139"/>
  <c r="J139"/>
  <c r="L139"/>
  <c r="N139"/>
  <c r="G139"/>
  <c r="M139"/>
  <c r="W80" i="52"/>
  <c r="X80" s="1"/>
  <c r="X84" s="1"/>
  <c r="X62" i="66"/>
  <c r="Y62" s="1"/>
  <c r="AE62"/>
  <c r="AE58"/>
  <c r="X58"/>
  <c r="Y58" s="1"/>
  <c r="AE63"/>
  <c r="X63"/>
  <c r="Y63" s="1"/>
  <c r="X57"/>
  <c r="Y57" s="1"/>
  <c r="AE57"/>
  <c r="R37" i="75"/>
  <c r="Z37"/>
  <c r="AA37" s="1"/>
  <c r="AI45"/>
  <c r="AB45"/>
  <c r="AC45" s="1"/>
  <c r="R36"/>
  <c r="Z36" s="1"/>
  <c r="AA36"/>
  <c r="Z40" i="78"/>
  <c r="AA40"/>
  <c r="AI39"/>
  <c r="AB39"/>
  <c r="AC39" s="1"/>
  <c r="AE42" i="66"/>
  <c r="X42"/>
  <c r="Y42" s="1"/>
  <c r="X33"/>
  <c r="Y33" s="1"/>
  <c r="AE33"/>
  <c r="R45" i="62"/>
  <c r="AB46" i="78"/>
  <c r="AC46" s="1"/>
  <c r="AI46"/>
  <c r="X37" i="67"/>
  <c r="Y37" s="1"/>
  <c r="AE37"/>
  <c r="R44" i="61"/>
  <c r="R33" i="75"/>
  <c r="Z33" s="1"/>
  <c r="AA33" s="1"/>
  <c r="V395" i="50"/>
  <c r="AI395" s="1"/>
  <c r="AM395" s="1"/>
  <c r="AP395" s="1"/>
  <c r="AI394"/>
  <c r="AM394" s="1"/>
  <c r="AP394" s="1"/>
  <c r="W467"/>
  <c r="AI467" s="1"/>
  <c r="AM467" s="1"/>
  <c r="AI466"/>
  <c r="AM466" s="1"/>
  <c r="AP466" s="1"/>
  <c r="F282"/>
  <c r="J282"/>
  <c r="O282"/>
  <c r="B294"/>
  <c r="K282"/>
  <c r="N282"/>
  <c r="G282"/>
  <c r="I282"/>
  <c r="M282"/>
  <c r="E282"/>
  <c r="H282"/>
  <c r="L282"/>
  <c r="P282"/>
  <c r="Q282"/>
  <c r="R282" s="1"/>
  <c r="O80" i="52"/>
  <c r="P80" s="1"/>
  <c r="O89" s="1"/>
  <c r="P89" s="1"/>
  <c r="A24" i="58"/>
  <c r="D23"/>
  <c r="J23" s="1"/>
  <c r="M161" i="50"/>
  <c r="H161"/>
  <c r="O161"/>
  <c r="B173"/>
  <c r="J161"/>
  <c r="L161"/>
  <c r="N161"/>
  <c r="E161"/>
  <c r="Q161"/>
  <c r="R161" s="1"/>
  <c r="I161"/>
  <c r="P161"/>
  <c r="F161"/>
  <c r="G161"/>
  <c r="K161"/>
  <c r="T102"/>
  <c r="AI101"/>
  <c r="AM101" s="1"/>
  <c r="AP101" s="1"/>
  <c r="AG80" i="52"/>
  <c r="AH80" s="1"/>
  <c r="AH84" s="1"/>
  <c r="AI57" i="61"/>
  <c r="AB57"/>
  <c r="AC57" s="1"/>
  <c r="AB58"/>
  <c r="AC58" s="1"/>
  <c r="AI58"/>
  <c r="Z41"/>
  <c r="AA41" s="1"/>
  <c r="Z39"/>
  <c r="AA39" s="1"/>
  <c r="AI68" i="26"/>
  <c r="AN68" s="1"/>
  <c r="AN66"/>
  <c r="AB49" i="75"/>
  <c r="AC49" s="1"/>
  <c r="AI49"/>
  <c r="AB40"/>
  <c r="AI40"/>
  <c r="AC40"/>
  <c r="Z39"/>
  <c r="AA39"/>
  <c r="AB40" i="62"/>
  <c r="AI40"/>
  <c r="AC40"/>
  <c r="Z39"/>
  <c r="AA39" s="1"/>
  <c r="O74" i="26"/>
  <c r="AI70"/>
  <c r="Q14" i="65"/>
  <c r="Q16" i="3"/>
  <c r="Q16" i="65"/>
  <c r="Z13" i="3"/>
  <c r="V13" i="65"/>
  <c r="R15" i="67"/>
  <c r="Z16" i="62"/>
  <c r="Q15" i="66"/>
  <c r="R13" i="65"/>
  <c r="Q15"/>
  <c r="R15" i="62"/>
  <c r="Q15" i="75"/>
  <c r="R14"/>
  <c r="V15" i="67"/>
  <c r="V13"/>
  <c r="Z14" i="61"/>
  <c r="R14" i="62"/>
  <c r="Q16" i="61"/>
  <c r="Q13" i="65"/>
  <c r="R16" i="66"/>
  <c r="Q13" i="67"/>
  <c r="V14" i="65"/>
  <c r="Z13" i="62"/>
  <c r="Q13" i="3"/>
  <c r="Q14" i="62"/>
  <c r="Z13" i="61"/>
  <c r="R13" i="75"/>
  <c r="Q15" i="78"/>
  <c r="Q16"/>
  <c r="Q15" i="67"/>
  <c r="Q15" i="62"/>
  <c r="R15" i="65"/>
  <c r="Q16" i="75"/>
  <c r="R14" i="78"/>
  <c r="Q15" i="3"/>
  <c r="R15" i="78"/>
  <c r="Q16" i="67"/>
  <c r="R13" i="3"/>
  <c r="Z15" i="62"/>
  <c r="V15" i="66"/>
  <c r="Q14"/>
  <c r="Z13" i="75"/>
  <c r="Z13" i="78"/>
  <c r="Z15" i="75"/>
  <c r="R14" i="66"/>
  <c r="V16" i="65"/>
  <c r="R16" i="62"/>
  <c r="Z15" i="3"/>
  <c r="Q13" i="61"/>
  <c r="Z15"/>
  <c r="T122" i="49"/>
  <c r="T121"/>
  <c r="T130"/>
  <c r="T120"/>
  <c r="T128"/>
  <c r="T124"/>
  <c r="T117"/>
  <c r="T119"/>
  <c r="T126"/>
  <c r="T125"/>
  <c r="T116"/>
  <c r="T127"/>
  <c r="T123"/>
  <c r="T129"/>
  <c r="T118"/>
  <c r="AC80" i="52"/>
  <c r="AD80" s="1"/>
  <c r="AD84" s="1"/>
  <c r="AC89"/>
  <c r="AD89" s="1"/>
  <c r="AD93" s="1"/>
  <c r="S80"/>
  <c r="T80" s="1"/>
  <c r="T84" s="1"/>
  <c r="V38" i="67"/>
  <c r="W38"/>
  <c r="X40"/>
  <c r="Y40" s="1"/>
  <c r="AE40"/>
  <c r="V35"/>
  <c r="W35"/>
  <c r="R43" i="78"/>
  <c r="Z43"/>
  <c r="AA43" s="1"/>
  <c r="X36" i="67"/>
  <c r="Y36" s="1"/>
  <c r="AE36"/>
  <c r="R32"/>
  <c r="V32"/>
  <c r="W32" s="1"/>
  <c r="R42"/>
  <c r="V42"/>
  <c r="W42" s="1"/>
  <c r="AB34" i="65"/>
  <c r="AV34"/>
  <c r="AA34"/>
  <c r="AF34"/>
  <c r="AG34" s="1"/>
  <c r="AH34" s="1"/>
  <c r="AB36"/>
  <c r="AV36"/>
  <c r="AA36"/>
  <c r="AW36" s="1"/>
  <c r="AF36"/>
  <c r="AG36" s="1"/>
  <c r="AH36" s="1"/>
  <c r="AI36" i="26"/>
  <c r="AI71"/>
  <c r="AN71" s="1"/>
  <c r="AI270" i="50"/>
  <c r="AM270" s="1"/>
  <c r="AP270" s="1"/>
  <c r="AI81" i="26"/>
  <c r="AN81" s="1"/>
  <c r="AI182" i="50"/>
  <c r="AM182" s="1"/>
  <c r="AP182" s="1"/>
  <c r="AI339"/>
  <c r="AM339" s="1"/>
  <c r="AP339" s="1"/>
  <c r="T79" i="26"/>
  <c r="W79" s="1"/>
  <c r="W83" s="1"/>
  <c r="S47" i="52"/>
  <c r="T47" s="1"/>
  <c r="T48" s="1"/>
  <c r="W45" i="65"/>
  <c r="AD85" i="26"/>
  <c r="Z37" i="3"/>
  <c r="AA37" s="1"/>
  <c r="Z34"/>
  <c r="AA34" s="1"/>
  <c r="Z32"/>
  <c r="AA32" s="1"/>
  <c r="Z33"/>
  <c r="AA33" s="1"/>
  <c r="Z45"/>
  <c r="AA45" s="1"/>
  <c r="Z36"/>
  <c r="AA36" s="1"/>
  <c r="Z43"/>
  <c r="AA43" s="1"/>
  <c r="Z44"/>
  <c r="AA44" s="1"/>
  <c r="Z46"/>
  <c r="AA46" s="1"/>
  <c r="Z42"/>
  <c r="AA42" s="1"/>
  <c r="Z35"/>
  <c r="AA35" s="1"/>
  <c r="AB41" i="61" l="1"/>
  <c r="AC41" s="1"/>
  <c r="AI41"/>
  <c r="AJ39" i="78"/>
  <c r="AK39" s="1"/>
  <c r="AL39" s="1"/>
  <c r="AZ39"/>
  <c r="AE39"/>
  <c r="AA58" i="66"/>
  <c r="AW58" s="1"/>
  <c r="AF58"/>
  <c r="AG58" s="1"/>
  <c r="AH58" s="1"/>
  <c r="AV58"/>
  <c r="AI39" i="61"/>
  <c r="AB39"/>
  <c r="AC39" s="1"/>
  <c r="AE57"/>
  <c r="BA57" s="1"/>
  <c r="AZ57"/>
  <c r="AJ57"/>
  <c r="AK57" s="1"/>
  <c r="AL57" s="1"/>
  <c r="AI33" i="75"/>
  <c r="AB33"/>
  <c r="AC33" s="1"/>
  <c r="AB33" i="66"/>
  <c r="AA33"/>
  <c r="AW33" s="1"/>
  <c r="AF33"/>
  <c r="AG33" s="1"/>
  <c r="AH33" s="1"/>
  <c r="AV33"/>
  <c r="AV57"/>
  <c r="AF57"/>
  <c r="AG57" s="1"/>
  <c r="AH57" s="1"/>
  <c r="AA57"/>
  <c r="AA62"/>
  <c r="AF62"/>
  <c r="AG62" s="1"/>
  <c r="AH62" s="1"/>
  <c r="AV62"/>
  <c r="AZ56" i="75"/>
  <c r="AJ56"/>
  <c r="AK56" s="1"/>
  <c r="AL56" s="1"/>
  <c r="AE56"/>
  <c r="AV58" i="67"/>
  <c r="AF58"/>
  <c r="AG58" s="1"/>
  <c r="AH58" s="1"/>
  <c r="AA58"/>
  <c r="AW58" s="1"/>
  <c r="AE34"/>
  <c r="X34"/>
  <c r="Y34" s="1"/>
  <c r="AE43"/>
  <c r="X43"/>
  <c r="Y43" s="1"/>
  <c r="AE48" i="61"/>
  <c r="AZ48"/>
  <c r="AJ48"/>
  <c r="AK48" s="1"/>
  <c r="AL48" s="1"/>
  <c r="AF48"/>
  <c r="AB41" i="62"/>
  <c r="AC41" s="1"/>
  <c r="AI41"/>
  <c r="AI40" i="61"/>
  <c r="AB40"/>
  <c r="AC40" s="1"/>
  <c r="AJ35" i="75"/>
  <c r="AK35" s="1"/>
  <c r="AL35" s="1"/>
  <c r="AE35"/>
  <c r="BA35" s="1"/>
  <c r="AZ35"/>
  <c r="AF35"/>
  <c r="AE32" i="78"/>
  <c r="AZ32"/>
  <c r="AJ32"/>
  <c r="AK32" s="1"/>
  <c r="AF32"/>
  <c r="AB39" i="62"/>
  <c r="AC39" s="1"/>
  <c r="AI39"/>
  <c r="N89" i="52"/>
  <c r="P93"/>
  <c r="X44" i="67"/>
  <c r="Y44" s="1"/>
  <c r="AE44"/>
  <c r="AE46"/>
  <c r="X46"/>
  <c r="Y46" s="1"/>
  <c r="AB38" i="62"/>
  <c r="AC38" s="1"/>
  <c r="AI38"/>
  <c r="AI38" i="61"/>
  <c r="AB38"/>
  <c r="AC38" s="1"/>
  <c r="AF62" i="67"/>
  <c r="AG62" s="1"/>
  <c r="AH62" s="1"/>
  <c r="AA62"/>
  <c r="AV62"/>
  <c r="AF63"/>
  <c r="AG63" s="1"/>
  <c r="AH63" s="1"/>
  <c r="AA63"/>
  <c r="AW63" s="1"/>
  <c r="AV63"/>
  <c r="AF53"/>
  <c r="AG53" s="1"/>
  <c r="AH53" s="1"/>
  <c r="AA53"/>
  <c r="AV53"/>
  <c r="X42"/>
  <c r="Y42" s="1"/>
  <c r="AE42"/>
  <c r="AE32"/>
  <c r="X32"/>
  <c r="Y32" s="1"/>
  <c r="AI43" i="78"/>
  <c r="AB43"/>
  <c r="AC43" s="1"/>
  <c r="X35" i="67"/>
  <c r="Y35" s="1"/>
  <c r="AE35"/>
  <c r="X38"/>
  <c r="Y38" s="1"/>
  <c r="AE38"/>
  <c r="AI39" i="75"/>
  <c r="AB39"/>
  <c r="AC39" s="1"/>
  <c r="AJ40"/>
  <c r="AK40" s="1"/>
  <c r="AL40" s="1"/>
  <c r="AZ40"/>
  <c r="AE40"/>
  <c r="AE49"/>
  <c r="AF49"/>
  <c r="AJ49"/>
  <c r="AK49" s="1"/>
  <c r="AL49" s="1"/>
  <c r="AZ49"/>
  <c r="AE58" i="61"/>
  <c r="AJ58"/>
  <c r="AK58" s="1"/>
  <c r="AL58" s="1"/>
  <c r="N173" i="50"/>
  <c r="I173"/>
  <c r="G173"/>
  <c r="L173"/>
  <c r="B185"/>
  <c r="Q173"/>
  <c r="R173" s="1"/>
  <c r="K173"/>
  <c r="M173"/>
  <c r="H173"/>
  <c r="F173"/>
  <c r="P173"/>
  <c r="J173"/>
  <c r="O173"/>
  <c r="E173"/>
  <c r="F294"/>
  <c r="J294"/>
  <c r="O294"/>
  <c r="I294"/>
  <c r="K294"/>
  <c r="N294"/>
  <c r="B306"/>
  <c r="H294"/>
  <c r="L294"/>
  <c r="E294"/>
  <c r="G294"/>
  <c r="M294"/>
  <c r="P294"/>
  <c r="Q294"/>
  <c r="R294" s="1"/>
  <c r="AI40" i="78"/>
  <c r="AB40"/>
  <c r="AC40" s="1"/>
  <c r="AI36" i="75"/>
  <c r="AB36"/>
  <c r="AC36" s="1"/>
  <c r="AJ45"/>
  <c r="AK45" s="1"/>
  <c r="AL45" s="1"/>
  <c r="AE45"/>
  <c r="BA45" s="1"/>
  <c r="AF45"/>
  <c r="AZ45"/>
  <c r="AI37"/>
  <c r="AB37"/>
  <c r="AC37" s="1"/>
  <c r="J151" i="50"/>
  <c r="B163"/>
  <c r="F151"/>
  <c r="O151"/>
  <c r="K151"/>
  <c r="L151"/>
  <c r="G151"/>
  <c r="M151"/>
  <c r="Q151"/>
  <c r="R151" s="1"/>
  <c r="H151"/>
  <c r="E151"/>
  <c r="N151"/>
  <c r="P151"/>
  <c r="I151"/>
  <c r="AF44" i="66"/>
  <c r="AG44" s="1"/>
  <c r="AH44" s="1"/>
  <c r="AA44"/>
  <c r="AW44" s="1"/>
  <c r="AV44"/>
  <c r="AB44"/>
  <c r="X37"/>
  <c r="Y37" s="1"/>
  <c r="AE37"/>
  <c r="AF41"/>
  <c r="AG41" s="1"/>
  <c r="AH41" s="1"/>
  <c r="AV41"/>
  <c r="AB41"/>
  <c r="AA41"/>
  <c r="AW41" s="1"/>
  <c r="AN40" i="26"/>
  <c r="AI42"/>
  <c r="AN42" s="1"/>
  <c r="AJ58" i="78"/>
  <c r="AK58" s="1"/>
  <c r="AL58" s="1"/>
  <c r="AE58"/>
  <c r="AE56"/>
  <c r="AZ56"/>
  <c r="AJ56"/>
  <c r="AK56" s="1"/>
  <c r="AL56" s="1"/>
  <c r="X45" i="67"/>
  <c r="Y45" s="1"/>
  <c r="AE45"/>
  <c r="AE42" i="78"/>
  <c r="BA42" s="1"/>
  <c r="AJ42"/>
  <c r="AK42" s="1"/>
  <c r="AL42" s="1"/>
  <c r="AF42"/>
  <c r="AZ42"/>
  <c r="AE45"/>
  <c r="BA45" s="1"/>
  <c r="AF45"/>
  <c r="AZ45"/>
  <c r="AJ45"/>
  <c r="AK45" s="1"/>
  <c r="AL45" s="1"/>
  <c r="AB37"/>
  <c r="AC37" s="1"/>
  <c r="AI37"/>
  <c r="AE39" i="67"/>
  <c r="X39"/>
  <c r="Y39" s="1"/>
  <c r="U128" i="49"/>
  <c r="U125"/>
  <c r="U120"/>
  <c r="U123"/>
  <c r="U124"/>
  <c r="U129"/>
  <c r="U117"/>
  <c r="U116"/>
  <c r="U118"/>
  <c r="U127"/>
  <c r="U126"/>
  <c r="U130"/>
  <c r="U122"/>
  <c r="U121"/>
  <c r="U119"/>
  <c r="B350" i="50"/>
  <c r="E338"/>
  <c r="N338"/>
  <c r="K338"/>
  <c r="H338"/>
  <c r="F338"/>
  <c r="G338"/>
  <c r="I338"/>
  <c r="O338"/>
  <c r="J338"/>
  <c r="M338"/>
  <c r="L338"/>
  <c r="P338"/>
  <c r="Q338"/>
  <c r="R338" s="1"/>
  <c r="AI83" i="26"/>
  <c r="AN83" s="1"/>
  <c r="AN79"/>
  <c r="AJ49" i="62"/>
  <c r="AK49" s="1"/>
  <c r="AL49" s="1"/>
  <c r="AZ49"/>
  <c r="AE49"/>
  <c r="AF49"/>
  <c r="AZ41" i="75"/>
  <c r="AJ41"/>
  <c r="AK41" s="1"/>
  <c r="AL41" s="1"/>
  <c r="AE41"/>
  <c r="AE56" i="61"/>
  <c r="AZ56"/>
  <c r="AJ56"/>
  <c r="AK56" s="1"/>
  <c r="AL56" s="1"/>
  <c r="AJ43" i="52"/>
  <c r="N44"/>
  <c r="AJ44" s="1"/>
  <c r="AJ47"/>
  <c r="N48"/>
  <c r="AJ48" s="1"/>
  <c r="AZ48" i="75"/>
  <c r="AE48"/>
  <c r="BA48" s="1"/>
  <c r="AJ48"/>
  <c r="AK48" s="1"/>
  <c r="AL48" s="1"/>
  <c r="AF48"/>
  <c r="AJ42"/>
  <c r="AK42" s="1"/>
  <c r="AL42" s="1"/>
  <c r="AF42"/>
  <c r="AE42"/>
  <c r="BA42" s="1"/>
  <c r="AZ42"/>
  <c r="AW39" i="65"/>
  <c r="AA76"/>
  <c r="AJ46" i="75"/>
  <c r="AK46" s="1"/>
  <c r="AL46" s="1"/>
  <c r="AZ46"/>
  <c r="AE46"/>
  <c r="BA46" s="1"/>
  <c r="AF46"/>
  <c r="AF34"/>
  <c r="AE34"/>
  <c r="BA34" s="1"/>
  <c r="AZ34"/>
  <c r="AJ34"/>
  <c r="AK34" s="1"/>
  <c r="AL34" s="1"/>
  <c r="AV54" i="66"/>
  <c r="AF54"/>
  <c r="AG54" s="1"/>
  <c r="AH54" s="1"/>
  <c r="AA54"/>
  <c r="AW54" s="1"/>
  <c r="AV34"/>
  <c r="AA34"/>
  <c r="AW34" s="1"/>
  <c r="AB34"/>
  <c r="AF34"/>
  <c r="AG34" s="1"/>
  <c r="AH34" s="1"/>
  <c r="AB43"/>
  <c r="AV43"/>
  <c r="AA43"/>
  <c r="AW43" s="1"/>
  <c r="AF43"/>
  <c r="AG43" s="1"/>
  <c r="AH43" s="1"/>
  <c r="AB35"/>
  <c r="AF35"/>
  <c r="AG35" s="1"/>
  <c r="AH35" s="1"/>
  <c r="AA35"/>
  <c r="AW35" s="1"/>
  <c r="AV35"/>
  <c r="AB38"/>
  <c r="AV38"/>
  <c r="AA38"/>
  <c r="AF38"/>
  <c r="AG38" s="1"/>
  <c r="AH38" s="1"/>
  <c r="AJ58" i="62"/>
  <c r="AK58" s="1"/>
  <c r="AL58" s="1"/>
  <c r="AE58"/>
  <c r="AJ57"/>
  <c r="AK57" s="1"/>
  <c r="AL57" s="1"/>
  <c r="AE57"/>
  <c r="BA57" s="1"/>
  <c r="AZ57"/>
  <c r="AA64" i="67"/>
  <c r="AF64"/>
  <c r="AG64" s="1"/>
  <c r="AH64" s="1"/>
  <c r="AZ48" i="78"/>
  <c r="AE48"/>
  <c r="BA48" s="1"/>
  <c r="AF48"/>
  <c r="AJ48"/>
  <c r="AK48" s="1"/>
  <c r="AL48" s="1"/>
  <c r="AB32" i="66"/>
  <c r="AV32"/>
  <c r="AA32"/>
  <c r="AF32"/>
  <c r="AG89" i="52"/>
  <c r="AH89" s="1"/>
  <c r="AH93" s="1"/>
  <c r="AI161" i="50"/>
  <c r="AM161" s="1"/>
  <c r="AP161" s="1"/>
  <c r="AI282"/>
  <c r="AM282" s="1"/>
  <c r="AP282" s="1"/>
  <c r="AI72" i="26"/>
  <c r="AN72" s="1"/>
  <c r="AE89" i="52"/>
  <c r="AF89" s="1"/>
  <c r="AF93" s="1"/>
  <c r="X45" i="65"/>
  <c r="Y45"/>
  <c r="AE45"/>
  <c r="AE68" s="1"/>
  <c r="AI38" i="26"/>
  <c r="AN38" s="1"/>
  <c r="AN36"/>
  <c r="AW34" i="65"/>
  <c r="AA36" i="67"/>
  <c r="AW36" s="1"/>
  <c r="AB36"/>
  <c r="AV36"/>
  <c r="AF36"/>
  <c r="AG36" s="1"/>
  <c r="AH36" s="1"/>
  <c r="AF40"/>
  <c r="AG40" s="1"/>
  <c r="AH40" s="1"/>
  <c r="AB40"/>
  <c r="AA40"/>
  <c r="AW40" s="1"/>
  <c r="AV40"/>
  <c r="AI74" i="26"/>
  <c r="AN74" s="1"/>
  <c r="AN70"/>
  <c r="AZ40" i="62"/>
  <c r="AF40"/>
  <c r="N17" i="63" s="1"/>
  <c r="P17" s="1"/>
  <c r="AJ40" i="62"/>
  <c r="AK40" s="1"/>
  <c r="AL40" s="1"/>
  <c r="AE40"/>
  <c r="BA40" s="1"/>
  <c r="T103" i="50"/>
  <c r="AI103" s="1"/>
  <c r="AM103" s="1"/>
  <c r="AP103" s="1"/>
  <c r="AI102"/>
  <c r="AM102" s="1"/>
  <c r="AP102" s="1"/>
  <c r="A25" i="58"/>
  <c r="D24"/>
  <c r="J24" s="1"/>
  <c r="N80" i="52"/>
  <c r="P84"/>
  <c r="AP467" i="50"/>
  <c r="V14" i="67"/>
  <c r="AF37"/>
  <c r="AG37" s="1"/>
  <c r="AH37" s="1"/>
  <c r="AA37"/>
  <c r="AW37" s="1"/>
  <c r="AV37"/>
  <c r="AB37"/>
  <c r="AE46" i="78"/>
  <c r="BA46" s="1"/>
  <c r="AJ46"/>
  <c r="AK46" s="1"/>
  <c r="AL46" s="1"/>
  <c r="AF46"/>
  <c r="AZ46"/>
  <c r="AA42" i="66"/>
  <c r="AW42" s="1"/>
  <c r="AF42"/>
  <c r="AG42" s="1"/>
  <c r="AH42" s="1"/>
  <c r="AV42"/>
  <c r="AB42"/>
  <c r="AV63"/>
  <c r="AF63"/>
  <c r="AG63" s="1"/>
  <c r="AH63" s="1"/>
  <c r="AA63"/>
  <c r="AW63" s="1"/>
  <c r="AF40"/>
  <c r="AG40" s="1"/>
  <c r="AH40" s="1"/>
  <c r="AA40"/>
  <c r="AW40" s="1"/>
  <c r="AB40"/>
  <c r="AV40"/>
  <c r="AJ48" i="62"/>
  <c r="AK48" s="1"/>
  <c r="AL48" s="1"/>
  <c r="AE48"/>
  <c r="AF48"/>
  <c r="AZ48"/>
  <c r="AJ56"/>
  <c r="AK56" s="1"/>
  <c r="AL56" s="1"/>
  <c r="AE56"/>
  <c r="AZ56"/>
  <c r="AA57" i="67"/>
  <c r="AV57"/>
  <c r="AF57"/>
  <c r="AG57" s="1"/>
  <c r="AH57" s="1"/>
  <c r="AV54"/>
  <c r="AA54"/>
  <c r="AW54" s="1"/>
  <c r="AF54"/>
  <c r="AG54" s="1"/>
  <c r="AH54" s="1"/>
  <c r="AJ95" i="52"/>
  <c r="M69"/>
  <c r="AH32" i="65"/>
  <c r="AJ43" i="75"/>
  <c r="AK43" s="1"/>
  <c r="AL43" s="1"/>
  <c r="AZ43"/>
  <c r="AE43"/>
  <c r="BA43" s="1"/>
  <c r="AF43"/>
  <c r="AV33" i="67"/>
  <c r="AA33"/>
  <c r="AW33" s="1"/>
  <c r="AF33"/>
  <c r="AG33" s="1"/>
  <c r="AH33" s="1"/>
  <c r="AB33"/>
  <c r="AF41"/>
  <c r="AG41" s="1"/>
  <c r="AH41" s="1"/>
  <c r="AA41"/>
  <c r="AW41" s="1"/>
  <c r="AB41"/>
  <c r="AV41"/>
  <c r="V115" i="49"/>
  <c r="W112"/>
  <c r="F363" i="50"/>
  <c r="E363"/>
  <c r="N363"/>
  <c r="Q363"/>
  <c r="R363" s="1"/>
  <c r="P363"/>
  <c r="G363"/>
  <c r="M363"/>
  <c r="L363"/>
  <c r="H363"/>
  <c r="I363"/>
  <c r="O363"/>
  <c r="J363"/>
  <c r="K363"/>
  <c r="AZ38" i="75"/>
  <c r="AE38"/>
  <c r="AJ38"/>
  <c r="AK38" s="1"/>
  <c r="AL38" s="1"/>
  <c r="AJ49" i="61"/>
  <c r="AK49" s="1"/>
  <c r="AL49" s="1"/>
  <c r="AZ49"/>
  <c r="AF49"/>
  <c r="AE49"/>
  <c r="AZ36" i="78"/>
  <c r="AE36"/>
  <c r="BA36" s="1"/>
  <c r="AF36"/>
  <c r="AJ36"/>
  <c r="AK36" s="1"/>
  <c r="AL36" s="1"/>
  <c r="AZ35"/>
  <c r="AF35"/>
  <c r="AE35"/>
  <c r="BA35" s="1"/>
  <c r="AJ35"/>
  <c r="AK35" s="1"/>
  <c r="AL35" s="1"/>
  <c r="AJ44"/>
  <c r="AK44" s="1"/>
  <c r="AL44" s="1"/>
  <c r="AF44"/>
  <c r="AZ44"/>
  <c r="AE44"/>
  <c r="BA44" s="1"/>
  <c r="AI41"/>
  <c r="AB41"/>
  <c r="AC41" s="1"/>
  <c r="AI38"/>
  <c r="AB38"/>
  <c r="AC38"/>
  <c r="AI49"/>
  <c r="AB49"/>
  <c r="AC49" s="1"/>
  <c r="AF32" i="75"/>
  <c r="AE32"/>
  <c r="AJ32"/>
  <c r="AZ32"/>
  <c r="AA64" i="66"/>
  <c r="AF64"/>
  <c r="AG64" s="1"/>
  <c r="AH64" s="1"/>
  <c r="AF53"/>
  <c r="AG53" s="1"/>
  <c r="AH53" s="1"/>
  <c r="AV53"/>
  <c r="AA53"/>
  <c r="AF39"/>
  <c r="AG39" s="1"/>
  <c r="AH39" s="1"/>
  <c r="AB39"/>
  <c r="AV39"/>
  <c r="AA39"/>
  <c r="AW39" s="1"/>
  <c r="AJ57" i="75"/>
  <c r="AK57" s="1"/>
  <c r="AL57" s="1"/>
  <c r="AE57"/>
  <c r="BA57" s="1"/>
  <c r="AZ57"/>
  <c r="AE58"/>
  <c r="AJ58"/>
  <c r="AK58" s="1"/>
  <c r="AL58" s="1"/>
  <c r="AZ57" i="78"/>
  <c r="AE57"/>
  <c r="BA57" s="1"/>
  <c r="AJ57"/>
  <c r="AK57" s="1"/>
  <c r="AL57" s="1"/>
  <c r="AF33"/>
  <c r="AZ33"/>
  <c r="AE33"/>
  <c r="BA33" s="1"/>
  <c r="AJ33"/>
  <c r="AK33" s="1"/>
  <c r="AL33" s="1"/>
  <c r="AE44" i="75"/>
  <c r="BA44" s="1"/>
  <c r="AJ44"/>
  <c r="AK44" s="1"/>
  <c r="AL44" s="1"/>
  <c r="AF44"/>
  <c r="AZ44"/>
  <c r="AB36" i="66"/>
  <c r="AV36"/>
  <c r="AA36"/>
  <c r="AW36" s="1"/>
  <c r="AF36"/>
  <c r="AG36" s="1"/>
  <c r="AH36" s="1"/>
  <c r="X45"/>
  <c r="Y45" s="1"/>
  <c r="AE45"/>
  <c r="AV42" i="65"/>
  <c r="AA42"/>
  <c r="AW42" s="1"/>
  <c r="AF42"/>
  <c r="AG42" s="1"/>
  <c r="AH42" s="1"/>
  <c r="AB42"/>
  <c r="AZ34" i="78"/>
  <c r="AJ34"/>
  <c r="AK34" s="1"/>
  <c r="AL34" s="1"/>
  <c r="AF34"/>
  <c r="AE34"/>
  <c r="BA34" s="1"/>
  <c r="S89" i="52"/>
  <c r="T89" s="1"/>
  <c r="T93" s="1"/>
  <c r="W89"/>
  <c r="X89" s="1"/>
  <c r="X93" s="1"/>
  <c r="AI139" i="50"/>
  <c r="AM139" s="1"/>
  <c r="AP139" s="1"/>
  <c r="Y89" i="52"/>
  <c r="Z89" s="1"/>
  <c r="Z93" s="1"/>
  <c r="U89"/>
  <c r="V89" s="1"/>
  <c r="V93" s="1"/>
  <c r="AI326" i="50"/>
  <c r="AM326" s="1"/>
  <c r="AP326" s="1"/>
  <c r="AI351"/>
  <c r="AM351" s="1"/>
  <c r="AP351" s="1"/>
  <c r="AI62" i="78"/>
  <c r="AE68" i="66"/>
  <c r="AB43" i="3"/>
  <c r="AC43" s="1"/>
  <c r="AI43"/>
  <c r="AB34"/>
  <c r="AC34" s="1"/>
  <c r="AI34"/>
  <c r="AB36"/>
  <c r="AI36"/>
  <c r="AC36"/>
  <c r="AB37"/>
  <c r="AC37" s="1"/>
  <c r="AI37"/>
  <c r="AI46"/>
  <c r="AB46"/>
  <c r="AC46" s="1"/>
  <c r="AB35"/>
  <c r="AC35" s="1"/>
  <c r="AI35"/>
  <c r="AI42"/>
  <c r="AB42"/>
  <c r="AC42" s="1"/>
  <c r="AI44"/>
  <c r="AB44"/>
  <c r="AC44" s="1"/>
  <c r="AI45"/>
  <c r="AB45"/>
  <c r="AC45" s="1"/>
  <c r="AB33"/>
  <c r="AC33" s="1"/>
  <c r="AI33"/>
  <c r="AI32"/>
  <c r="AB32"/>
  <c r="AC32" s="1"/>
  <c r="AF39" i="67" l="1"/>
  <c r="AG39" s="1"/>
  <c r="AH39" s="1"/>
  <c r="AV39"/>
  <c r="AB39"/>
  <c r="AA39"/>
  <c r="AW39" s="1"/>
  <c r="AJ41" i="78"/>
  <c r="AK41" s="1"/>
  <c r="AL41" s="1"/>
  <c r="AZ41"/>
  <c r="AE41"/>
  <c r="AA38" i="67"/>
  <c r="AV38"/>
  <c r="AB38"/>
  <c r="AF38"/>
  <c r="AG38" s="1"/>
  <c r="AH38" s="1"/>
  <c r="AF40" i="61"/>
  <c r="K17" i="63" s="1"/>
  <c r="M17" s="1"/>
  <c r="G17" s="1"/>
  <c r="E17" s="1"/>
  <c r="AJ40" i="61"/>
  <c r="AK40" s="1"/>
  <c r="AL40" s="1"/>
  <c r="AE40"/>
  <c r="BA40" s="1"/>
  <c r="AZ40"/>
  <c r="AE39" i="62"/>
  <c r="BA39" s="1"/>
  <c r="AF39"/>
  <c r="N16" i="63" s="1"/>
  <c r="P16" s="1"/>
  <c r="AZ39" i="62"/>
  <c r="AJ39"/>
  <c r="AK39" s="1"/>
  <c r="AL39" s="1"/>
  <c r="AW53" i="66"/>
  <c r="AA55"/>
  <c r="AA68"/>
  <c r="AW68" s="1"/>
  <c r="AK32" i="75"/>
  <c r="BA38"/>
  <c r="AF38"/>
  <c r="V120" i="49"/>
  <c r="V119"/>
  <c r="V116"/>
  <c r="V125"/>
  <c r="V124"/>
  <c r="V128"/>
  <c r="V118"/>
  <c r="V126"/>
  <c r="V122"/>
  <c r="V129"/>
  <c r="V123"/>
  <c r="V130"/>
  <c r="V127"/>
  <c r="V117"/>
  <c r="V121"/>
  <c r="AW57" i="67"/>
  <c r="AA60"/>
  <c r="AE60" i="62"/>
  <c r="AE63" s="1"/>
  <c r="BA63" s="1"/>
  <c r="BA56"/>
  <c r="S10"/>
  <c r="BA48"/>
  <c r="N84" i="52"/>
  <c r="AJ84" s="1"/>
  <c r="AJ80"/>
  <c r="A26" i="58"/>
  <c r="D25"/>
  <c r="J25" s="1"/>
  <c r="AA45" i="65"/>
  <c r="AV45"/>
  <c r="AF45"/>
  <c r="AG45" s="1"/>
  <c r="AH45" s="1"/>
  <c r="AB45"/>
  <c r="AG32" i="66"/>
  <c r="AW38"/>
  <c r="AA76"/>
  <c r="AW76" i="65"/>
  <c r="AE60" i="61"/>
  <c r="AE63" s="1"/>
  <c r="BA63" s="1"/>
  <c r="BA56"/>
  <c r="BA56" i="78"/>
  <c r="AE59"/>
  <c r="AE62" s="1"/>
  <c r="BA62" s="1"/>
  <c r="AF37" i="66"/>
  <c r="AG37" s="1"/>
  <c r="AH37" s="1"/>
  <c r="AB37"/>
  <c r="AA37"/>
  <c r="AW37" s="1"/>
  <c r="AV37"/>
  <c r="B318" i="50"/>
  <c r="L306"/>
  <c r="K306"/>
  <c r="O306"/>
  <c r="I306"/>
  <c r="E306"/>
  <c r="H306"/>
  <c r="J306"/>
  <c r="N306"/>
  <c r="G306"/>
  <c r="F306"/>
  <c r="M306"/>
  <c r="P306"/>
  <c r="Q306"/>
  <c r="R306" s="1"/>
  <c r="G185"/>
  <c r="M185"/>
  <c r="P185"/>
  <c r="K185"/>
  <c r="L185"/>
  <c r="O185"/>
  <c r="F185"/>
  <c r="H185"/>
  <c r="Q185"/>
  <c r="R185" s="1"/>
  <c r="E185"/>
  <c r="J185"/>
  <c r="I185"/>
  <c r="N185"/>
  <c r="AE72" i="75"/>
  <c r="BA49"/>
  <c r="AZ39"/>
  <c r="AJ39"/>
  <c r="AK39" s="1"/>
  <c r="AL39" s="1"/>
  <c r="AE39"/>
  <c r="AE70" s="1"/>
  <c r="AF35" i="67"/>
  <c r="AG35" s="1"/>
  <c r="AH35" s="1"/>
  <c r="AV35"/>
  <c r="AA35"/>
  <c r="AW35" s="1"/>
  <c r="AB35"/>
  <c r="AF42"/>
  <c r="AG42" s="1"/>
  <c r="AH42" s="1"/>
  <c r="AB42"/>
  <c r="AA42"/>
  <c r="AW42" s="1"/>
  <c r="AV42"/>
  <c r="AA55"/>
  <c r="AA68"/>
  <c r="AW68" s="1"/>
  <c r="AW53"/>
  <c r="AW62"/>
  <c r="AA65"/>
  <c r="AZ38" i="61"/>
  <c r="AF38"/>
  <c r="K15" i="63" s="1"/>
  <c r="M15" s="1"/>
  <c r="AJ38" i="61"/>
  <c r="AK38" s="1"/>
  <c r="AL38" s="1"/>
  <c r="AE38"/>
  <c r="AA46" i="67"/>
  <c r="AW46" s="1"/>
  <c r="AV46"/>
  <c r="AB46"/>
  <c r="AF46"/>
  <c r="AG46" s="1"/>
  <c r="AH46" s="1"/>
  <c r="AL32" i="78"/>
  <c r="BA32"/>
  <c r="AA43" i="67"/>
  <c r="AW43" s="1"/>
  <c r="AV43"/>
  <c r="AF43"/>
  <c r="AG43" s="1"/>
  <c r="AH43" s="1"/>
  <c r="AB43"/>
  <c r="AA34"/>
  <c r="AW34" s="1"/>
  <c r="AF34"/>
  <c r="AG34" s="1"/>
  <c r="AH34" s="1"/>
  <c r="AB34"/>
  <c r="AV34"/>
  <c r="AA65" i="66"/>
  <c r="AW62"/>
  <c r="AZ33" i="75"/>
  <c r="AJ33"/>
  <c r="AK33" s="1"/>
  <c r="AL33" s="1"/>
  <c r="AF33"/>
  <c r="AE33"/>
  <c r="BA33" s="1"/>
  <c r="BA39" i="78"/>
  <c r="AF39"/>
  <c r="AJ41" i="61"/>
  <c r="AK41" s="1"/>
  <c r="AL41" s="1"/>
  <c r="AZ41"/>
  <c r="AE41"/>
  <c r="BA41" s="1"/>
  <c r="AF41"/>
  <c r="K18" i="63" s="1"/>
  <c r="M18" s="1"/>
  <c r="AF68" i="65"/>
  <c r="AI338" i="50"/>
  <c r="AM338" s="1"/>
  <c r="AP338" s="1"/>
  <c r="AI151"/>
  <c r="AM151" s="1"/>
  <c r="AP151" s="1"/>
  <c r="AE68" i="67"/>
  <c r="AA49" i="65"/>
  <c r="AW49" s="1"/>
  <c r="AB45" i="66"/>
  <c r="AA45"/>
  <c r="AW45" s="1"/>
  <c r="AV45"/>
  <c r="AF45"/>
  <c r="AG45" s="1"/>
  <c r="AH45" s="1"/>
  <c r="BA32" i="75"/>
  <c r="AE49" i="78"/>
  <c r="AF49"/>
  <c r="AJ49"/>
  <c r="AK49" s="1"/>
  <c r="AL49" s="1"/>
  <c r="AZ49"/>
  <c r="AE38"/>
  <c r="AJ38"/>
  <c r="AK38" s="1"/>
  <c r="AL38" s="1"/>
  <c r="AZ38"/>
  <c r="BA49" i="61"/>
  <c r="AE73"/>
  <c r="BA73" s="1"/>
  <c r="T10"/>
  <c r="X112" i="49"/>
  <c r="X115" s="1"/>
  <c r="W115"/>
  <c r="AW32" i="66"/>
  <c r="AA75"/>
  <c r="AA49"/>
  <c r="AW49" s="1"/>
  <c r="BA41" i="75"/>
  <c r="AF41"/>
  <c r="T10" i="62"/>
  <c r="BA49"/>
  <c r="AE73"/>
  <c r="BA73" s="1"/>
  <c r="K350" i="50"/>
  <c r="G350"/>
  <c r="F350"/>
  <c r="I350"/>
  <c r="N350"/>
  <c r="M350"/>
  <c r="B362"/>
  <c r="L350"/>
  <c r="H350"/>
  <c r="J350"/>
  <c r="E350"/>
  <c r="O350"/>
  <c r="Q350"/>
  <c r="R350" s="1"/>
  <c r="P350"/>
  <c r="AE37" i="78"/>
  <c r="BA37" s="1"/>
  <c r="AZ37"/>
  <c r="AF37"/>
  <c r="AJ37"/>
  <c r="AK37" s="1"/>
  <c r="AL37" s="1"/>
  <c r="AF45" i="67"/>
  <c r="AG45" s="1"/>
  <c r="AH45" s="1"/>
  <c r="AA45"/>
  <c r="AW45" s="1"/>
  <c r="AB45"/>
  <c r="AV45"/>
  <c r="M163" i="50"/>
  <c r="I163"/>
  <c r="J163"/>
  <c r="N163"/>
  <c r="Q163"/>
  <c r="R163" s="1"/>
  <c r="O163"/>
  <c r="F163"/>
  <c r="K163"/>
  <c r="H163"/>
  <c r="P163"/>
  <c r="L163"/>
  <c r="E163"/>
  <c r="B175"/>
  <c r="G163"/>
  <c r="AF37" i="75"/>
  <c r="AE37"/>
  <c r="BA37" s="1"/>
  <c r="AZ37"/>
  <c r="AJ37"/>
  <c r="AK37" s="1"/>
  <c r="AL37" s="1"/>
  <c r="AE36"/>
  <c r="BA36" s="1"/>
  <c r="AZ36"/>
  <c r="AF36"/>
  <c r="AJ36"/>
  <c r="AK36" s="1"/>
  <c r="AL36" s="1"/>
  <c r="AJ40" i="78"/>
  <c r="AK40" s="1"/>
  <c r="AL40" s="1"/>
  <c r="AE40"/>
  <c r="AZ40"/>
  <c r="AF40" i="75"/>
  <c r="BA40"/>
  <c r="AJ43" i="78"/>
  <c r="AF43"/>
  <c r="AE43"/>
  <c r="BA43" s="1"/>
  <c r="AZ43"/>
  <c r="AB32" i="67"/>
  <c r="AV32"/>
  <c r="AF32"/>
  <c r="AA32"/>
  <c r="AJ38" i="62"/>
  <c r="AK38" s="1"/>
  <c r="AL38" s="1"/>
  <c r="AZ38"/>
  <c r="AE38"/>
  <c r="AF38"/>
  <c r="N15" i="63" s="1"/>
  <c r="P15" s="1"/>
  <c r="AA44" i="67"/>
  <c r="AW44" s="1"/>
  <c r="AV44"/>
  <c r="AF44"/>
  <c r="AG44" s="1"/>
  <c r="AH44" s="1"/>
  <c r="AB44"/>
  <c r="N93" i="52"/>
  <c r="AJ93" s="1"/>
  <c r="AJ89"/>
  <c r="AE41" i="62"/>
  <c r="BA41" s="1"/>
  <c r="AZ41"/>
  <c r="AF41"/>
  <c r="N18" i="63" s="1"/>
  <c r="P18" s="1"/>
  <c r="AJ41" i="62"/>
  <c r="AK41" s="1"/>
  <c r="AL41" s="1"/>
  <c r="BA48" i="61"/>
  <c r="S10"/>
  <c r="BA56" i="75"/>
  <c r="AE59"/>
  <c r="AE62" s="1"/>
  <c r="BA62" s="1"/>
  <c r="AA60" i="66"/>
  <c r="AW57"/>
  <c r="AE39" i="61"/>
  <c r="BA39" s="1"/>
  <c r="AJ39"/>
  <c r="AK39" s="1"/>
  <c r="AL39" s="1"/>
  <c r="AF39"/>
  <c r="K16" i="63" s="1"/>
  <c r="M16" s="1"/>
  <c r="G16" s="1"/>
  <c r="E16" s="1"/>
  <c r="AZ39" i="61"/>
  <c r="AI363" i="50"/>
  <c r="AM363" s="1"/>
  <c r="AP363" s="1"/>
  <c r="AG68" i="65"/>
  <c r="AH68" s="1"/>
  <c r="AA71"/>
  <c r="AW71" s="1"/>
  <c r="AI294" i="50"/>
  <c r="AM294" s="1"/>
  <c r="AP294" s="1"/>
  <c r="AI173"/>
  <c r="AM173" s="1"/>
  <c r="AP173" s="1"/>
  <c r="AI62" i="75"/>
  <c r="AE33" i="3"/>
  <c r="BA33" s="1"/>
  <c r="AJ33"/>
  <c r="AK33" s="1"/>
  <c r="AL33" s="1"/>
  <c r="AF33"/>
  <c r="AZ33"/>
  <c r="AJ35"/>
  <c r="AK35" s="1"/>
  <c r="AL35" s="1"/>
  <c r="AE35"/>
  <c r="BA35" s="1"/>
  <c r="AF35"/>
  <c r="AZ35"/>
  <c r="AJ32"/>
  <c r="AZ32"/>
  <c r="AE32"/>
  <c r="AF32"/>
  <c r="AE45"/>
  <c r="BA45" s="1"/>
  <c r="AJ45"/>
  <c r="AK45" s="1"/>
  <c r="AL45" s="1"/>
  <c r="AF45"/>
  <c r="AZ45"/>
  <c r="AJ42"/>
  <c r="AK42" s="1"/>
  <c r="AL42" s="1"/>
  <c r="AZ42"/>
  <c r="AF42"/>
  <c r="AE42"/>
  <c r="BA42" s="1"/>
  <c r="AE36"/>
  <c r="BA36" s="1"/>
  <c r="AF36"/>
  <c r="AZ36"/>
  <c r="AJ36"/>
  <c r="AK36" s="1"/>
  <c r="AL36" s="1"/>
  <c r="AI63"/>
  <c r="AJ44"/>
  <c r="AK44" s="1"/>
  <c r="AL44" s="1"/>
  <c r="AE44"/>
  <c r="BA44" s="1"/>
  <c r="AZ44"/>
  <c r="AF44"/>
  <c r="AF46"/>
  <c r="AZ46"/>
  <c r="AE46"/>
  <c r="BA46" s="1"/>
  <c r="AJ46"/>
  <c r="AK46" s="1"/>
  <c r="AL46" s="1"/>
  <c r="AF37"/>
  <c r="AJ37"/>
  <c r="AK37" s="1"/>
  <c r="AL37" s="1"/>
  <c r="AZ37"/>
  <c r="AE37"/>
  <c r="BA37" s="1"/>
  <c r="AF34"/>
  <c r="AE34"/>
  <c r="BA34" s="1"/>
  <c r="AJ34"/>
  <c r="AK34" s="1"/>
  <c r="AL34" s="1"/>
  <c r="AZ34"/>
  <c r="AE43"/>
  <c r="BA43" s="1"/>
  <c r="AJ43"/>
  <c r="AK43" s="1"/>
  <c r="AL43" s="1"/>
  <c r="AZ43"/>
  <c r="AF43"/>
  <c r="BA70" i="75" l="1"/>
  <c r="S37" i="61"/>
  <c r="S33"/>
  <c r="S45"/>
  <c r="S35"/>
  <c r="S44"/>
  <c r="S34"/>
  <c r="S36"/>
  <c r="S32"/>
  <c r="S42"/>
  <c r="S43"/>
  <c r="S46"/>
  <c r="AW32" i="67"/>
  <c r="AA49"/>
  <c r="AW49" s="1"/>
  <c r="AA75"/>
  <c r="AA71"/>
  <c r="AW71" s="1"/>
  <c r="Q175" i="50"/>
  <c r="R175" s="1"/>
  <c r="H175"/>
  <c r="F175"/>
  <c r="P175"/>
  <c r="N175"/>
  <c r="B187"/>
  <c r="L175"/>
  <c r="K175"/>
  <c r="I175"/>
  <c r="G175"/>
  <c r="M175"/>
  <c r="E175"/>
  <c r="O175"/>
  <c r="J175"/>
  <c r="J362"/>
  <c r="M362"/>
  <c r="I362"/>
  <c r="G362"/>
  <c r="F362"/>
  <c r="E362"/>
  <c r="N362"/>
  <c r="K362"/>
  <c r="H362"/>
  <c r="L362"/>
  <c r="O362"/>
  <c r="P362"/>
  <c r="Q362"/>
  <c r="R362" s="1"/>
  <c r="AW75" i="66"/>
  <c r="AA96"/>
  <c r="AW96" s="1"/>
  <c r="W119" i="49"/>
  <c r="W118"/>
  <c r="W128"/>
  <c r="W122"/>
  <c r="W126"/>
  <c r="W125"/>
  <c r="W127"/>
  <c r="W130"/>
  <c r="W117"/>
  <c r="W124"/>
  <c r="W129"/>
  <c r="W121"/>
  <c r="W120"/>
  <c r="W123"/>
  <c r="W116"/>
  <c r="T43" i="61"/>
  <c r="T44"/>
  <c r="T34"/>
  <c r="Z34" s="1"/>
  <c r="AA34" s="1"/>
  <c r="T36"/>
  <c r="T32"/>
  <c r="Z32" s="1"/>
  <c r="AA32" s="1"/>
  <c r="T33"/>
  <c r="Z33" s="1"/>
  <c r="AA33" s="1"/>
  <c r="T46"/>
  <c r="Z46" s="1"/>
  <c r="AA46" s="1"/>
  <c r="T37"/>
  <c r="Z37" s="1"/>
  <c r="AA37" s="1"/>
  <c r="T42"/>
  <c r="Z42" s="1"/>
  <c r="AA42" s="1"/>
  <c r="T35"/>
  <c r="Z35" s="1"/>
  <c r="AA35" s="1"/>
  <c r="T45"/>
  <c r="Z45" s="1"/>
  <c r="AA45" s="1"/>
  <c r="AE71"/>
  <c r="BA38"/>
  <c r="E318" i="50"/>
  <c r="M318"/>
  <c r="I318"/>
  <c r="K318"/>
  <c r="L318"/>
  <c r="B330"/>
  <c r="G318"/>
  <c r="H318"/>
  <c r="N318"/>
  <c r="J318"/>
  <c r="F318"/>
  <c r="O318"/>
  <c r="P318"/>
  <c r="Q318"/>
  <c r="R318" s="1"/>
  <c r="AH32" i="66"/>
  <c r="AG68"/>
  <c r="AH68" s="1"/>
  <c r="AW45" i="65"/>
  <c r="AA75"/>
  <c r="A27" i="58"/>
  <c r="D26"/>
  <c r="J26" s="1"/>
  <c r="S46" i="62"/>
  <c r="S33"/>
  <c r="Z33" s="1"/>
  <c r="AA33" s="1"/>
  <c r="S34"/>
  <c r="S35"/>
  <c r="Z35" s="1"/>
  <c r="AA35" s="1"/>
  <c r="S43"/>
  <c r="S45"/>
  <c r="S37"/>
  <c r="S42"/>
  <c r="S32"/>
  <c r="S44"/>
  <c r="S36"/>
  <c r="AL32" i="75"/>
  <c r="AK62"/>
  <c r="AL62" s="1"/>
  <c r="AF41" i="78"/>
  <c r="BA41"/>
  <c r="AI350" i="50"/>
  <c r="AM350" s="1"/>
  <c r="AP350" s="1"/>
  <c r="AA71" i="66"/>
  <c r="AW71" s="1"/>
  <c r="AE69" i="75"/>
  <c r="G18" i="63"/>
  <c r="E18" s="1"/>
  <c r="AE69" i="78"/>
  <c r="G15" i="63"/>
  <c r="E15" s="1"/>
  <c r="AE71" i="62"/>
  <c r="BA71" s="1"/>
  <c r="BA38"/>
  <c r="AG32" i="67"/>
  <c r="AF68"/>
  <c r="AJ62" i="78"/>
  <c r="AK43"/>
  <c r="AL43" s="1"/>
  <c r="AF40"/>
  <c r="BA40"/>
  <c r="T34" i="62"/>
  <c r="T44"/>
  <c r="T32"/>
  <c r="T42"/>
  <c r="T43"/>
  <c r="T37"/>
  <c r="T35"/>
  <c r="T45"/>
  <c r="T33"/>
  <c r="T36"/>
  <c r="T46"/>
  <c r="X126" i="49"/>
  <c r="G126" s="1"/>
  <c r="X118"/>
  <c r="G118" s="1"/>
  <c r="X119"/>
  <c r="G119" s="1"/>
  <c r="X122"/>
  <c r="G122" s="1"/>
  <c r="X129"/>
  <c r="G129" s="1"/>
  <c r="X124"/>
  <c r="G124" s="1"/>
  <c r="X123"/>
  <c r="G123" s="1"/>
  <c r="X121"/>
  <c r="G121" s="1"/>
  <c r="X130"/>
  <c r="G130" s="1"/>
  <c r="X116"/>
  <c r="G116" s="1"/>
  <c r="X120"/>
  <c r="G120" s="1"/>
  <c r="X117"/>
  <c r="G117" s="1"/>
  <c r="X125"/>
  <c r="G125" s="1"/>
  <c r="X128"/>
  <c r="G128" s="1"/>
  <c r="X127"/>
  <c r="G127" s="1"/>
  <c r="BA38" i="78"/>
  <c r="AF38"/>
  <c r="E33" i="63" s="1"/>
  <c r="G33" s="1"/>
  <c r="AE70" i="78"/>
  <c r="BA49"/>
  <c r="AE72"/>
  <c r="AF39" i="75"/>
  <c r="E31" i="63" s="1"/>
  <c r="G31" s="1"/>
  <c r="BA39" i="75"/>
  <c r="AA72"/>
  <c r="AC72"/>
  <c r="AZ72" s="1"/>
  <c r="BA72"/>
  <c r="AW76" i="66"/>
  <c r="W76"/>
  <c r="Y76"/>
  <c r="AV76" s="1"/>
  <c r="AW38" i="67"/>
  <c r="AA76"/>
  <c r="AI163" i="50"/>
  <c r="AM163" s="1"/>
  <c r="AP163" s="1"/>
  <c r="AE52" i="75"/>
  <c r="BA52" s="1"/>
  <c r="AE52" i="78"/>
  <c r="BA52" s="1"/>
  <c r="AI185" i="50"/>
  <c r="AM185" s="1"/>
  <c r="AP185" s="1"/>
  <c r="AI306"/>
  <c r="AM306" s="1"/>
  <c r="AP306" s="1"/>
  <c r="AF68" i="66"/>
  <c r="AJ62" i="75"/>
  <c r="H11" i="63"/>
  <c r="J11" s="1"/>
  <c r="H14"/>
  <c r="J14" s="1"/>
  <c r="H23"/>
  <c r="J23" s="1"/>
  <c r="H13"/>
  <c r="J13" s="1"/>
  <c r="H20"/>
  <c r="J20" s="1"/>
  <c r="H21"/>
  <c r="J21" s="1"/>
  <c r="H19"/>
  <c r="J19" s="1"/>
  <c r="H22"/>
  <c r="J22" s="1"/>
  <c r="H12"/>
  <c r="J12" s="1"/>
  <c r="H10"/>
  <c r="J10" s="1"/>
  <c r="H9"/>
  <c r="J9" s="1"/>
  <c r="AE70" i="3"/>
  <c r="AE52"/>
  <c r="BA52" s="1"/>
  <c r="BA32"/>
  <c r="AK32"/>
  <c r="AJ63"/>
  <c r="AE90" i="78" l="1"/>
  <c r="BA90" s="1"/>
  <c r="BA69"/>
  <c r="AA69"/>
  <c r="AI35" i="62"/>
  <c r="AB35"/>
  <c r="AC35" s="1"/>
  <c r="AB33"/>
  <c r="AC33" s="1"/>
  <c r="AI33"/>
  <c r="AW75" i="65"/>
  <c r="W75"/>
  <c r="AA96"/>
  <c r="E330" i="50"/>
  <c r="L330"/>
  <c r="K330"/>
  <c r="B342"/>
  <c r="H330"/>
  <c r="F330"/>
  <c r="M330"/>
  <c r="N330"/>
  <c r="J330"/>
  <c r="I330"/>
  <c r="P330"/>
  <c r="G330"/>
  <c r="O330"/>
  <c r="Q330"/>
  <c r="R330" s="1"/>
  <c r="AI45" i="61"/>
  <c r="AB45"/>
  <c r="AC45" s="1"/>
  <c r="AI42"/>
  <c r="AB42"/>
  <c r="AC42" s="1"/>
  <c r="AI46"/>
  <c r="AB46"/>
  <c r="AC46" s="1"/>
  <c r="AI32"/>
  <c r="AB32"/>
  <c r="AC32" s="1"/>
  <c r="AI34"/>
  <c r="AB34"/>
  <c r="AC34" s="1"/>
  <c r="G187" i="50"/>
  <c r="M187"/>
  <c r="E187"/>
  <c r="F187"/>
  <c r="N187"/>
  <c r="K187"/>
  <c r="Q187"/>
  <c r="R187" s="1"/>
  <c r="H187"/>
  <c r="L187"/>
  <c r="P187"/>
  <c r="O187"/>
  <c r="J187"/>
  <c r="I187"/>
  <c r="AE65" i="75"/>
  <c r="BA65" s="1"/>
  <c r="Z44" i="62"/>
  <c r="AA44" s="1"/>
  <c r="Z42"/>
  <c r="AA42" s="1"/>
  <c r="Z45"/>
  <c r="AA45" s="1"/>
  <c r="W75" i="66"/>
  <c r="AI362" i="50"/>
  <c r="AM362" s="1"/>
  <c r="AP362" s="1"/>
  <c r="AI175"/>
  <c r="AM175" s="1"/>
  <c r="AP175" s="1"/>
  <c r="Z36" i="61"/>
  <c r="AA36" s="1"/>
  <c r="Z44"/>
  <c r="AA44" s="1"/>
  <c r="AW76" i="67"/>
  <c r="BA72" i="78"/>
  <c r="AA72"/>
  <c r="AC72"/>
  <c r="AZ72" s="1"/>
  <c r="BA70"/>
  <c r="AC70"/>
  <c r="AZ70" s="1"/>
  <c r="AA70"/>
  <c r="AH32" i="67"/>
  <c r="AG68"/>
  <c r="AH68" s="1"/>
  <c r="AE90" i="75"/>
  <c r="BA69"/>
  <c r="AA69"/>
  <c r="A28" i="58"/>
  <c r="D27"/>
  <c r="J27" s="1"/>
  <c r="BA71" i="61"/>
  <c r="AB35"/>
  <c r="AC35" s="1"/>
  <c r="AI35"/>
  <c r="AB37"/>
  <c r="AC37" s="1"/>
  <c r="AI37"/>
  <c r="AI33"/>
  <c r="AB33"/>
  <c r="AC33" s="1"/>
  <c r="AW75" i="67"/>
  <c r="AA96"/>
  <c r="AW96" s="1"/>
  <c r="AK62" i="78"/>
  <c r="AL62" s="1"/>
  <c r="AE65"/>
  <c r="BA65" s="1"/>
  <c r="Z36" i="62"/>
  <c r="AA36" s="1"/>
  <c r="Z32"/>
  <c r="AA32" s="1"/>
  <c r="Z37"/>
  <c r="AA37" s="1"/>
  <c r="Z43"/>
  <c r="AA43" s="1"/>
  <c r="Z34"/>
  <c r="AA34" s="1"/>
  <c r="Z46"/>
  <c r="AA46" s="1"/>
  <c r="AI318" i="50"/>
  <c r="AM318" s="1"/>
  <c r="AP318" s="1"/>
  <c r="Z43" i="61"/>
  <c r="AA43" s="1"/>
  <c r="J25" i="63"/>
  <c r="J26"/>
  <c r="AK63" i="3"/>
  <c r="AL32"/>
  <c r="AE91"/>
  <c r="AA70" s="1"/>
  <c r="BA70"/>
  <c r="AE66"/>
  <c r="BA66" s="1"/>
  <c r="AB46" i="62" l="1"/>
  <c r="AC46"/>
  <c r="AI46"/>
  <c r="AI32"/>
  <c r="AB32"/>
  <c r="AC32" s="1"/>
  <c r="AZ33" i="61"/>
  <c r="AJ33"/>
  <c r="AK33" s="1"/>
  <c r="AL33" s="1"/>
  <c r="AF33"/>
  <c r="K10" i="63" s="1"/>
  <c r="M10" s="1"/>
  <c r="AE33" i="61"/>
  <c r="BA33" s="1"/>
  <c r="A29" i="58"/>
  <c r="D28"/>
  <c r="J28" s="1"/>
  <c r="AI36" i="61"/>
  <c r="AI63" s="1"/>
  <c r="AB36"/>
  <c r="AC36" s="1"/>
  <c r="AI45" i="62"/>
  <c r="AB45"/>
  <c r="AC45" s="1"/>
  <c r="AB44"/>
  <c r="AI44"/>
  <c r="AC44"/>
  <c r="AZ35"/>
  <c r="AF35"/>
  <c r="N12" i="63" s="1"/>
  <c r="P12" s="1"/>
  <c r="P25" s="1"/>
  <c r="AE35" i="62"/>
  <c r="BA35" s="1"/>
  <c r="AJ35"/>
  <c r="AK35" s="1"/>
  <c r="AL35" s="1"/>
  <c r="Y76" i="67"/>
  <c r="AV76" s="1"/>
  <c r="AI187" i="50"/>
  <c r="AM187" s="1"/>
  <c r="AP187" s="1"/>
  <c r="AI330"/>
  <c r="AM330" s="1"/>
  <c r="AP330" s="1"/>
  <c r="AB43" i="61"/>
  <c r="AC43" s="1"/>
  <c r="AI43"/>
  <c r="AI43" i="62"/>
  <c r="AB43"/>
  <c r="AC43" s="1"/>
  <c r="AI34"/>
  <c r="AB34"/>
  <c r="AC34" s="1"/>
  <c r="AB37"/>
  <c r="AI37"/>
  <c r="AC37"/>
  <c r="AI36"/>
  <c r="AB36"/>
  <c r="AC36" s="1"/>
  <c r="AE37" i="61"/>
  <c r="BA37" s="1"/>
  <c r="AF37"/>
  <c r="K14" i="63" s="1"/>
  <c r="M14" s="1"/>
  <c r="AZ37" i="61"/>
  <c r="AJ37"/>
  <c r="AK37" s="1"/>
  <c r="AL37" s="1"/>
  <c r="AJ35"/>
  <c r="AK35" s="1"/>
  <c r="AL35" s="1"/>
  <c r="AZ35"/>
  <c r="AE35"/>
  <c r="BA35" s="1"/>
  <c r="AF35"/>
  <c r="K12" i="63" s="1"/>
  <c r="M12" s="1"/>
  <c r="BA90" i="75"/>
  <c r="AC70"/>
  <c r="AZ70" s="1"/>
  <c r="AA70"/>
  <c r="AB44" i="61"/>
  <c r="AC44" s="1"/>
  <c r="AI44"/>
  <c r="AI42" i="62"/>
  <c r="AB42"/>
  <c r="AC42" s="1"/>
  <c r="AJ34" i="61"/>
  <c r="AK34" s="1"/>
  <c r="AL34" s="1"/>
  <c r="AZ34"/>
  <c r="AF34"/>
  <c r="K11" i="63" s="1"/>
  <c r="M11" s="1"/>
  <c r="AE34" i="61"/>
  <c r="BA34" s="1"/>
  <c r="AJ32"/>
  <c r="AF32"/>
  <c r="K9" i="63" s="1"/>
  <c r="M9" s="1"/>
  <c r="AZ32" i="61"/>
  <c r="AE32"/>
  <c r="AE46"/>
  <c r="BA46" s="1"/>
  <c r="AF46"/>
  <c r="K23" i="63" s="1"/>
  <c r="M23" s="1"/>
  <c r="AZ46" i="61"/>
  <c r="AJ46"/>
  <c r="AK46" s="1"/>
  <c r="AL46" s="1"/>
  <c r="AF42"/>
  <c r="K19" i="63" s="1"/>
  <c r="M19" s="1"/>
  <c r="AE42" i="61"/>
  <c r="BA42" s="1"/>
  <c r="AJ42"/>
  <c r="AK42" s="1"/>
  <c r="AL42" s="1"/>
  <c r="AZ42"/>
  <c r="AZ45"/>
  <c r="AJ45"/>
  <c r="AK45" s="1"/>
  <c r="AL45" s="1"/>
  <c r="AE45"/>
  <c r="BA45" s="1"/>
  <c r="AF45"/>
  <c r="K22" i="63" s="1"/>
  <c r="M22" s="1"/>
  <c r="G342" i="50"/>
  <c r="E342"/>
  <c r="J342"/>
  <c r="K342"/>
  <c r="M342"/>
  <c r="B354"/>
  <c r="F342"/>
  <c r="I342"/>
  <c r="N342"/>
  <c r="Q342"/>
  <c r="R342" s="1"/>
  <c r="O342"/>
  <c r="L342"/>
  <c r="H342"/>
  <c r="P342"/>
  <c r="AW96" i="65"/>
  <c r="W76"/>
  <c r="Y76"/>
  <c r="AV76" s="1"/>
  <c r="AZ33" i="62"/>
  <c r="AJ33"/>
  <c r="AK33" s="1"/>
  <c r="AL33" s="1"/>
  <c r="AF33"/>
  <c r="N10" i="63" s="1"/>
  <c r="P10" s="1"/>
  <c r="AE33" i="62"/>
  <c r="BA33" s="1"/>
  <c r="W75" i="67"/>
  <c r="W76"/>
  <c r="J28" i="63"/>
  <c r="BA91" i="3"/>
  <c r="AA73"/>
  <c r="AA71"/>
  <c r="AC73"/>
  <c r="AC71"/>
  <c r="AL63"/>
  <c r="AE42" i="62" l="1"/>
  <c r="BA42" s="1"/>
  <c r="AJ42"/>
  <c r="AK42" s="1"/>
  <c r="AL42" s="1"/>
  <c r="AF42"/>
  <c r="N19" i="63" s="1"/>
  <c r="P19" s="1"/>
  <c r="AZ42" i="62"/>
  <c r="I354" i="50"/>
  <c r="J354"/>
  <c r="F354"/>
  <c r="M354"/>
  <c r="G354"/>
  <c r="B366"/>
  <c r="L354"/>
  <c r="N354"/>
  <c r="K354"/>
  <c r="H354"/>
  <c r="P354"/>
  <c r="Q354"/>
  <c r="R354" s="1"/>
  <c r="E354"/>
  <c r="O354"/>
  <c r="BA32" i="61"/>
  <c r="AE44"/>
  <c r="BA44" s="1"/>
  <c r="AJ44"/>
  <c r="AK44" s="1"/>
  <c r="AL44" s="1"/>
  <c r="AF44"/>
  <c r="K21" i="63" s="1"/>
  <c r="M21" s="1"/>
  <c r="AZ44" i="61"/>
  <c r="M25" i="63"/>
  <c r="G12"/>
  <c r="AE36" i="62"/>
  <c r="BA36" s="1"/>
  <c r="AF36"/>
  <c r="N13" i="63" s="1"/>
  <c r="P13" s="1"/>
  <c r="AZ36" i="62"/>
  <c r="AJ36"/>
  <c r="AK36" s="1"/>
  <c r="AL36" s="1"/>
  <c r="AE37"/>
  <c r="BA37" s="1"/>
  <c r="AJ37"/>
  <c r="AK37" s="1"/>
  <c r="AL37" s="1"/>
  <c r="AZ37"/>
  <c r="AF37"/>
  <c r="N14" i="63" s="1"/>
  <c r="P14" s="1"/>
  <c r="AJ43" i="61"/>
  <c r="AK43" s="1"/>
  <c r="AL43" s="1"/>
  <c r="AE43"/>
  <c r="BA43" s="1"/>
  <c r="AF43"/>
  <c r="K20" i="63" s="1"/>
  <c r="M20" s="1"/>
  <c r="AZ43" i="61"/>
  <c r="AE45" i="62"/>
  <c r="BA45" s="1"/>
  <c r="AZ45"/>
  <c r="AF45"/>
  <c r="N22" i="63" s="1"/>
  <c r="P22" s="1"/>
  <c r="AJ45" i="62"/>
  <c r="AK45" s="1"/>
  <c r="AL45" s="1"/>
  <c r="AZ36" i="61"/>
  <c r="AE36"/>
  <c r="BA36" s="1"/>
  <c r="AF36"/>
  <c r="K13" i="63" s="1"/>
  <c r="M13" s="1"/>
  <c r="G13" s="1"/>
  <c r="E13" s="1"/>
  <c r="AJ36" i="61"/>
  <c r="AK36" s="1"/>
  <c r="AL36" s="1"/>
  <c r="AJ32" i="62"/>
  <c r="AF32"/>
  <c r="N9" i="63" s="1"/>
  <c r="P9" s="1"/>
  <c r="AZ32" i="62"/>
  <c r="AE32"/>
  <c r="AI342" i="50"/>
  <c r="AM342" s="1"/>
  <c r="AP342" s="1"/>
  <c r="G22" i="63"/>
  <c r="E22" s="1"/>
  <c r="G14"/>
  <c r="E14" s="1"/>
  <c r="AK32" i="61"/>
  <c r="AJ63"/>
  <c r="AJ34" i="62"/>
  <c r="AK34" s="1"/>
  <c r="AL34" s="1"/>
  <c r="AF34"/>
  <c r="N11" i="63" s="1"/>
  <c r="P11" s="1"/>
  <c r="AZ34" i="62"/>
  <c r="AE34"/>
  <c r="BA34" s="1"/>
  <c r="AJ43"/>
  <c r="AK43" s="1"/>
  <c r="AL43" s="1"/>
  <c r="AE43"/>
  <c r="BA43" s="1"/>
  <c r="AZ43"/>
  <c r="AF43"/>
  <c r="N20" i="63" s="1"/>
  <c r="P20" s="1"/>
  <c r="AE44" i="62"/>
  <c r="BA44" s="1"/>
  <c r="AZ44"/>
  <c r="AJ44"/>
  <c r="AK44" s="1"/>
  <c r="AL44" s="1"/>
  <c r="AF44"/>
  <c r="N21" i="63" s="1"/>
  <c r="P21" s="1"/>
  <c r="D29" i="58"/>
  <c r="J29" s="1"/>
  <c r="A30"/>
  <c r="AE46" i="62"/>
  <c r="BA46" s="1"/>
  <c r="AZ46"/>
  <c r="AJ46"/>
  <c r="AK46" s="1"/>
  <c r="AL46" s="1"/>
  <c r="AF46"/>
  <c r="N23" i="63" s="1"/>
  <c r="P23" s="1"/>
  <c r="G23" s="1"/>
  <c r="E23" s="1"/>
  <c r="G19"/>
  <c r="E19" s="1"/>
  <c r="G11"/>
  <c r="E11" s="1"/>
  <c r="G10"/>
  <c r="E10" s="1"/>
  <c r="AI63" i="62"/>
  <c r="AZ73" i="3"/>
  <c r="O61" i="26"/>
  <c r="AI61" s="1"/>
  <c r="AN61" s="1"/>
  <c r="AZ71" i="3"/>
  <c r="O59" i="26"/>
  <c r="A31" i="58" l="1"/>
  <c r="D31" s="1"/>
  <c r="J31" s="1"/>
  <c r="K59" s="1"/>
  <c r="D30"/>
  <c r="J30" s="1"/>
  <c r="AJ63" i="62"/>
  <c r="AK32"/>
  <c r="G20" i="63"/>
  <c r="E20" s="1"/>
  <c r="G21"/>
  <c r="E21" s="1"/>
  <c r="M26"/>
  <c r="M28" s="1"/>
  <c r="AE70" i="61"/>
  <c r="AI354" i="50"/>
  <c r="AM354" s="1"/>
  <c r="AP354" s="1"/>
  <c r="AL32" i="61"/>
  <c r="AK63"/>
  <c r="AE70" i="62"/>
  <c r="BA32"/>
  <c r="AE52"/>
  <c r="BA52" s="1"/>
  <c r="AE66"/>
  <c r="BA66" s="1"/>
  <c r="E12" i="63"/>
  <c r="G25"/>
  <c r="E366" i="50"/>
  <c r="I366"/>
  <c r="O366"/>
  <c r="J366"/>
  <c r="M366"/>
  <c r="F366"/>
  <c r="N366"/>
  <c r="K366"/>
  <c r="H366"/>
  <c r="G366"/>
  <c r="L366"/>
  <c r="P366"/>
  <c r="Q366"/>
  <c r="R366" s="1"/>
  <c r="P26" i="63"/>
  <c r="P28" s="1"/>
  <c r="G9"/>
  <c r="AE66" i="61"/>
  <c r="BA66" s="1"/>
  <c r="AE52"/>
  <c r="BA52" s="1"/>
  <c r="AI59" i="26"/>
  <c r="O64"/>
  <c r="AL63" i="61" l="1"/>
  <c r="C55" i="63"/>
  <c r="J31"/>
  <c r="E9"/>
  <c r="G26"/>
  <c r="G28" s="1"/>
  <c r="AE91" i="62"/>
  <c r="BA70"/>
  <c r="BA70" i="61"/>
  <c r="AE91"/>
  <c r="AL32" i="62"/>
  <c r="AK63"/>
  <c r="AL63" s="1"/>
  <c r="AI366" i="50"/>
  <c r="AM366" s="1"/>
  <c r="AP366" s="1"/>
  <c r="AI64" i="26"/>
  <c r="AN64" s="1"/>
  <c r="AN59"/>
  <c r="L67"/>
  <c r="O67" s="1"/>
  <c r="G38" i="63" l="1"/>
  <c r="D38"/>
  <c r="AA73" i="61"/>
  <c r="AC73"/>
  <c r="AZ73" s="1"/>
  <c r="BA91"/>
  <c r="AC71"/>
  <c r="AZ71" s="1"/>
  <c r="AA71"/>
  <c r="AA70" i="62"/>
  <c r="BA91"/>
  <c r="AA73"/>
  <c r="AC71"/>
  <c r="AZ71" s="1"/>
  <c r="AC73"/>
  <c r="AZ73" s="1"/>
  <c r="AA71"/>
  <c r="AA70" i="61"/>
  <c r="L73" i="26"/>
  <c r="O73" s="1"/>
  <c r="AI73" s="1"/>
  <c r="AN73" s="1"/>
  <c r="AI67"/>
  <c r="AN67" s="1"/>
  <c r="O68"/>
  <c r="L82"/>
  <c r="O82" s="1"/>
  <c r="AI82" s="1"/>
  <c r="AN82" s="1"/>
  <c r="D42" i="63" l="1"/>
  <c r="D43" s="1"/>
  <c r="D45"/>
  <c r="D48" s="1"/>
  <c r="D49" s="1"/>
  <c r="G45"/>
  <c r="G48" s="1"/>
  <c r="G49" s="1"/>
  <c r="G42"/>
  <c r="G43" s="1"/>
</calcChain>
</file>

<file path=xl/sharedStrings.xml><?xml version="1.0" encoding="utf-8"?>
<sst xmlns="http://schemas.openxmlformats.org/spreadsheetml/2006/main" count="2883" uniqueCount="1007">
  <si>
    <t>Esc. or Sub Fee</t>
  </si>
  <si>
    <t>Business Classification(s)</t>
  </si>
  <si>
    <t>Appraisal Dates</t>
  </si>
  <si>
    <t>End Dates</t>
  </si>
  <si>
    <t>Parent</t>
  </si>
  <si>
    <t>Annual Appraisal Date</t>
  </si>
  <si>
    <t>MCCS</t>
  </si>
  <si>
    <t>SMA</t>
  </si>
  <si>
    <t>MTISC</t>
  </si>
  <si>
    <t>MSEC</t>
  </si>
  <si>
    <t>ATAC</t>
  </si>
  <si>
    <t>IST</t>
  </si>
  <si>
    <t>Start Mo.</t>
  </si>
  <si>
    <t>Start Day</t>
  </si>
  <si>
    <t>End Mo.</t>
  </si>
  <si>
    <t>End Day</t>
  </si>
  <si>
    <t>...of Next Yr</t>
  </si>
  <si>
    <t>Type</t>
  </si>
  <si>
    <t>Yes</t>
  </si>
  <si>
    <t>MidPoint</t>
  </si>
  <si>
    <t>Escalation Rate</t>
  </si>
  <si>
    <t>ManTech Company:</t>
  </si>
  <si>
    <t>(use the drop down box to select)</t>
  </si>
  <si>
    <t>Escalation Type</t>
  </si>
  <si>
    <t>Closing Date of Proposal</t>
  </si>
  <si>
    <t>Esc Period:</t>
  </si>
  <si>
    <t>Next Appraisal Date</t>
  </si>
  <si>
    <t>Period of
Performance</t>
  </si>
  <si>
    <t>MidPoint Esc Mos.</t>
  </si>
  <si>
    <t>Option Year 6</t>
  </si>
  <si>
    <t>Option Year 7</t>
  </si>
  <si>
    <t>Option Year 8</t>
  </si>
  <si>
    <t>Option Year 9</t>
  </si>
  <si>
    <t>Option Year 10</t>
  </si>
  <si>
    <t>Option Year 11</t>
  </si>
  <si>
    <t>Option Year 12</t>
  </si>
  <si>
    <t>Option Year 13</t>
  </si>
  <si>
    <t>Option Year 14</t>
  </si>
  <si>
    <t>All Years</t>
  </si>
  <si>
    <t>Subcontractors</t>
  </si>
  <si>
    <t>Wrap - On</t>
  </si>
  <si>
    <t>Wrap - Off</t>
  </si>
  <si>
    <t>ESD</t>
  </si>
  <si>
    <t>MTSC NT</t>
  </si>
  <si>
    <t>MTSC ET</t>
  </si>
  <si>
    <t>MRSL</t>
  </si>
  <si>
    <t>e-IC</t>
  </si>
  <si>
    <t>MCCSS</t>
  </si>
  <si>
    <t>NEW</t>
  </si>
  <si>
    <t>TBD1</t>
  </si>
  <si>
    <t>TBD2</t>
  </si>
  <si>
    <t>TBD3</t>
  </si>
  <si>
    <t>Burden Code</t>
  </si>
  <si>
    <t>Cost</t>
  </si>
  <si>
    <t>FILTER</t>
  </si>
  <si>
    <t>Profit / Fee</t>
  </si>
  <si>
    <t>X</t>
  </si>
  <si>
    <t>"X"</t>
  </si>
  <si>
    <t>Esc. Rate</t>
  </si>
  <si>
    <t>Sub $ %</t>
  </si>
  <si>
    <t>Total $ %</t>
  </si>
  <si>
    <t>Total Hrs. %</t>
  </si>
  <si>
    <t>N/A</t>
  </si>
  <si>
    <t>Sub Hr %</t>
  </si>
  <si>
    <t>Escalation:</t>
  </si>
  <si>
    <t>TOTAL</t>
  </si>
  <si>
    <t>Profit</t>
  </si>
  <si>
    <t>Profit - ManTech</t>
  </si>
  <si>
    <t>Profit - ODCs</t>
  </si>
  <si>
    <t>Profit - Materials</t>
  </si>
  <si>
    <t>Profit - Subs</t>
  </si>
  <si>
    <t>Subtotal - Profit</t>
  </si>
  <si>
    <t>TOTAL FIRM FIXED PRICE</t>
  </si>
  <si>
    <t>WBS#</t>
  </si>
  <si>
    <t>Labor Categories</t>
  </si>
  <si>
    <t>Name/MT Category</t>
  </si>
  <si>
    <t>Total Hours</t>
  </si>
  <si>
    <t>TOTAL LABOR</t>
  </si>
  <si>
    <t>Other Direct Costs</t>
  </si>
  <si>
    <t>ODC #1</t>
  </si>
  <si>
    <t>ODC #2</t>
  </si>
  <si>
    <t>ODC #3</t>
  </si>
  <si>
    <t>ODC #4</t>
  </si>
  <si>
    <t>ODC #5</t>
  </si>
  <si>
    <t>Total ODC's</t>
  </si>
  <si>
    <t>Material #1</t>
  </si>
  <si>
    <t>Material #2</t>
  </si>
  <si>
    <t>Material #3</t>
  </si>
  <si>
    <t>Material #4</t>
  </si>
  <si>
    <t>Material #5</t>
  </si>
  <si>
    <t>Total Materials</t>
  </si>
  <si>
    <t>Cost Detail</t>
  </si>
  <si>
    <t>IWA 1</t>
  </si>
  <si>
    <t>IWA 2</t>
  </si>
  <si>
    <t>WBS Pricing Detail</t>
  </si>
  <si>
    <t>WBS Input Sheet</t>
  </si>
  <si>
    <t>WBS Ref</t>
  </si>
  <si>
    <t>WBS Description</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</si>
  <si>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</si>
  <si>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</si>
  <si>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</si>
  <si>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</si>
  <si>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</si>
  <si>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</si>
  <si>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</si>
  <si>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</si>
  <si>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</si>
  <si>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</si>
  <si>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</si>
  <si>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</si>
  <si>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</si>
  <si>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</si>
  <si>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</si>
  <si>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</si>
  <si>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</si>
  <si>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</si>
  <si>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</si>
  <si>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</si>
  <si>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</si>
  <si>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</si>
  <si>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</si>
  <si>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</si>
  <si>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</si>
  <si>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</si>
  <si>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</si>
  <si>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</si>
  <si>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</si>
  <si>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</si>
  <si>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WBS #</t>
  </si>
  <si>
    <t>Task Description</t>
  </si>
  <si>
    <t>WBS Description #1</t>
  </si>
  <si>
    <t>WBS Description #2</t>
  </si>
  <si>
    <t>WBS Description #3</t>
  </si>
  <si>
    <t>WBS Description #4</t>
  </si>
  <si>
    <t>WBS Description #5</t>
  </si>
  <si>
    <t>WBS Description #6</t>
  </si>
  <si>
    <t>WBS Description #7</t>
  </si>
  <si>
    <t>WBS Description #8</t>
  </si>
  <si>
    <t>WBS Description #9</t>
  </si>
  <si>
    <t>WBS Description #10</t>
  </si>
  <si>
    <t>WBS Description #11</t>
  </si>
  <si>
    <t>WBS Description #12</t>
  </si>
  <si>
    <t>WBS Description #13</t>
  </si>
  <si>
    <t>WBS Description #14</t>
  </si>
  <si>
    <t>WBS Description #15</t>
  </si>
  <si>
    <t>WBS Description #16</t>
  </si>
  <si>
    <t>WBS Description #17</t>
  </si>
  <si>
    <t>WBS Description #18</t>
  </si>
  <si>
    <t>WBS Description #19</t>
  </si>
  <si>
    <t>WBS Description #20</t>
  </si>
  <si>
    <t>WBS Description #21</t>
  </si>
  <si>
    <t>WBS Description #22</t>
  </si>
  <si>
    <t>WBS Description #23</t>
  </si>
  <si>
    <t>WBS Description #24</t>
  </si>
  <si>
    <t>WBS Description #25</t>
  </si>
  <si>
    <t>WBS Description #26</t>
  </si>
  <si>
    <t>WBS Description #27</t>
  </si>
  <si>
    <t>WBS Description #28</t>
  </si>
  <si>
    <t>WBS Description #29</t>
  </si>
  <si>
    <t>WBS Description #30</t>
  </si>
  <si>
    <t>0131</t>
  </si>
  <si>
    <t>0132</t>
  </si>
  <si>
    <t>0133</t>
  </si>
  <si>
    <t>0134</t>
  </si>
  <si>
    <t>0135</t>
  </si>
  <si>
    <t>0136</t>
  </si>
  <si>
    <t>0137</t>
  </si>
  <si>
    <t>0138</t>
  </si>
  <si>
    <t>0139</t>
  </si>
  <si>
    <t>0140</t>
  </si>
  <si>
    <t>WBS Description #31</t>
  </si>
  <si>
    <t>WBS Description #32</t>
  </si>
  <si>
    <t>WBS Description #33</t>
  </si>
  <si>
    <t>WBS Description #34</t>
  </si>
  <si>
    <t>WBS Description #35</t>
  </si>
  <si>
    <t>WBS Description #36</t>
  </si>
  <si>
    <t>WBS Description #37</t>
  </si>
  <si>
    <t>WBS Description #38</t>
  </si>
  <si>
    <t>WBS Description #39</t>
  </si>
  <si>
    <t>WBS Description #40</t>
  </si>
  <si>
    <t>0141</t>
  </si>
  <si>
    <t>WBS Description #41</t>
  </si>
  <si>
    <t>0142</t>
  </si>
  <si>
    <t>WBS Description #42</t>
  </si>
  <si>
    <t>0143</t>
  </si>
  <si>
    <t>WBS Description #43</t>
  </si>
  <si>
    <t>0144</t>
  </si>
  <si>
    <t>WBS Description #44</t>
  </si>
  <si>
    <t>0145</t>
  </si>
  <si>
    <t>WBS Description #45</t>
  </si>
  <si>
    <t>0146</t>
  </si>
  <si>
    <t>WBS Description #46</t>
  </si>
  <si>
    <t>0147</t>
  </si>
  <si>
    <t>WBS Description #47</t>
  </si>
  <si>
    <t>0148</t>
  </si>
  <si>
    <t>WBS Description #48</t>
  </si>
  <si>
    <t>0149</t>
  </si>
  <si>
    <t>WBS Description #49</t>
  </si>
  <si>
    <t>0150</t>
  </si>
  <si>
    <t>WBS Description #50</t>
  </si>
  <si>
    <t>0151</t>
  </si>
  <si>
    <t>WBS Description #51</t>
  </si>
  <si>
    <t>0152</t>
  </si>
  <si>
    <t>WBS Description #52</t>
  </si>
  <si>
    <t>0153</t>
  </si>
  <si>
    <t>WBS Description #53</t>
  </si>
  <si>
    <t>0154</t>
  </si>
  <si>
    <t>WBS Description #54</t>
  </si>
  <si>
    <t>0155</t>
  </si>
  <si>
    <t>WBS Description #55</t>
  </si>
  <si>
    <t>0156</t>
  </si>
  <si>
    <t>WBS Description #56</t>
  </si>
  <si>
    <t>0157</t>
  </si>
  <si>
    <t>WBS Description #57</t>
  </si>
  <si>
    <t>0158</t>
  </si>
  <si>
    <t>WBS Description #58</t>
  </si>
  <si>
    <t>0159</t>
  </si>
  <si>
    <t>WBS Description #59</t>
  </si>
  <si>
    <t>0160</t>
  </si>
  <si>
    <t>WBS Description #60</t>
  </si>
  <si>
    <t>0161</t>
  </si>
  <si>
    <t>WBS Description #61</t>
  </si>
  <si>
    <t>0162</t>
  </si>
  <si>
    <t>WBS Description #62</t>
  </si>
  <si>
    <t>0163</t>
  </si>
  <si>
    <t>WBS Description #63</t>
  </si>
  <si>
    <t>0164</t>
  </si>
  <si>
    <t>WBS Description #64</t>
  </si>
  <si>
    <t>0165</t>
  </si>
  <si>
    <t>WBS Description #65</t>
  </si>
  <si>
    <t>0166</t>
  </si>
  <si>
    <t>WBS Description #66</t>
  </si>
  <si>
    <t>0167</t>
  </si>
  <si>
    <t>WBS Description #67</t>
  </si>
  <si>
    <t>0168</t>
  </si>
  <si>
    <t>WBS Description #68</t>
  </si>
  <si>
    <t>0169</t>
  </si>
  <si>
    <t>WBS Description #69</t>
  </si>
  <si>
    <t>0170</t>
  </si>
  <si>
    <t>WBS Description #70</t>
  </si>
  <si>
    <t>0171</t>
  </si>
  <si>
    <t>WBS Description #71</t>
  </si>
  <si>
    <t>0172</t>
  </si>
  <si>
    <t>WBS Description #72</t>
  </si>
  <si>
    <t>0173</t>
  </si>
  <si>
    <t>WBS Description #73</t>
  </si>
  <si>
    <t>0174</t>
  </si>
  <si>
    <t>WBS Description #74</t>
  </si>
  <si>
    <t>0175</t>
  </si>
  <si>
    <t>WBS Description #75</t>
  </si>
  <si>
    <t>0176</t>
  </si>
  <si>
    <t>WBS Description #76</t>
  </si>
  <si>
    <t>0177</t>
  </si>
  <si>
    <t>WBS Description #77</t>
  </si>
  <si>
    <t>0178</t>
  </si>
  <si>
    <t>WBS Description #78</t>
  </si>
  <si>
    <t>0179</t>
  </si>
  <si>
    <t>WBS Description #79</t>
  </si>
  <si>
    <t>0180</t>
  </si>
  <si>
    <t>WBS Description #80</t>
  </si>
  <si>
    <t>0181</t>
  </si>
  <si>
    <t>WBS Description #81</t>
  </si>
  <si>
    <t>0182</t>
  </si>
  <si>
    <t>WBS Description #82</t>
  </si>
  <si>
    <t>0183</t>
  </si>
  <si>
    <t>WBS Description #83</t>
  </si>
  <si>
    <t>0184</t>
  </si>
  <si>
    <t>WBS Description #84</t>
  </si>
  <si>
    <t>0185</t>
  </si>
  <si>
    <t>WBS Description #85</t>
  </si>
  <si>
    <t>0186</t>
  </si>
  <si>
    <t>WBS Description #86</t>
  </si>
  <si>
    <t>0187</t>
  </si>
  <si>
    <t>WBS Description #87</t>
  </si>
  <si>
    <t>0188</t>
  </si>
  <si>
    <t>WBS Description #88</t>
  </si>
  <si>
    <t>0189</t>
  </si>
  <si>
    <t>WBS Description #89</t>
  </si>
  <si>
    <t>0190</t>
  </si>
  <si>
    <t>WBS Description #90</t>
  </si>
  <si>
    <t>0191</t>
  </si>
  <si>
    <t>WBS Description #91</t>
  </si>
  <si>
    <t>0192</t>
  </si>
  <si>
    <t>WBS Description #92</t>
  </si>
  <si>
    <t>0193</t>
  </si>
  <si>
    <t>WBS Description #93</t>
  </si>
  <si>
    <t>0194</t>
  </si>
  <si>
    <t>WBS Description #94</t>
  </si>
  <si>
    <t>0195</t>
  </si>
  <si>
    <t>WBS Description #95</t>
  </si>
  <si>
    <t>0196</t>
  </si>
  <si>
    <t>WBS Description #96</t>
  </si>
  <si>
    <t>0197</t>
  </si>
  <si>
    <t>WBS Description #97</t>
  </si>
  <si>
    <t>0198</t>
  </si>
  <si>
    <t>WBS Description #98</t>
  </si>
  <si>
    <t>0199</t>
  </si>
  <si>
    <t>WBS Description #99</t>
  </si>
  <si>
    <t>0200</t>
  </si>
  <si>
    <t>WBS Description #100</t>
  </si>
  <si>
    <t>0201</t>
  </si>
  <si>
    <t>WBS Description #101</t>
  </si>
  <si>
    <t>0202</t>
  </si>
  <si>
    <t>WBS Description #102</t>
  </si>
  <si>
    <t>0203</t>
  </si>
  <si>
    <t>WBS Description #103</t>
  </si>
  <si>
    <t>0204</t>
  </si>
  <si>
    <t>WBS Description #104</t>
  </si>
  <si>
    <t>0205</t>
  </si>
  <si>
    <t>WBS Description #105</t>
  </si>
  <si>
    <t>0206</t>
  </si>
  <si>
    <t>WBS Description #106</t>
  </si>
  <si>
    <t>0207</t>
  </si>
  <si>
    <t>WBS Description #107</t>
  </si>
  <si>
    <t>0208</t>
  </si>
  <si>
    <t>WBS Description #108</t>
  </si>
  <si>
    <t>0209</t>
  </si>
  <si>
    <t>WBS Description #109</t>
  </si>
  <si>
    <t>0210</t>
  </si>
  <si>
    <t>WBS Description #110</t>
  </si>
  <si>
    <t>0211</t>
  </si>
  <si>
    <t>WBS Description #111</t>
  </si>
  <si>
    <t>0212</t>
  </si>
  <si>
    <t>WBS Description #112</t>
  </si>
  <si>
    <t>0213</t>
  </si>
  <si>
    <t>WBS Description #113</t>
  </si>
  <si>
    <t>0214</t>
  </si>
  <si>
    <t>WBS Description #114</t>
  </si>
  <si>
    <t>0215</t>
  </si>
  <si>
    <t>WBS Description #115</t>
  </si>
  <si>
    <t>0216</t>
  </si>
  <si>
    <t>WBS Description #116</t>
  </si>
  <si>
    <t>0217</t>
  </si>
  <si>
    <t>WBS Description #117</t>
  </si>
  <si>
    <t>0218</t>
  </si>
  <si>
    <t>WBS Description #118</t>
  </si>
  <si>
    <t>0219</t>
  </si>
  <si>
    <t>WBS Description #119</t>
  </si>
  <si>
    <t>0220</t>
  </si>
  <si>
    <t>WBS Description #120</t>
  </si>
  <si>
    <t>0221</t>
  </si>
  <si>
    <t>WBS Description #121</t>
  </si>
  <si>
    <t>0222</t>
  </si>
  <si>
    <t>WBS Description #122</t>
  </si>
  <si>
    <t>0223</t>
  </si>
  <si>
    <t>WBS Description #123</t>
  </si>
  <si>
    <t>0224</t>
  </si>
  <si>
    <t>WBS Description #124</t>
  </si>
  <si>
    <t>0225</t>
  </si>
  <si>
    <t>WBS Description #125</t>
  </si>
  <si>
    <t>0226</t>
  </si>
  <si>
    <t>WBS Description #126</t>
  </si>
  <si>
    <t>0227</t>
  </si>
  <si>
    <t>WBS Description #127</t>
  </si>
  <si>
    <t>0228</t>
  </si>
  <si>
    <t>WBS Description #128</t>
  </si>
  <si>
    <t>0229</t>
  </si>
  <si>
    <t>WBS Description #129</t>
  </si>
  <si>
    <t>0230</t>
  </si>
  <si>
    <t>WBS Description #130</t>
  </si>
  <si>
    <t>0231</t>
  </si>
  <si>
    <t>WBS Description #131</t>
  </si>
  <si>
    <t>0232</t>
  </si>
  <si>
    <t>WBS Description #132</t>
  </si>
  <si>
    <t>0233</t>
  </si>
  <si>
    <t>WBS Description #133</t>
  </si>
  <si>
    <t>0234</t>
  </si>
  <si>
    <t>WBS Description #134</t>
  </si>
  <si>
    <t>0235</t>
  </si>
  <si>
    <t>WBS Description #135</t>
  </si>
  <si>
    <t>0236</t>
  </si>
  <si>
    <t>WBS Description #136</t>
  </si>
  <si>
    <t>0237</t>
  </si>
  <si>
    <t>WBS Description #137</t>
  </si>
  <si>
    <t>0238</t>
  </si>
  <si>
    <t>WBS Description #138</t>
  </si>
  <si>
    <t>0239</t>
  </si>
  <si>
    <t>WBS Description #139</t>
  </si>
  <si>
    <t>0240</t>
  </si>
  <si>
    <t>WBS Description #140</t>
  </si>
  <si>
    <t>0241</t>
  </si>
  <si>
    <t>WBS Description #141</t>
  </si>
  <si>
    <t>0242</t>
  </si>
  <si>
    <t>WBS Description #142</t>
  </si>
  <si>
    <t>0243</t>
  </si>
  <si>
    <t>WBS Description #143</t>
  </si>
  <si>
    <t>0244</t>
  </si>
  <si>
    <t>WBS Description #144</t>
  </si>
  <si>
    <t>0245</t>
  </si>
  <si>
    <t>WBS Description #145</t>
  </si>
  <si>
    <t>0246</t>
  </si>
  <si>
    <t>WBS Description #146</t>
  </si>
  <si>
    <t>0247</t>
  </si>
  <si>
    <t>WBS Description #147</t>
  </si>
  <si>
    <t>0248</t>
  </si>
  <si>
    <t>WBS Description #148</t>
  </si>
  <si>
    <t>0249</t>
  </si>
  <si>
    <t>WBS Description #149</t>
  </si>
  <si>
    <t>0250</t>
  </si>
  <si>
    <t>WBS Description #150</t>
  </si>
  <si>
    <t>0251</t>
  </si>
  <si>
    <t>WBS Description #151</t>
  </si>
  <si>
    <t>0252</t>
  </si>
  <si>
    <t>WBS Description #152</t>
  </si>
  <si>
    <t>0253</t>
  </si>
  <si>
    <t>WBS Description #153</t>
  </si>
  <si>
    <t>0254</t>
  </si>
  <si>
    <t>WBS Description #154</t>
  </si>
  <si>
    <t>0255</t>
  </si>
  <si>
    <t>WBS Description #155</t>
  </si>
  <si>
    <t>0256</t>
  </si>
  <si>
    <t>WBS Description #156</t>
  </si>
  <si>
    <t>0257</t>
  </si>
  <si>
    <t>WBS Description #157</t>
  </si>
  <si>
    <t>0258</t>
  </si>
  <si>
    <t>WBS Description #158</t>
  </si>
  <si>
    <t>0259</t>
  </si>
  <si>
    <t>WBS Description #159</t>
  </si>
  <si>
    <t>0260</t>
  </si>
  <si>
    <t>WBS Description #160</t>
  </si>
  <si>
    <t>0261</t>
  </si>
  <si>
    <t>WBS Description #161</t>
  </si>
  <si>
    <t>0262</t>
  </si>
  <si>
    <t>WBS Description #162</t>
  </si>
  <si>
    <t>0263</t>
  </si>
  <si>
    <t>WBS Description #163</t>
  </si>
  <si>
    <t>0264</t>
  </si>
  <si>
    <t>WBS Description #164</t>
  </si>
  <si>
    <t>0265</t>
  </si>
  <si>
    <t>WBS Description #165</t>
  </si>
  <si>
    <t>0266</t>
  </si>
  <si>
    <t>WBS Description #166</t>
  </si>
  <si>
    <t>0267</t>
  </si>
  <si>
    <t>WBS Description #167</t>
  </si>
  <si>
    <t>0268</t>
  </si>
  <si>
    <t>WBS Description #168</t>
  </si>
  <si>
    <t>0269</t>
  </si>
  <si>
    <t>WBS Description #169</t>
  </si>
  <si>
    <t>0270</t>
  </si>
  <si>
    <t>WBS Description #170</t>
  </si>
  <si>
    <t>0271</t>
  </si>
  <si>
    <t>WBS Description #171</t>
  </si>
  <si>
    <t>0272</t>
  </si>
  <si>
    <t>WBS Description #172</t>
  </si>
  <si>
    <t>0273</t>
  </si>
  <si>
    <t>WBS Description #173</t>
  </si>
  <si>
    <t>0274</t>
  </si>
  <si>
    <t>WBS Description #174</t>
  </si>
  <si>
    <t>0275</t>
  </si>
  <si>
    <t>WBS Description #175</t>
  </si>
  <si>
    <t>0276</t>
  </si>
  <si>
    <t>WBS Description #176</t>
  </si>
  <si>
    <t>0277</t>
  </si>
  <si>
    <t>WBS Description #177</t>
  </si>
  <si>
    <t>0278</t>
  </si>
  <si>
    <t>WBS Description #178</t>
  </si>
  <si>
    <t>0279</t>
  </si>
  <si>
    <t>WBS Description #179</t>
  </si>
  <si>
    <t>0280</t>
  </si>
  <si>
    <t>WBS Description #180</t>
  </si>
  <si>
    <t>0281</t>
  </si>
  <si>
    <t>WBS Description #181</t>
  </si>
  <si>
    <t>0282</t>
  </si>
  <si>
    <t>WBS Description #182</t>
  </si>
  <si>
    <t>0283</t>
  </si>
  <si>
    <t>WBS Description #183</t>
  </si>
  <si>
    <t>0284</t>
  </si>
  <si>
    <t>WBS Description #184</t>
  </si>
  <si>
    <t>0285</t>
  </si>
  <si>
    <t>WBS Description #185</t>
  </si>
  <si>
    <t>0286</t>
  </si>
  <si>
    <t>WBS Description #186</t>
  </si>
  <si>
    <t>0287</t>
  </si>
  <si>
    <t>WBS Description #187</t>
  </si>
  <si>
    <t>0288</t>
  </si>
  <si>
    <t>WBS Description #188</t>
  </si>
  <si>
    <t>0289</t>
  </si>
  <si>
    <t>WBS Description #189</t>
  </si>
  <si>
    <t>0290</t>
  </si>
  <si>
    <t>WBS Description #190</t>
  </si>
  <si>
    <t>0291</t>
  </si>
  <si>
    <t>WBS Description #191</t>
  </si>
  <si>
    <t>0292</t>
  </si>
  <si>
    <t>WBS Description #192</t>
  </si>
  <si>
    <t>0293</t>
  </si>
  <si>
    <t>WBS Description #193</t>
  </si>
  <si>
    <t>0294</t>
  </si>
  <si>
    <t>WBS Description #194</t>
  </si>
  <si>
    <t>0295</t>
  </si>
  <si>
    <t>WBS Description #195</t>
  </si>
  <si>
    <t>0296</t>
  </si>
  <si>
    <t>WBS Description #196</t>
  </si>
  <si>
    <t>0297</t>
  </si>
  <si>
    <t>WBS Description #197</t>
  </si>
  <si>
    <t>e-IC MGS</t>
  </si>
  <si>
    <t>CFIAG</t>
  </si>
  <si>
    <t>MASI</t>
  </si>
  <si>
    <t>MASI Special</t>
  </si>
  <si>
    <t>GRS</t>
  </si>
  <si>
    <t>0298</t>
  </si>
  <si>
    <t>WBS Description #198</t>
  </si>
  <si>
    <t>0299</t>
  </si>
  <si>
    <t>WBS Description #199</t>
  </si>
  <si>
    <t>0300</t>
  </si>
  <si>
    <t>WBS Description #200</t>
  </si>
  <si>
    <t>0301</t>
  </si>
  <si>
    <t>WBS Description #201</t>
  </si>
  <si>
    <t>0302</t>
  </si>
  <si>
    <t>WBS Description #202</t>
  </si>
  <si>
    <t>0303</t>
  </si>
  <si>
    <t>WBS Description #203</t>
  </si>
  <si>
    <t>0304</t>
  </si>
  <si>
    <t>WBS Description #204</t>
  </si>
  <si>
    <t>0305</t>
  </si>
  <si>
    <t>WBS Description #205</t>
  </si>
  <si>
    <t>0306</t>
  </si>
  <si>
    <t>WBS Description #206</t>
  </si>
  <si>
    <t>0307</t>
  </si>
  <si>
    <t>WBS Description #207</t>
  </si>
  <si>
    <t>0308</t>
  </si>
  <si>
    <t>WBS Description #208</t>
  </si>
  <si>
    <t>0309</t>
  </si>
  <si>
    <t>WBS Description #209</t>
  </si>
  <si>
    <t>0310</t>
  </si>
  <si>
    <t>WBS Description #210</t>
  </si>
  <si>
    <t>0311</t>
  </si>
  <si>
    <t>WBS Description #211</t>
  </si>
  <si>
    <t>0312</t>
  </si>
  <si>
    <t>WBS Description #212</t>
  </si>
  <si>
    <t>0313</t>
  </si>
  <si>
    <t>WBS Description #213</t>
  </si>
  <si>
    <t>0314</t>
  </si>
  <si>
    <t>WBS Description #214</t>
  </si>
  <si>
    <t>0315</t>
  </si>
  <si>
    <t>WBS Description #215</t>
  </si>
  <si>
    <t>0316</t>
  </si>
  <si>
    <t>WBS Description #216</t>
  </si>
  <si>
    <t>0317</t>
  </si>
  <si>
    <t>WBS Description #217</t>
  </si>
  <si>
    <t>0318</t>
  </si>
  <si>
    <t>WBS Description #218</t>
  </si>
  <si>
    <t>0319</t>
  </si>
  <si>
    <t>WBS Description #219</t>
  </si>
  <si>
    <t>0320</t>
  </si>
  <si>
    <t>WBS Description #220</t>
  </si>
  <si>
    <t>0321</t>
  </si>
  <si>
    <t>WBS Description #221</t>
  </si>
  <si>
    <t>0322</t>
  </si>
  <si>
    <t>WBS Description #222</t>
  </si>
  <si>
    <t>0323</t>
  </si>
  <si>
    <t>WBS Description #223</t>
  </si>
  <si>
    <t>0324</t>
  </si>
  <si>
    <t>WBS Description #224</t>
  </si>
  <si>
    <t>0325</t>
  </si>
  <si>
    <t>WBS Description #225</t>
  </si>
  <si>
    <t>0326</t>
  </si>
  <si>
    <t>WBS Description #226</t>
  </si>
  <si>
    <t>0327</t>
  </si>
  <si>
    <t>WBS Description #227</t>
  </si>
  <si>
    <t>0328</t>
  </si>
  <si>
    <t>WBS Description #228</t>
  </si>
  <si>
    <t>0329</t>
  </si>
  <si>
    <t>WBS Description #229</t>
  </si>
  <si>
    <t>0330</t>
  </si>
  <si>
    <t>WBS Description #230</t>
  </si>
  <si>
    <t>0331</t>
  </si>
  <si>
    <t>WBS Description #231</t>
  </si>
  <si>
    <t>0332</t>
  </si>
  <si>
    <t>WBS Description #232</t>
  </si>
  <si>
    <t>0333</t>
  </si>
  <si>
    <t>WBS Description #233</t>
  </si>
  <si>
    <t>0334</t>
  </si>
  <si>
    <t>WBS Description #234</t>
  </si>
  <si>
    <t>0335</t>
  </si>
  <si>
    <t>WBS Description #235</t>
  </si>
  <si>
    <t>0336</t>
  </si>
  <si>
    <t>WBS Description #236</t>
  </si>
  <si>
    <t>0337</t>
  </si>
  <si>
    <t>WBS Description #237</t>
  </si>
  <si>
    <t>0338</t>
  </si>
  <si>
    <t>WBS Description #238</t>
  </si>
  <si>
    <t>0339</t>
  </si>
  <si>
    <t>WBS Description #239</t>
  </si>
  <si>
    <t>0340</t>
  </si>
  <si>
    <t>WBS Description #240</t>
  </si>
  <si>
    <t>Period:</t>
  </si>
  <si>
    <t>Input Information</t>
  </si>
  <si>
    <t>Start</t>
  </si>
  <si>
    <t>End</t>
  </si>
  <si>
    <t>n/a</t>
  </si>
  <si>
    <t>Indirect</t>
  </si>
  <si>
    <t>Description</t>
  </si>
  <si>
    <t>Rate Schd</t>
  </si>
  <si>
    <t>Cost Ctr</t>
  </si>
  <si>
    <t>Overhead - Offsite</t>
  </si>
  <si>
    <t>Overhead - Onsite</t>
  </si>
  <si>
    <t>Material Handling</t>
  </si>
  <si>
    <t>G&amp;A</t>
  </si>
  <si>
    <t>B</t>
  </si>
  <si>
    <t>C</t>
  </si>
  <si>
    <t>Standard</t>
  </si>
  <si>
    <t>A</t>
  </si>
  <si>
    <t>Hours</t>
  </si>
  <si>
    <t>Sub 4</t>
  </si>
  <si>
    <t>Sub 5</t>
  </si>
  <si>
    <t>Sub 6</t>
  </si>
  <si>
    <t>Sub 7</t>
  </si>
  <si>
    <t>Sub 8</t>
  </si>
  <si>
    <t>RFP Category</t>
  </si>
  <si>
    <t>Rate</t>
  </si>
  <si>
    <t>PL:</t>
  </si>
  <si>
    <t>Offeror:</t>
  </si>
  <si>
    <t>Title:</t>
  </si>
  <si>
    <t>Report:</t>
  </si>
  <si>
    <t>Cost Ctr:</t>
  </si>
  <si>
    <t>Composite</t>
  </si>
  <si>
    <t>Materials</t>
  </si>
  <si>
    <t>ODCs</t>
  </si>
  <si>
    <t>D</t>
  </si>
  <si>
    <t>Fully Burdened Rate Detail</t>
  </si>
  <si>
    <t>Esc. Factor</t>
  </si>
  <si>
    <t>PRB</t>
  </si>
  <si>
    <t>Contr</t>
  </si>
  <si>
    <t>Govt</t>
  </si>
  <si>
    <t>Contr - IWA</t>
  </si>
  <si>
    <t>Govt - IWA</t>
  </si>
  <si>
    <t>MH</t>
  </si>
  <si>
    <t>Location</t>
  </si>
  <si>
    <t>Site</t>
  </si>
  <si>
    <t>Abbreviations</t>
  </si>
  <si>
    <t>Site/Code</t>
  </si>
  <si>
    <t>LOOKUP TABLE - DO NOT DELETE</t>
  </si>
  <si>
    <t>Labor Category</t>
  </si>
  <si>
    <t>Company</t>
  </si>
  <si>
    <t>Name/Code</t>
  </si>
  <si>
    <t>Base Rate</t>
  </si>
  <si>
    <t>Esc Rate</t>
  </si>
  <si>
    <t>Overhead</t>
  </si>
  <si>
    <t>Amount</t>
  </si>
  <si>
    <t>Contr/Govt</t>
  </si>
  <si>
    <t>Labor</t>
  </si>
  <si>
    <t>Total</t>
  </si>
  <si>
    <t>Delta</t>
  </si>
  <si>
    <t>ManTech</t>
  </si>
  <si>
    <t>HIDE</t>
  </si>
  <si>
    <t>E</t>
  </si>
  <si>
    <t>Hours/Qty</t>
  </si>
  <si>
    <t>Labor Total:</t>
  </si>
  <si>
    <t>Materials/ODCs Total:</t>
  </si>
  <si>
    <t>Grand Total:</t>
  </si>
  <si>
    <t>Total:</t>
  </si>
  <si>
    <t>Contr Site Wrap:</t>
  </si>
  <si>
    <t>Govt Site Wrap:</t>
  </si>
  <si>
    <t>Sub/Mat'l Wrap:</t>
  </si>
  <si>
    <t>Esc Factor</t>
  </si>
  <si>
    <t>Base</t>
  </si>
  <si>
    <t>TOTAL COST</t>
  </si>
  <si>
    <t>Abbr.</t>
  </si>
  <si>
    <t>Payroll Burden (PRB)</t>
  </si>
  <si>
    <t>Overhead (OH)</t>
  </si>
  <si>
    <t>Subcontractors (Sub)</t>
  </si>
  <si>
    <t>Subtotal - G&amp;A</t>
  </si>
  <si>
    <t>Subtotal - MH</t>
  </si>
  <si>
    <t>Subtotal - ODCs</t>
  </si>
  <si>
    <t>Subtotal - PRB</t>
  </si>
  <si>
    <t>Base Year</t>
  </si>
  <si>
    <t>RFP:</t>
  </si>
  <si>
    <t>Contr WD</t>
  </si>
  <si>
    <t>Govt WD</t>
  </si>
  <si>
    <t>Govt WD - OT</t>
  </si>
  <si>
    <t>Contr WD - OT</t>
  </si>
  <si>
    <t>Misc</t>
  </si>
  <si>
    <t>ODC 2</t>
  </si>
  <si>
    <t>DO NOT DELETE ABBREVIATIONS</t>
  </si>
  <si>
    <t>Sub 9</t>
  </si>
  <si>
    <t>Sub 10</t>
  </si>
  <si>
    <t>Sub 11</t>
  </si>
  <si>
    <t>Sub 12</t>
  </si>
  <si>
    <t>Sub 13</t>
  </si>
  <si>
    <t>Sub 14</t>
  </si>
  <si>
    <t>Sub 15</t>
  </si>
  <si>
    <t>Sub 16</t>
  </si>
  <si>
    <t>Sub 17</t>
  </si>
  <si>
    <t>Sub 18</t>
  </si>
  <si>
    <t>Govt_Sub</t>
  </si>
  <si>
    <t>Contr_Sub</t>
  </si>
  <si>
    <t>Category</t>
  </si>
  <si>
    <t>KEY</t>
  </si>
  <si>
    <t>Period</t>
  </si>
  <si>
    <t>Labor - Contractor Site</t>
  </si>
  <si>
    <t>Labor - Government Site</t>
  </si>
  <si>
    <t>Subtotal Labor</t>
  </si>
  <si>
    <t>Subtotal - OH</t>
  </si>
  <si>
    <t>Subtotal - Labor + PRB + OH</t>
  </si>
  <si>
    <t>Other Direct Cost (ODC)</t>
  </si>
  <si>
    <t>Materials (Mat'l)</t>
  </si>
  <si>
    <t>Mat'l 2</t>
  </si>
  <si>
    <t>Mat'l 3</t>
  </si>
  <si>
    <t>Subtotal - Mat'ls</t>
  </si>
  <si>
    <t>Subtotal - Subs</t>
  </si>
  <si>
    <t>Material Handling (MH) - Mat'ls</t>
  </si>
  <si>
    <t>Material Handling (MH) - Subs</t>
  </si>
  <si>
    <t>G&amp;A - ManTech Labor</t>
  </si>
  <si>
    <t>G&amp;A - Subs</t>
  </si>
  <si>
    <t>Fee - ManTech</t>
  </si>
  <si>
    <t>Fee - Subs</t>
  </si>
  <si>
    <t>TOTAL COST PLUS FIXED FEE</t>
  </si>
  <si>
    <t>WD</t>
  </si>
  <si>
    <t>OT</t>
  </si>
  <si>
    <t xml:space="preserve">Overtime Premium </t>
  </si>
  <si>
    <t>Contractor Site</t>
  </si>
  <si>
    <t xml:space="preserve">Period </t>
  </si>
  <si>
    <t>Government Site</t>
  </si>
  <si>
    <t>Option Year 1</t>
  </si>
  <si>
    <t>Option Year 2</t>
  </si>
  <si>
    <t>Govt - OT</t>
  </si>
  <si>
    <t>Contr - OT</t>
  </si>
  <si>
    <t>Annual Esc. / Fee</t>
  </si>
  <si>
    <t>Travel</t>
  </si>
  <si>
    <t>Composite Indirect Rates</t>
  </si>
  <si>
    <t>Fixed Fee</t>
  </si>
  <si>
    <t>Subtotal - Fixed Fee</t>
  </si>
  <si>
    <t>Key</t>
  </si>
  <si>
    <t>Sub_Code</t>
  </si>
  <si>
    <t>Esc. % -</t>
  </si>
  <si>
    <t>Option Year 5</t>
  </si>
  <si>
    <t>G&amp;A - ODCs</t>
  </si>
  <si>
    <t>G&amp;A - Materials</t>
  </si>
  <si>
    <t>Fee - ODCs</t>
  </si>
  <si>
    <t>Fee - Materials</t>
  </si>
  <si>
    <t>MST</t>
  </si>
  <si>
    <t>ManTech Security &amp; Mission Assurance Corporation</t>
  </si>
  <si>
    <t>ManTech Information Systems &amp; Technology Corporation</t>
  </si>
  <si>
    <t>ManTech Command Control Systems Corporation</t>
  </si>
  <si>
    <t>ManTech Telecommunications and Information Systems Corporation</t>
  </si>
  <si>
    <t>ManTech Security Technologies Corporation</t>
  </si>
  <si>
    <t>ManTech Systems Engineering Corporation</t>
  </si>
  <si>
    <t>Materials / Other Direct Costs</t>
  </si>
  <si>
    <t>GSA Cost/Price Analysis</t>
  </si>
  <si>
    <t>Summary of All Years</t>
  </si>
  <si>
    <t>GSA Category</t>
  </si>
  <si>
    <t>Total Price</t>
  </si>
  <si>
    <t>Total Cost</t>
  </si>
  <si>
    <t>Profit $</t>
  </si>
  <si>
    <t>Profit %</t>
  </si>
  <si>
    <t>GSA 
Schedule Rate</t>
  </si>
  <si>
    <t>Discount %</t>
  </si>
  <si>
    <t>Discount Rate</t>
  </si>
  <si>
    <t>Cost (including IFF%)</t>
  </si>
  <si>
    <t>Profit Amount</t>
  </si>
  <si>
    <t>Effective Profit %</t>
  </si>
  <si>
    <t>Grand Total</t>
  </si>
  <si>
    <t>GSA Category 1</t>
  </si>
  <si>
    <t>GSA Category 2</t>
  </si>
  <si>
    <t>GSA Category 3</t>
  </si>
  <si>
    <t>GSA Category 4</t>
  </si>
  <si>
    <t>GSA Category 5</t>
  </si>
  <si>
    <t>GSA Category 6</t>
  </si>
  <si>
    <t>GSA Category 7</t>
  </si>
  <si>
    <t>GSA Category 8</t>
  </si>
  <si>
    <t>GSA Category 9</t>
  </si>
  <si>
    <t>GSA Category 10</t>
  </si>
  <si>
    <t>GSA Category 11</t>
  </si>
  <si>
    <t>GSA Category 12</t>
  </si>
  <si>
    <t>GSA Category 13</t>
  </si>
  <si>
    <t>GSA Category 14</t>
  </si>
  <si>
    <t>GSA Category 15</t>
  </si>
  <si>
    <t>GSA Category 16</t>
  </si>
  <si>
    <t>GSA Category 17</t>
  </si>
  <si>
    <t>GSA Category 18</t>
  </si>
  <si>
    <t>GSA Category 19</t>
  </si>
  <si>
    <t>GSA Category 20</t>
  </si>
  <si>
    <t>ODC's</t>
  </si>
  <si>
    <t>GSA Pricing Summary</t>
  </si>
  <si>
    <t>F</t>
  </si>
  <si>
    <t>G</t>
  </si>
  <si>
    <t>(B+C+D+E)</t>
  </si>
  <si>
    <t>FILTER (TOTALS)</t>
  </si>
  <si>
    <t>FILTER (RATES)</t>
  </si>
  <si>
    <t>LABOR - All Personnel</t>
  </si>
  <si>
    <t>Note: "Find / Replace" T&amp;M1 references with T&amp;M2, once additional years' T&amp;M sheets have been created.</t>
  </si>
  <si>
    <t>Note: "Find / Replace" T&amp;M1 references with T&amp;M3, once additional years' T&amp;M sheets have been created.</t>
  </si>
  <si>
    <t>Note: "Find / Replace" T&amp;M1 references with T&amp;M4, once additional years' T&amp;M sheets have been created.</t>
  </si>
  <si>
    <t>Note: "Find / Replace" T&amp;M1 references with T&amp;M5, once additional years' T&amp;M sheets have been created.</t>
  </si>
  <si>
    <t>Contr - IWA2</t>
  </si>
  <si>
    <t>Govt - IWA2</t>
  </si>
  <si>
    <t>SRS</t>
  </si>
  <si>
    <t>ManTech SRS Corporation</t>
  </si>
  <si>
    <t>Sub 19</t>
  </si>
  <si>
    <t>Sub 20</t>
  </si>
  <si>
    <t>SYMM</t>
  </si>
  <si>
    <t>MASI P/T</t>
  </si>
  <si>
    <t>Cost Center</t>
  </si>
  <si>
    <t>See Below</t>
  </si>
  <si>
    <t>Number of Months</t>
  </si>
  <si>
    <t>ADV PRGMS</t>
  </si>
  <si>
    <t>IST (MMBI)</t>
  </si>
  <si>
    <t>ManTech MBI</t>
  </si>
  <si>
    <t>ManTech Advanced Systems International, Inc.</t>
  </si>
  <si>
    <t>MSTC</t>
  </si>
  <si>
    <t>ManTech Security Technology Corporation</t>
  </si>
  <si>
    <t>Same as IST</t>
  </si>
  <si>
    <t>ManTech GRS Solutions, Inc.</t>
  </si>
  <si>
    <t>MISSION SUPPT Tier II</t>
  </si>
  <si>
    <t>MISSION SUPPT Tier I</t>
  </si>
  <si>
    <t>SMA MAIN</t>
  </si>
  <si>
    <t>SMA MAIN PT</t>
  </si>
  <si>
    <t>SMA MAIN Special</t>
  </si>
  <si>
    <t>CFIAG P/T</t>
  </si>
  <si>
    <t>Remote</t>
  </si>
  <si>
    <t>COMM</t>
  </si>
  <si>
    <t>ESD 2</t>
  </si>
  <si>
    <t>SSD</t>
  </si>
  <si>
    <t>SERV</t>
  </si>
  <si>
    <t>Tech System OFF</t>
  </si>
  <si>
    <t>Tech</t>
  </si>
  <si>
    <t>?</t>
  </si>
  <si>
    <t>RFP No.:</t>
  </si>
  <si>
    <t>Prime:</t>
  </si>
  <si>
    <t>Company:</t>
  </si>
  <si>
    <t>+/- off DL</t>
  </si>
  <si>
    <t>Loaded Rate Range</t>
  </si>
  <si>
    <t>Sub 
Rates w/o Fee</t>
  </si>
  <si>
    <t>DL Estimate</t>
  </si>
  <si>
    <t>Compensation Range</t>
  </si>
  <si>
    <t>Within 
Range</t>
  </si>
  <si>
    <t>Minimum</t>
  </si>
  <si>
    <t>Maximum</t>
  </si>
  <si>
    <t>Explanation for Exceptions</t>
  </si>
  <si>
    <t>Subcontractor Price Analysis and Justification</t>
  </si>
  <si>
    <t>Instructions:</t>
  </si>
  <si>
    <t>1.</t>
  </si>
  <si>
    <t>2.</t>
  </si>
  <si>
    <t>Insert rows for additional categories as needed</t>
  </si>
  <si>
    <t>3.</t>
  </si>
  <si>
    <t>4.</t>
  </si>
  <si>
    <t>5.</t>
  </si>
  <si>
    <t>6.</t>
  </si>
  <si>
    <t>Provide justification for all subs whose rates you intend to use that state "no" in "Within Range"</t>
  </si>
  <si>
    <t>Change "+/- off DL" perentage if necessary</t>
  </si>
  <si>
    <t>Change "Loaded Rate Range" wrap factor options if necessary</t>
  </si>
  <si>
    <r>
      <t xml:space="preserve">Insert data in </t>
    </r>
    <r>
      <rPr>
        <b/>
        <sz val="10"/>
        <color indexed="42"/>
        <rFont val="Arial"/>
        <family val="2"/>
      </rPr>
      <t>GREEN</t>
    </r>
    <r>
      <rPr>
        <sz val="10"/>
        <rFont val="Arial"/>
        <family val="2"/>
      </rPr>
      <t xml:space="preserve"> cells only.</t>
    </r>
  </si>
  <si>
    <t>7.</t>
  </si>
  <si>
    <t>Once the first one is set copy it out for as many subs as you have and change the reference point in cell "D6" and the tab name to reflect the sub name</t>
  </si>
  <si>
    <t>Change the tab name ("Sub-1") to reflect the sub name</t>
  </si>
  <si>
    <t>IS</t>
  </si>
  <si>
    <t>INTL</t>
  </si>
  <si>
    <t>MGCS</t>
  </si>
  <si>
    <t>ManTech Global Services Corporation</t>
  </si>
  <si>
    <t>CLIN 1-1-1</t>
  </si>
  <si>
    <t>CLIN 1-1-2</t>
  </si>
  <si>
    <t>CLIN 1-1-3</t>
  </si>
  <si>
    <t xml:space="preserve">Lodging, Meals &amp; Incidental Pre-Deployment Course Costs </t>
  </si>
  <si>
    <t>Euro</t>
  </si>
  <si>
    <t>Conversion Rate</t>
  </si>
  <si>
    <t>RFP #:</t>
  </si>
  <si>
    <t>IFIB-NCSA-NCHQ-09-07</t>
  </si>
  <si>
    <t>CIS Support Services in Afghanistan (ISAF)</t>
  </si>
  <si>
    <t>NATO/NAMSA</t>
  </si>
  <si>
    <t># of</t>
  </si>
  <si>
    <t xml:space="preserve"># of </t>
  </si>
  <si>
    <t>Local</t>
  </si>
  <si>
    <t>Air Fare</t>
  </si>
  <si>
    <t>Per Diem</t>
  </si>
  <si>
    <t>Day of Ret</t>
  </si>
  <si>
    <t>Car Rental</t>
  </si>
  <si>
    <t>Mileage</t>
  </si>
  <si>
    <t>Trip #</t>
  </si>
  <si>
    <t>Departure</t>
  </si>
  <si>
    <t>Destination</t>
  </si>
  <si>
    <t>Persons</t>
  </si>
  <si>
    <t>Trips</t>
  </si>
  <si>
    <t>Nights</t>
  </si>
  <si>
    <t>Cars</t>
  </si>
  <si>
    <t>Calculated Amount</t>
  </si>
  <si>
    <t>Legend:</t>
  </si>
  <si>
    <t>Travel Costs are calculated by summing the following cost elements:</t>
  </si>
  <si>
    <t>Air Fare Rate x # of Persons x # of Trips</t>
  </si>
  <si>
    <t>Per Diem Rate x # of Persons x # of Trips x # of Nights</t>
  </si>
  <si>
    <t>Per Diem Day of Return Rate x # of Persons x # of Trips</t>
  </si>
  <si>
    <t>Car Rental Rate x # of Cars x # of Trips x (# of Nights + Day of Return)</t>
  </si>
  <si>
    <t>Local Mileage x Mileage Rate x # of Persons x # of Trips</t>
  </si>
  <si>
    <t>Miscellaneous Rate x # of Persons x # of Trips x # of Days</t>
  </si>
  <si>
    <t>Source Information:</t>
  </si>
  <si>
    <t>Air Fare Rates supplied by: Ex. Expedia.com, Travelocity.com, Coletravel.com, etc.  All rates must be supplied by quotes filed with proposal back-up.</t>
  </si>
  <si>
    <t>Car Rental Rates supplied by: Ex. Expedia.com, Travelocity.com, Coletravel.com, etc.  All rates must be supplied by quotes filed with proposal back-up.</t>
  </si>
  <si>
    <t>*</t>
  </si>
  <si>
    <r>
      <t xml:space="preserve">Per Diem information may be found at the following location:  </t>
    </r>
    <r>
      <rPr>
        <u/>
        <sz val="12"/>
        <color indexed="48"/>
        <rFont val="Times New Roman"/>
        <family val="1"/>
      </rPr>
      <t>http://www.dtic.mil/perdiem/perdiemrates.html</t>
    </r>
  </si>
  <si>
    <r>
      <t xml:space="preserve">Current mileage rate for (car) $______ and for (airplane) $______ This may be found at the following location:  </t>
    </r>
    <r>
      <rPr>
        <u/>
        <sz val="12"/>
        <color indexed="48"/>
        <rFont val="Times New Roman"/>
        <family val="1"/>
      </rPr>
      <t>http://www.dtic.mil/perdiem/perdiemrates.html</t>
    </r>
  </si>
  <si>
    <t xml:space="preserve">Miscellaneous Rate: $10 is the recommended rate for Domestic and $25 for International.  </t>
  </si>
  <si>
    <t>Denver, CO</t>
  </si>
  <si>
    <t>Washington, DC</t>
  </si>
  <si>
    <t>Mons, Belgium</t>
  </si>
  <si>
    <t>Hour Days</t>
  </si>
  <si>
    <t>Days</t>
  </si>
  <si>
    <t>Hazard</t>
  </si>
  <si>
    <t>Hardship</t>
  </si>
  <si>
    <t>High</t>
  </si>
  <si>
    <t>Low</t>
  </si>
  <si>
    <t>Bonus</t>
  </si>
  <si>
    <t>Hourly Rate with only Hazard and Hardship</t>
  </si>
  <si>
    <t>Hourly Rates with Hazard, Harship and $10k Bonus</t>
  </si>
  <si>
    <t>Total Compensation</t>
  </si>
  <si>
    <t>Briggs and Sons</t>
  </si>
  <si>
    <t>Segovia, Inc.</t>
  </si>
  <si>
    <t>Sub Rates</t>
  </si>
  <si>
    <t>Year 1</t>
  </si>
  <si>
    <t>Daily Rate</t>
  </si>
  <si>
    <t>Hourly Rate</t>
  </si>
  <si>
    <t>Year 2</t>
  </si>
  <si>
    <t>Year 3</t>
  </si>
  <si>
    <t>Harship</t>
  </si>
  <si>
    <t>Tactical Vest Level lllA with 10” X 12” F&amp;B</t>
  </si>
  <si>
    <t>Concealable Vest Level lllA Color Navy Blue</t>
  </si>
  <si>
    <t>Delta Force Helmet Level lllA</t>
  </si>
  <si>
    <t>ManTech employee in-processing (Denver to DC)</t>
  </si>
  <si>
    <t>SHAPE In Processing (DC to Belgium)</t>
  </si>
  <si>
    <t>Pre-Deployment Training (Belgium to CZ)</t>
  </si>
  <si>
    <t>ManTech employee out-processing (Belgium to Denver)</t>
  </si>
  <si>
    <t>Completion Bonus</t>
  </si>
  <si>
    <t>Hours per day</t>
  </si>
  <si>
    <t>ACT-JALLC-09-10</t>
  </si>
  <si>
    <t>JALLC</t>
  </si>
  <si>
    <t>P-12346</t>
  </si>
  <si>
    <t>Pricing Summary</t>
  </si>
  <si>
    <t>Profit on Mantech Labor</t>
  </si>
  <si>
    <t>Profit on Sub Labor</t>
  </si>
  <si>
    <t>Avg. Rate</t>
  </si>
  <si>
    <t>Delta %</t>
  </si>
  <si>
    <t>Assumptions:</t>
  </si>
  <si>
    <t>ManTech labor includes:</t>
  </si>
  <si>
    <t>Profit on ODCs</t>
  </si>
  <si>
    <t>Estimated Contract Ceiling</t>
  </si>
  <si>
    <t>2) $5,000 annual completion bonus applied to all ManTech labor</t>
  </si>
  <si>
    <t>1) 35% hardship and 35% hazard pay applied to all ManTech labor</t>
  </si>
  <si>
    <t>3) War Risk Insurance and DBA Insurance has been applied to all ManTech labor</t>
  </si>
  <si>
    <t>4) All NATO payments will be received in US Dollars and all labor and ODCs will be paid in US Dollars</t>
  </si>
  <si>
    <t>Subtotal Subcontractor Labor (Dollars)</t>
  </si>
  <si>
    <t>Subtotal ManTech Labor (Dollars)</t>
  </si>
  <si>
    <t>IN AND /OR OUT PROCESSING (15 CONSULTANTS - MAXIMUM 6 DAYS AT 8 HOURS PER DAY_ AT NCSA HW SHAPE B-7010 BELGIUM</t>
  </si>
  <si>
    <t>PRE-DEPLOYMENT TRAINING (15 CONSULTANTS 0 MAXIMUM 2 WEEKS AT A NATO STATIC HQ OR ANOTHER LOCATION (OUTSIDE OF THE THEATRE)</t>
  </si>
  <si>
    <t>OPTION PROTECTIVE GEAR</t>
  </si>
  <si>
    <t>Subtotal</t>
  </si>
  <si>
    <t>Total Firm Fixed Price Base Contract</t>
  </si>
  <si>
    <t>IN AND /OR OUT PROCESSING (15 CONSULTANTS - MAXIMUM 6 DAYS AT 8 HOURS PER DAY_ AT NCSA HW SHAPE B-7010 BELGIUM)</t>
  </si>
  <si>
    <t>One Set Protective Gear (Optional)</t>
  </si>
  <si>
    <t>Unit Price</t>
  </si>
  <si>
    <t>Quantity</t>
  </si>
  <si>
    <t>Avg. Daily Rate</t>
  </si>
  <si>
    <t>War Risk Ins.</t>
  </si>
  <si>
    <t>DBA Ins.</t>
  </si>
  <si>
    <t>NCSA HQ 7010</t>
  </si>
  <si>
    <t>CIS Consultant Services</t>
  </si>
  <si>
    <t>P-12246</t>
  </si>
  <si>
    <t>Profit/Fee</t>
  </si>
  <si>
    <t>Current Proposal (including processing and deployment training)</t>
  </si>
  <si>
    <t>Assumed Annual Travel</t>
  </si>
  <si>
    <t>Comp. Bonus</t>
  </si>
  <si>
    <t>Pricing Notes:</t>
  </si>
  <si>
    <t>6) ManTech will supply all NATO required body armor (provided as optional pricing)</t>
  </si>
  <si>
    <t>Does the total price in Enclosure I Part I include the training and processing?</t>
  </si>
  <si>
    <t>Any extra steipened for training In Europe?</t>
  </si>
  <si>
    <t>Are the 150 days (10 days per person) included in the total 290 days for Year 1?</t>
  </si>
  <si>
    <t>Are the 90 days (6 days per person) for processing included in the total 290 days for Year 1 or the 170 days for Year 3?</t>
  </si>
  <si>
    <t>Are our consultants considered subcontractors under NATO termonology and therefore have to submit the administrative requirements in a proposal to us?</t>
  </si>
  <si>
    <t>Who is filling out the Key Personnel List and which volume?</t>
  </si>
  <si>
    <t>What travel is paid and what travel is NATO paid?</t>
  </si>
  <si>
    <t>8) Subcontractor daily rate is inclusive of their travel in and out of Belgium</t>
  </si>
  <si>
    <t>5) Staffing finders fee cost accounted for in Overhead indirect rates</t>
  </si>
  <si>
    <t>7) ManTech will pay for ManTech employee travel in and out of Belgium processing center and NATO will be responsible for all travel cost beyond Belgium, to include training accomodations and meals</t>
  </si>
  <si>
    <t>Who pays for meals?</t>
  </si>
  <si>
    <t>3) Daily rates for processing and pre-deployment training remain valid for the length of the contract and have to remain valid for any TBD location</t>
  </si>
  <si>
    <t>2) The bidding currency is optional and ManTech will be bidding in US Dollars and paying all consultants in US Dollars</t>
  </si>
  <si>
    <t>questions for jcccc</t>
  </si>
  <si>
    <t xml:space="preserve">LAN/Wan Engineer </t>
  </si>
  <si>
    <t>Functional Services Administrator</t>
  </si>
  <si>
    <t>Service Desk</t>
  </si>
  <si>
    <t>Network Administrator</t>
  </si>
  <si>
    <t>System Administrator</t>
  </si>
  <si>
    <t>Configuration Manager</t>
  </si>
  <si>
    <t>Hardware Technician</t>
  </si>
  <si>
    <t>Repair/Exchange Specialist</t>
  </si>
  <si>
    <t>Salary Base Pay</t>
  </si>
  <si>
    <t>Premium Based Pay</t>
  </si>
  <si>
    <t>Compensation Summary</t>
  </si>
  <si>
    <t>Annual Comp. Bonus</t>
  </si>
  <si>
    <t>Total - Turnover</t>
  </si>
  <si>
    <t>Training and Processing</t>
  </si>
  <si>
    <t>Estimated Price to Win</t>
  </si>
  <si>
    <t>Potential Total Travel</t>
  </si>
  <si>
    <t>Current Proposal</t>
  </si>
  <si>
    <t>1) NATO has indicated that there is a guaranteed minimum 50% of the proposed Year 1 level of effort and the potential for a maximum of 200% of the Year 1 level of effort.</t>
  </si>
  <si>
    <t>Total Amount</t>
  </si>
  <si>
    <t>Finders Fee</t>
  </si>
  <si>
    <t>Hourly Rate/Daily Rate</t>
  </si>
  <si>
    <t>PMO Cost</t>
  </si>
  <si>
    <t>Project Controller Cost</t>
  </si>
  <si>
    <t>Yvan</t>
  </si>
  <si>
    <t>Martin,Lindy E</t>
  </si>
  <si>
    <t>Shipping</t>
  </si>
  <si>
    <t>Brian Check</t>
  </si>
  <si>
    <t>Invoice Date</t>
  </si>
  <si>
    <t>Invoice Amount</t>
  </si>
  <si>
    <t>Payment Date</t>
  </si>
  <si>
    <t>Period 1</t>
  </si>
  <si>
    <t>Period 2</t>
  </si>
  <si>
    <t>Period 3</t>
  </si>
</sst>
</file>

<file path=xl/styles.xml><?xml version="1.0" encoding="utf-8"?>
<styleSheet xmlns="http://schemas.openxmlformats.org/spreadsheetml/2006/main">
  <numFmts count="2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0%"/>
    <numFmt numFmtId="166" formatCode="0.00000"/>
    <numFmt numFmtId="169" formatCode="_(&quot;$&quot;* #,##0_);_(&quot;$&quot;* \(#,##0\);_(&quot;$&quot;* &quot;-&quot;??_);_(@_)"/>
    <numFmt numFmtId="171" formatCode="_(* #,##0.0000_);_(* \(#,##0.0000\);_(* &quot;-&quot;??_);_(@_)"/>
    <numFmt numFmtId="173" formatCode="_(* #,##0_);_(* \(#,##0\);_(* &quot;-&quot;??_);_(@_)"/>
    <numFmt numFmtId="176" formatCode="0.0000"/>
    <numFmt numFmtId="181" formatCode="m/d/yyyy;@"/>
    <numFmt numFmtId="185" formatCode="&quot;$&quot;#,##0"/>
    <numFmt numFmtId="193" formatCode="m/d/yy;@"/>
    <numFmt numFmtId="195" formatCode="0.0"/>
    <numFmt numFmtId="202" formatCode="_(&quot;$&quot;* #,##0.00_);_(&quot;$&quot;* \(#,##0.00\);_(&quot;$&quot;* &quot;-&quot;_);_(@_)"/>
    <numFmt numFmtId="205" formatCode="_(* #,##0.00000_);_(* \(#,##0.00000\);_(* &quot;-&quot;??_);_(@_)"/>
    <numFmt numFmtId="223" formatCode="_([$€-2]\ * #,##0.00_);_([$€-2]\ * \(#,##0.00\);_([$€-2]\ * &quot;-&quot;??_);_(@_)"/>
    <numFmt numFmtId="224" formatCode="_(&quot;$&quot;* #,##0.000_);_(&quot;$&quot;* \(#,##0.000\);_(&quot;$&quot;* &quot;-&quot;_);_(@_)"/>
    <numFmt numFmtId="226" formatCode="_([$€-2]* #,##0.00_);_([$€-2]* \(#,##0.00\);_([$€-2]* &quot;-&quot;??_)"/>
  </numFmts>
  <fonts count="88">
    <font>
      <sz val="10"/>
      <name val="Arial"/>
    </font>
    <font>
      <sz val="10"/>
      <name val="Arial"/>
    </font>
    <font>
      <u/>
      <sz val="6"/>
      <color indexed="12"/>
      <name val="Arial"/>
      <family val="2"/>
    </font>
    <font>
      <sz val="10"/>
      <name val="MS Sans Serif"/>
      <family val="2"/>
    </font>
    <font>
      <b/>
      <sz val="10"/>
      <name val="MS Sans Serif"/>
      <family val="2"/>
    </font>
    <font>
      <sz val="10"/>
      <name val="Arial"/>
      <family val="2"/>
    </font>
    <font>
      <b/>
      <sz val="10"/>
      <name val="Arial"/>
      <family val="2"/>
    </font>
    <font>
      <sz val="10"/>
      <color indexed="8"/>
      <name val="Arial"/>
      <family val="2"/>
    </font>
    <font>
      <u/>
      <sz val="10"/>
      <name val="Arial"/>
      <family val="2"/>
    </font>
    <font>
      <u/>
      <sz val="10"/>
      <name val="Arial"/>
      <family val="2"/>
    </font>
    <font>
      <b/>
      <u/>
      <sz val="10"/>
      <name val="Arial"/>
      <family val="2"/>
    </font>
    <font>
      <b/>
      <sz val="10"/>
      <color indexed="10"/>
      <name val="Arial"/>
      <family val="2"/>
    </font>
    <font>
      <sz val="8"/>
      <color indexed="81"/>
      <name val="Tahoma"/>
      <family val="2"/>
    </font>
    <font>
      <b/>
      <sz val="14"/>
      <color indexed="81"/>
      <name val="Tahoma"/>
      <family val="2"/>
    </font>
    <font>
      <sz val="8"/>
      <name val="Arial"/>
      <family val="2"/>
    </font>
    <font>
      <sz val="9"/>
      <name val="Arial"/>
      <family val="2"/>
    </font>
    <font>
      <sz val="10"/>
      <color indexed="22"/>
      <name val="Arial"/>
      <family val="2"/>
    </font>
    <font>
      <u/>
      <sz val="10"/>
      <color indexed="8"/>
      <name val="Arial"/>
      <family val="2"/>
    </font>
    <font>
      <sz val="12"/>
      <color indexed="8"/>
      <name val="Arial"/>
      <family val="2"/>
    </font>
    <font>
      <sz val="10"/>
      <color indexed="9"/>
      <name val="Arial"/>
      <family val="2"/>
    </font>
    <font>
      <b/>
      <u/>
      <sz val="11"/>
      <name val="Arial"/>
      <family val="2"/>
    </font>
    <font>
      <b/>
      <sz val="11"/>
      <name val="Arial"/>
      <family val="2"/>
    </font>
    <font>
      <sz val="10"/>
      <color indexed="8"/>
      <name val="Arial"/>
      <family val="2"/>
    </font>
    <font>
      <sz val="8"/>
      <name val="Arial"/>
      <family val="2"/>
    </font>
    <font>
      <b/>
      <i/>
      <sz val="10"/>
      <name val="Arial"/>
      <family val="2"/>
    </font>
    <font>
      <sz val="10"/>
      <color indexed="55"/>
      <name val="Arial"/>
      <family val="2"/>
    </font>
    <font>
      <b/>
      <sz val="8"/>
      <name val="Arial"/>
      <family val="2"/>
    </font>
    <font>
      <sz val="3"/>
      <color indexed="9"/>
      <name val="Arial"/>
      <family val="2"/>
    </font>
    <font>
      <b/>
      <sz val="3"/>
      <color indexed="9"/>
      <name val="Arial"/>
      <family val="2"/>
    </font>
    <font>
      <b/>
      <sz val="10"/>
      <color indexed="9"/>
      <name val="Arial"/>
      <family val="2"/>
    </font>
    <font>
      <b/>
      <sz val="10"/>
      <color indexed="13"/>
      <name val="Arial"/>
      <family val="2"/>
    </font>
    <font>
      <sz val="4"/>
      <name val="Arial"/>
      <family val="2"/>
    </font>
    <font>
      <b/>
      <sz val="10"/>
      <color indexed="22"/>
      <name val="Arial"/>
      <family val="2"/>
    </font>
    <font>
      <sz val="3"/>
      <name val="Arial"/>
      <family val="2"/>
    </font>
    <font>
      <sz val="10"/>
      <name val="Arial"/>
      <family val="2"/>
    </font>
    <font>
      <sz val="10"/>
      <color indexed="22"/>
      <name val="Arial"/>
      <family val="2"/>
    </font>
    <font>
      <sz val="9"/>
      <name val="Arial"/>
      <family val="2"/>
    </font>
    <font>
      <b/>
      <sz val="9"/>
      <name val="Arial"/>
      <family val="2"/>
    </font>
    <font>
      <sz val="10"/>
      <color indexed="9"/>
      <name val="Arial"/>
      <family val="2"/>
    </font>
    <font>
      <sz val="4"/>
      <color indexed="9"/>
      <name val="Arial"/>
      <family val="2"/>
    </font>
    <font>
      <sz val="4"/>
      <name val="Arial"/>
      <family val="2"/>
    </font>
    <font>
      <b/>
      <sz val="10"/>
      <name val="Arial"/>
      <family val="2"/>
    </font>
    <font>
      <sz val="10"/>
      <color indexed="42"/>
      <name val="Arial"/>
      <family val="2"/>
    </font>
    <font>
      <sz val="4"/>
      <color indexed="9"/>
      <name val="Arial"/>
      <family val="2"/>
    </font>
    <font>
      <b/>
      <u/>
      <sz val="12"/>
      <color indexed="48"/>
      <name val="Arial"/>
      <family val="2"/>
    </font>
    <font>
      <b/>
      <u/>
      <sz val="11"/>
      <color indexed="48"/>
      <name val="Arial"/>
      <family val="2"/>
    </font>
    <font>
      <b/>
      <sz val="11"/>
      <color indexed="48"/>
      <name val="Arial"/>
      <family val="2"/>
    </font>
    <font>
      <b/>
      <sz val="12"/>
      <color indexed="48"/>
      <name val="Arial"/>
      <family val="2"/>
    </font>
    <font>
      <sz val="10"/>
      <color indexed="55"/>
      <name val="Arial"/>
      <family val="2"/>
    </font>
    <font>
      <sz val="6"/>
      <color indexed="9"/>
      <name val="Arial"/>
      <family val="2"/>
    </font>
    <font>
      <b/>
      <sz val="12"/>
      <color indexed="9"/>
      <name val="Arial"/>
      <family val="2"/>
    </font>
    <font>
      <b/>
      <u/>
      <sz val="10"/>
      <color indexed="9"/>
      <name val="Arial"/>
      <family val="2"/>
    </font>
    <font>
      <b/>
      <sz val="10"/>
      <color indexed="9"/>
      <name val="Arial"/>
      <family val="2"/>
    </font>
    <font>
      <b/>
      <u/>
      <sz val="12"/>
      <name val="Arial"/>
      <family val="2"/>
    </font>
    <font>
      <sz val="11"/>
      <name val="Arial"/>
      <family val="2"/>
    </font>
    <font>
      <sz val="10"/>
      <name val="Arial"/>
      <family val="2"/>
    </font>
    <font>
      <b/>
      <sz val="10"/>
      <color indexed="10"/>
      <name val="Arial"/>
      <family val="2"/>
    </font>
    <font>
      <sz val="6"/>
      <name val="Arial"/>
      <family val="2"/>
    </font>
    <font>
      <b/>
      <u/>
      <sz val="6"/>
      <name val="Arial"/>
      <family val="2"/>
    </font>
    <font>
      <u/>
      <sz val="10"/>
      <color indexed="8"/>
      <name val="Arial"/>
      <family val="2"/>
    </font>
    <font>
      <sz val="10"/>
      <name val="Arial"/>
      <family val="2"/>
    </font>
    <font>
      <b/>
      <sz val="10"/>
      <color indexed="22"/>
      <name val="Arial"/>
      <family val="2"/>
    </font>
    <font>
      <b/>
      <u/>
      <sz val="10"/>
      <name val="Arial"/>
      <family val="2"/>
    </font>
    <font>
      <sz val="10"/>
      <name val="Arial"/>
      <family val="2"/>
    </font>
    <font>
      <b/>
      <sz val="10"/>
      <color indexed="8"/>
      <name val="Arial"/>
      <family val="2"/>
    </font>
    <font>
      <sz val="10"/>
      <color indexed="10"/>
      <name val="Arial"/>
      <family val="2"/>
    </font>
    <font>
      <sz val="9"/>
      <color indexed="8"/>
      <name val="Arial"/>
      <family val="2"/>
    </font>
    <font>
      <sz val="9"/>
      <color indexed="9"/>
      <name val="Arial"/>
      <family val="2"/>
    </font>
    <font>
      <sz val="12"/>
      <name val="Arial"/>
      <family val="2"/>
    </font>
    <font>
      <b/>
      <sz val="14"/>
      <name val="Arial"/>
      <family val="2"/>
    </font>
    <font>
      <b/>
      <i/>
      <sz val="14"/>
      <color indexed="10"/>
      <name val="Arial"/>
      <family val="2"/>
    </font>
    <font>
      <b/>
      <sz val="14"/>
      <color indexed="10"/>
      <name val="Arial"/>
      <family val="2"/>
    </font>
    <font>
      <b/>
      <sz val="10"/>
      <color indexed="42"/>
      <name val="Arial"/>
      <family val="2"/>
    </font>
    <font>
      <sz val="12"/>
      <name val="Arial MT"/>
    </font>
    <font>
      <sz val="12"/>
      <color indexed="8"/>
      <name val="Times New Roman"/>
      <family val="1"/>
    </font>
    <font>
      <sz val="12"/>
      <name val="Times New Roman"/>
      <family val="1"/>
    </font>
    <font>
      <sz val="12"/>
      <name val="Arial"/>
      <family val="2"/>
    </font>
    <font>
      <b/>
      <u/>
      <sz val="12"/>
      <name val="Times New Roman"/>
      <family val="1"/>
    </font>
    <font>
      <b/>
      <sz val="12"/>
      <name val="Times New Roman"/>
      <family val="1"/>
    </font>
    <font>
      <u/>
      <sz val="12"/>
      <name val="Times New Roman"/>
      <family val="1"/>
    </font>
    <font>
      <b/>
      <sz val="12"/>
      <color indexed="10"/>
      <name val="Times New Roman"/>
      <family val="1"/>
    </font>
    <font>
      <u/>
      <sz val="12"/>
      <color indexed="48"/>
      <name val="Times New Roman"/>
      <family val="1"/>
    </font>
    <font>
      <sz val="10"/>
      <name val="Arial"/>
      <family val="2"/>
    </font>
    <font>
      <sz val="8"/>
      <name val="LinePrinter"/>
    </font>
    <font>
      <sz val="9.5"/>
      <color rgb="FF666666"/>
      <name val="Arial"/>
      <family val="2"/>
    </font>
    <font>
      <sz val="10"/>
      <color theme="0"/>
      <name val="Arial"/>
      <family val="2"/>
    </font>
    <font>
      <u/>
      <sz val="10"/>
      <color theme="0"/>
      <name val="Arial"/>
      <family val="2"/>
    </font>
    <font>
      <b/>
      <sz val="10"/>
      <color rgb="FF000080"/>
      <name val="Arial"/>
      <family val="2"/>
    </font>
  </fonts>
  <fills count="20">
    <fill>
      <patternFill patternType="none"/>
    </fill>
    <fill>
      <patternFill patternType="gray125"/>
    </fill>
    <fill>
      <patternFill patternType="solid">
        <fgColor indexed="42"/>
        <bgColor indexed="64"/>
      </patternFill>
    </fill>
    <fill>
      <patternFill patternType="solid">
        <fgColor indexed="23"/>
        <bgColor indexed="64"/>
      </patternFill>
    </fill>
    <fill>
      <patternFill patternType="solid">
        <fgColor indexed="13"/>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12"/>
        <bgColor indexed="64"/>
      </patternFill>
    </fill>
    <fill>
      <patternFill patternType="solid">
        <fgColor indexed="10"/>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2" tint="-9.9978637043366805E-2"/>
        <bgColor indexed="64"/>
      </patternFill>
    </fill>
  </fills>
  <borders count="14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17">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82" fillId="0" borderId="0" applyFont="0" applyFill="0" applyBorder="0" applyAlignment="0" applyProtection="0"/>
    <xf numFmtId="226" fontId="82" fillId="0" borderId="0" applyFont="0" applyFill="0" applyBorder="0" applyAlignment="0" applyProtection="0"/>
    <xf numFmtId="0" fontId="2" fillId="0" borderId="0" applyNumberFormat="0" applyFill="0" applyBorder="0" applyAlignment="0" applyProtection="0">
      <alignment vertical="top"/>
      <protection locked="0"/>
    </xf>
    <xf numFmtId="0" fontId="73" fillId="0" borderId="0"/>
    <xf numFmtId="0" fontId="5" fillId="0" borderId="0"/>
    <xf numFmtId="9" fontId="1" fillId="0" borderId="0" applyFont="0" applyFill="0" applyBorder="0" applyAlignment="0" applyProtection="0"/>
    <xf numFmtId="9" fontId="5" fillId="0" borderId="0" applyFont="0" applyFill="0" applyBorder="0" applyAlignment="0" applyProtection="0"/>
    <xf numFmtId="9" fontId="82" fillId="0" borderId="0" applyFont="0" applyFill="0" applyBorder="0" applyAlignment="0" applyProtection="0"/>
    <xf numFmtId="0" fontId="3" fillId="0" borderId="0" applyNumberFormat="0" applyFont="0" applyFill="0" applyBorder="0" applyAlignment="0" applyProtection="0">
      <alignment horizontal="left"/>
    </xf>
    <xf numFmtId="15" fontId="3" fillId="0" borderId="0" applyFont="0" applyFill="0" applyBorder="0" applyAlignment="0" applyProtection="0"/>
    <xf numFmtId="4" fontId="3" fillId="0" borderId="0" applyFont="0" applyFill="0" applyBorder="0" applyAlignment="0" applyProtection="0"/>
    <xf numFmtId="0" fontId="4" fillId="0" borderId="1">
      <alignment horizontal="center"/>
    </xf>
  </cellStyleXfs>
  <cellXfs count="1221">
    <xf numFmtId="0" fontId="0" fillId="0" borderId="0" xfId="0"/>
    <xf numFmtId="0" fontId="1" fillId="2" borderId="0" xfId="0" applyFont="1" applyFill="1" applyAlignment="1">
      <alignment horizontal="left"/>
    </xf>
    <xf numFmtId="0" fontId="0" fillId="2" borderId="0" xfId="0" applyFill="1"/>
    <xf numFmtId="0" fontId="1" fillId="0" borderId="0" xfId="0" applyFont="1" applyFill="1"/>
    <xf numFmtId="0" fontId="0" fillId="0" borderId="0" xfId="0" applyFill="1"/>
    <xf numFmtId="0" fontId="1" fillId="2" borderId="0" xfId="0" applyFont="1" applyFill="1"/>
    <xf numFmtId="0" fontId="5" fillId="0" borderId="0" xfId="0" applyFont="1" applyFill="1"/>
    <xf numFmtId="0" fontId="5" fillId="0" borderId="0" xfId="0" applyFont="1"/>
    <xf numFmtId="0" fontId="5" fillId="0" borderId="0" xfId="0" applyFont="1" applyFill="1" applyBorder="1"/>
    <xf numFmtId="164" fontId="5" fillId="0" borderId="0" xfId="10" applyNumberFormat="1" applyFont="1" applyFill="1" applyBorder="1"/>
    <xf numFmtId="0" fontId="5" fillId="0" borderId="0" xfId="0" applyFont="1" applyFill="1" applyBorder="1" applyAlignment="1">
      <alignment horizontal="center"/>
    </xf>
    <xf numFmtId="0" fontId="5" fillId="0" borderId="0" xfId="0" applyFont="1" applyFill="1" applyAlignment="1">
      <alignment horizontal="right"/>
    </xf>
    <xf numFmtId="0" fontId="0" fillId="0" borderId="0" xfId="0" applyAlignment="1">
      <alignment horizontal="center"/>
    </xf>
    <xf numFmtId="0" fontId="5" fillId="0" borderId="2" xfId="0" applyFont="1" applyFill="1" applyBorder="1"/>
    <xf numFmtId="0" fontId="0" fillId="0" borderId="0" xfId="0" applyAlignment="1">
      <alignment horizontal="right"/>
    </xf>
    <xf numFmtId="0" fontId="6" fillId="0" borderId="0" xfId="0" applyFont="1" applyAlignment="1">
      <alignment horizontal="right"/>
    </xf>
    <xf numFmtId="0" fontId="0" fillId="0" borderId="3" xfId="0" applyFill="1"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5" fillId="0" borderId="0" xfId="0" applyFont="1" applyFill="1" applyAlignment="1">
      <alignment horizontal="left"/>
    </xf>
    <xf numFmtId="10" fontId="5" fillId="0" borderId="0" xfId="10" applyNumberFormat="1" applyFont="1" applyFill="1"/>
    <xf numFmtId="165" fontId="1" fillId="0" borderId="0" xfId="10" applyNumberFormat="1" applyFill="1"/>
    <xf numFmtId="165" fontId="1" fillId="0" borderId="0" xfId="10" applyNumberFormat="1"/>
    <xf numFmtId="0" fontId="9" fillId="0" borderId="0" xfId="0" applyFont="1"/>
    <xf numFmtId="0" fontId="1" fillId="0" borderId="0" xfId="0" applyFont="1" applyFill="1" applyBorder="1"/>
    <xf numFmtId="44" fontId="1" fillId="0" borderId="0" xfId="3" applyFont="1" applyFill="1" applyBorder="1"/>
    <xf numFmtId="0" fontId="6" fillId="0" borderId="0" xfId="0" applyFont="1"/>
    <xf numFmtId="0" fontId="5" fillId="0" borderId="0" xfId="0" applyFont="1" applyFill="1" applyBorder="1" applyAlignment="1">
      <alignment horizontal="left"/>
    </xf>
    <xf numFmtId="0" fontId="0" fillId="0" borderId="0" xfId="0" applyFill="1" applyBorder="1"/>
    <xf numFmtId="10" fontId="1" fillId="0" borderId="0" xfId="10" applyNumberFormat="1" applyFill="1" applyBorder="1"/>
    <xf numFmtId="44" fontId="1" fillId="0" borderId="0" xfId="3" applyFill="1" applyBorder="1"/>
    <xf numFmtId="0" fontId="0" fillId="3" borderId="5" xfId="0" applyFill="1" applyBorder="1"/>
    <xf numFmtId="0" fontId="0" fillId="3" borderId="6" xfId="0" applyFill="1" applyBorder="1"/>
    <xf numFmtId="0" fontId="0" fillId="3" borderId="7" xfId="0" applyFill="1" applyBorder="1"/>
    <xf numFmtId="0" fontId="8" fillId="0" borderId="0" xfId="0" applyFont="1" applyFill="1" applyBorder="1" applyAlignment="1">
      <alignment horizontal="center"/>
    </xf>
    <xf numFmtId="0" fontId="8" fillId="0" borderId="0" xfId="0" applyFont="1" applyFill="1" applyBorder="1"/>
    <xf numFmtId="44" fontId="1" fillId="0" borderId="0" xfId="3"/>
    <xf numFmtId="0" fontId="9" fillId="0" borderId="0" xfId="0" applyFont="1" applyFill="1" applyBorder="1"/>
    <xf numFmtId="43" fontId="5" fillId="0" borderId="2" xfId="10" applyNumberFormat="1" applyFont="1" applyFill="1" applyBorder="1"/>
    <xf numFmtId="0" fontId="9" fillId="0" borderId="0" xfId="0" applyFont="1" applyFill="1" applyBorder="1" applyAlignment="1">
      <alignment horizontal="center"/>
    </xf>
    <xf numFmtId="0" fontId="6" fillId="4" borderId="2" xfId="0" applyFont="1" applyFill="1" applyBorder="1" applyAlignment="1">
      <alignment horizontal="center"/>
    </xf>
    <xf numFmtId="0" fontId="8" fillId="3" borderId="0" xfId="0" applyFont="1" applyFill="1"/>
    <xf numFmtId="0" fontId="16" fillId="0" borderId="0" xfId="0" applyFont="1" applyFill="1"/>
    <xf numFmtId="44" fontId="22" fillId="5" borderId="2" xfId="3" applyNumberFormat="1" applyFont="1" applyFill="1" applyBorder="1"/>
    <xf numFmtId="0" fontId="7" fillId="0" borderId="0" xfId="0" applyFont="1" applyFill="1"/>
    <xf numFmtId="0" fontId="18" fillId="0" borderId="0" xfId="0" applyFont="1" applyFill="1"/>
    <xf numFmtId="0" fontId="16" fillId="0" borderId="0" xfId="0" applyFont="1"/>
    <xf numFmtId="0" fontId="6" fillId="0" borderId="0" xfId="0" applyFont="1" applyFill="1" applyBorder="1" applyAlignment="1">
      <alignment horizontal="center"/>
    </xf>
    <xf numFmtId="0" fontId="6" fillId="0" borderId="0" xfId="0" applyFont="1" applyFill="1" applyBorder="1" applyAlignment="1">
      <alignment horizontal="right"/>
    </xf>
    <xf numFmtId="44" fontId="0" fillId="0" borderId="0" xfId="0" applyNumberFormat="1" applyFill="1" applyBorder="1"/>
    <xf numFmtId="0" fontId="0" fillId="0" borderId="0" xfId="0" applyFill="1" applyAlignment="1">
      <alignment horizontal="center"/>
    </xf>
    <xf numFmtId="0" fontId="0" fillId="0" borderId="0" xfId="0" applyFill="1" applyBorder="1" applyAlignment="1"/>
    <xf numFmtId="0" fontId="16" fillId="3" borderId="0" xfId="0" applyFont="1" applyFill="1" applyBorder="1" applyAlignment="1"/>
    <xf numFmtId="0" fontId="0" fillId="0" borderId="0" xfId="0" applyFill="1" applyAlignment="1"/>
    <xf numFmtId="0" fontId="17" fillId="0" borderId="0" xfId="0" applyFont="1" applyFill="1" applyAlignment="1"/>
    <xf numFmtId="0" fontId="7" fillId="0" borderId="0" xfId="0" applyFont="1" applyFill="1" applyAlignment="1"/>
    <xf numFmtId="0" fontId="6" fillId="2" borderId="2" xfId="0" applyFont="1" applyFill="1" applyBorder="1" applyAlignment="1">
      <alignment horizontal="center"/>
    </xf>
    <xf numFmtId="44" fontId="5" fillId="0" borderId="0" xfId="3" applyFont="1" applyFill="1" applyBorder="1"/>
    <xf numFmtId="10" fontId="5" fillId="0" borderId="0" xfId="10" applyNumberFormat="1" applyFont="1" applyFill="1" applyBorder="1"/>
    <xf numFmtId="165" fontId="1" fillId="0" borderId="0" xfId="10" applyNumberFormat="1" applyFill="1" applyBorder="1"/>
    <xf numFmtId="42" fontId="5" fillId="0" borderId="0" xfId="0" applyNumberFormat="1" applyFont="1" applyFill="1" applyBorder="1"/>
    <xf numFmtId="0" fontId="9" fillId="0" borderId="0" xfId="0" applyFont="1" applyFill="1" applyBorder="1" applyAlignment="1">
      <alignment horizontal="right"/>
    </xf>
    <xf numFmtId="41" fontId="5" fillId="0" borderId="0" xfId="0" applyNumberFormat="1" applyFont="1" applyFill="1" applyBorder="1" applyAlignment="1">
      <alignment horizontal="center"/>
    </xf>
    <xf numFmtId="0" fontId="5" fillId="0" borderId="0" xfId="0" quotePrefix="1" applyFont="1" applyFill="1" applyBorder="1"/>
    <xf numFmtId="0" fontId="8" fillId="0" borderId="0" xfId="0" applyFont="1" applyFill="1" applyBorder="1" applyAlignment="1">
      <alignment horizontal="left" indent="2"/>
    </xf>
    <xf numFmtId="0" fontId="5" fillId="0" borderId="0" xfId="0" applyFont="1" applyBorder="1"/>
    <xf numFmtId="0" fontId="23" fillId="6" borderId="0" xfId="0" applyFont="1" applyFill="1" applyAlignment="1">
      <alignment horizontal="right"/>
    </xf>
    <xf numFmtId="0" fontId="6" fillId="0" borderId="0" xfId="0" applyFont="1" applyAlignment="1">
      <alignment horizontal="center" wrapText="1"/>
    </xf>
    <xf numFmtId="0" fontId="24" fillId="0" borderId="0" xfId="0" applyFont="1"/>
    <xf numFmtId="0" fontId="0" fillId="6" borderId="0" xfId="0" applyFill="1"/>
    <xf numFmtId="10" fontId="0" fillId="0" borderId="0" xfId="10" applyNumberFormat="1" applyFont="1" applyAlignment="1">
      <alignment horizontal="center"/>
    </xf>
    <xf numFmtId="10" fontId="23" fillId="6" borderId="0" xfId="10" applyNumberFormat="1" applyFont="1" applyFill="1" applyAlignment="1">
      <alignment horizontal="center"/>
    </xf>
    <xf numFmtId="193" fontId="0" fillId="7" borderId="2" xfId="0" applyNumberFormat="1" applyFill="1" applyBorder="1" applyAlignment="1">
      <alignment horizontal="center"/>
    </xf>
    <xf numFmtId="193" fontId="0" fillId="6" borderId="2" xfId="0" applyNumberFormat="1" applyFill="1" applyBorder="1" applyAlignment="1">
      <alignment horizontal="center"/>
    </xf>
    <xf numFmtId="9" fontId="0" fillId="0" borderId="0" xfId="10" applyFont="1" applyAlignment="1">
      <alignment horizontal="center"/>
    </xf>
    <xf numFmtId="9" fontId="23" fillId="6" borderId="0" xfId="10" applyFont="1" applyFill="1" applyAlignment="1">
      <alignment horizontal="center"/>
    </xf>
    <xf numFmtId="0" fontId="10" fillId="0" borderId="0" xfId="0" applyFont="1" applyAlignment="1">
      <alignment horizontal="center"/>
    </xf>
    <xf numFmtId="0" fontId="6" fillId="0" borderId="0" xfId="0" applyFont="1" applyAlignment="1">
      <alignment horizontal="right" indent="1"/>
    </xf>
    <xf numFmtId="0" fontId="0" fillId="7" borderId="2" xfId="0" applyFill="1" applyBorder="1" applyAlignment="1">
      <alignment horizontal="center"/>
    </xf>
    <xf numFmtId="0" fontId="0" fillId="7" borderId="2" xfId="0" applyFill="1" applyBorder="1"/>
    <xf numFmtId="0" fontId="0" fillId="6" borderId="2" xfId="0" applyFill="1" applyBorder="1" applyAlignment="1">
      <alignment horizontal="center"/>
    </xf>
    <xf numFmtId="10" fontId="1" fillId="0" borderId="0" xfId="10" applyNumberFormat="1" applyFill="1" applyBorder="1" applyAlignment="1">
      <alignment horizontal="center"/>
    </xf>
    <xf numFmtId="0" fontId="6" fillId="0" borderId="0" xfId="0" applyFont="1" applyAlignment="1">
      <alignment horizontal="right" vertical="center"/>
    </xf>
    <xf numFmtId="0" fontId="6" fillId="2" borderId="2" xfId="0" applyFont="1" applyFill="1" applyBorder="1" applyAlignment="1">
      <alignment horizontal="center" vertical="center"/>
    </xf>
    <xf numFmtId="0" fontId="0" fillId="0" borderId="0" xfId="0" applyAlignment="1">
      <alignment horizontal="left" indent="1"/>
    </xf>
    <xf numFmtId="0" fontId="6" fillId="6" borderId="2" xfId="0" applyFont="1" applyFill="1" applyBorder="1" applyAlignment="1">
      <alignment horizontal="center"/>
    </xf>
    <xf numFmtId="14" fontId="6" fillId="2" borderId="2" xfId="0" applyNumberFormat="1" applyFont="1" applyFill="1" applyBorder="1" applyAlignment="1">
      <alignment horizontal="center"/>
    </xf>
    <xf numFmtId="14" fontId="0" fillId="0" borderId="0" xfId="0" applyNumberFormat="1" applyFill="1" applyBorder="1" applyAlignment="1">
      <alignment horizontal="center"/>
    </xf>
    <xf numFmtId="0" fontId="25" fillId="0" borderId="0" xfId="0" applyFont="1" applyFill="1" applyAlignment="1">
      <alignment horizontal="right"/>
    </xf>
    <xf numFmtId="0" fontId="10" fillId="0" borderId="0" xfId="0" applyFont="1" applyAlignment="1">
      <alignment horizontal="center" vertical="center" wrapText="1"/>
    </xf>
    <xf numFmtId="0" fontId="10" fillId="0" borderId="0" xfId="0" applyFont="1" applyAlignment="1">
      <alignment horizontal="center" vertical="center"/>
    </xf>
    <xf numFmtId="176" fontId="0" fillId="6" borderId="2" xfId="0" applyNumberFormat="1" applyFill="1" applyBorder="1" applyAlignment="1">
      <alignment horizontal="center" vertical="center"/>
    </xf>
    <xf numFmtId="0" fontId="6" fillId="2" borderId="2" xfId="0" applyFont="1" applyFill="1" applyBorder="1"/>
    <xf numFmtId="176" fontId="26" fillId="4" borderId="2" xfId="0" applyNumberFormat="1" applyFont="1" applyFill="1" applyBorder="1" applyAlignment="1">
      <alignment horizontal="center"/>
    </xf>
    <xf numFmtId="176" fontId="0" fillId="0" borderId="8" xfId="0" applyNumberFormat="1" applyFill="1" applyBorder="1" applyAlignment="1">
      <alignment horizontal="center"/>
    </xf>
    <xf numFmtId="166" fontId="7" fillId="0" borderId="0" xfId="0" applyNumberFormat="1" applyFont="1" applyFill="1" applyBorder="1" applyAlignment="1">
      <alignment horizontal="center"/>
    </xf>
    <xf numFmtId="181" fontId="5" fillId="0" borderId="0" xfId="0" applyNumberFormat="1" applyFont="1" applyFill="1" applyBorder="1" applyAlignment="1">
      <alignment horizontal="center"/>
    </xf>
    <xf numFmtId="195" fontId="5" fillId="0" borderId="0" xfId="0" applyNumberFormat="1" applyFont="1" applyFill="1" applyBorder="1" applyAlignment="1">
      <alignment horizontal="center"/>
    </xf>
    <xf numFmtId="195" fontId="0" fillId="0" borderId="0" xfId="0" applyNumberFormat="1" applyFill="1" applyBorder="1" applyAlignment="1">
      <alignment horizontal="center"/>
    </xf>
    <xf numFmtId="10" fontId="5" fillId="6" borderId="2" xfId="10" applyNumberFormat="1" applyFont="1" applyFill="1" applyBorder="1" applyAlignment="1">
      <alignment horizontal="center"/>
    </xf>
    <xf numFmtId="0" fontId="5" fillId="6" borderId="2" xfId="0" applyFont="1" applyFill="1" applyBorder="1" applyAlignment="1">
      <alignment horizontal="center"/>
    </xf>
    <xf numFmtId="0" fontId="6" fillId="0" borderId="0" xfId="0" applyFont="1" applyFill="1" applyBorder="1" applyAlignment="1">
      <alignment horizontal="center" vertical="center"/>
    </xf>
    <xf numFmtId="0" fontId="11" fillId="0" borderId="0" xfId="0" applyFont="1"/>
    <xf numFmtId="0" fontId="5" fillId="0" borderId="0" xfId="0" applyFont="1" applyAlignment="1">
      <alignment horizontal="center"/>
    </xf>
    <xf numFmtId="14" fontId="5" fillId="6" borderId="2" xfId="0" applyNumberFormat="1" applyFont="1" applyFill="1" applyBorder="1" applyAlignment="1">
      <alignment horizontal="center"/>
    </xf>
    <xf numFmtId="193" fontId="5" fillId="2" borderId="2" xfId="0" applyNumberFormat="1" applyFont="1" applyFill="1" applyBorder="1" applyAlignment="1">
      <alignment horizontal="center"/>
    </xf>
    <xf numFmtId="1" fontId="14" fillId="4" borderId="2" xfId="0" applyNumberFormat="1" applyFont="1" applyFill="1" applyBorder="1" applyAlignment="1">
      <alignment horizontal="center"/>
    </xf>
    <xf numFmtId="0" fontId="5" fillId="2" borderId="9" xfId="0" applyFont="1" applyFill="1" applyBorder="1"/>
    <xf numFmtId="0" fontId="0" fillId="2" borderId="4" xfId="0" applyFill="1" applyBorder="1"/>
    <xf numFmtId="44" fontId="5" fillId="2" borderId="0" xfId="0" applyNumberFormat="1" applyFont="1" applyFill="1"/>
    <xf numFmtId="44" fontId="5" fillId="2" borderId="0" xfId="3" applyFont="1" applyFill="1"/>
    <xf numFmtId="44" fontId="5" fillId="0" borderId="0" xfId="0" applyNumberFormat="1" applyFont="1" applyFill="1"/>
    <xf numFmtId="44" fontId="1" fillId="0" borderId="0" xfId="3" applyFill="1" applyAlignment="1">
      <alignment horizontal="left"/>
    </xf>
    <xf numFmtId="0" fontId="28" fillId="0" borderId="0" xfId="0" applyFont="1" applyFill="1" applyBorder="1" applyAlignment="1">
      <alignment horizontal="left"/>
    </xf>
    <xf numFmtId="0" fontId="0" fillId="0" borderId="10" xfId="0" applyBorder="1" applyAlignment="1">
      <alignment horizontal="center"/>
    </xf>
    <xf numFmtId="0" fontId="29" fillId="8" borderId="11" xfId="0" applyFont="1" applyFill="1" applyBorder="1" applyAlignment="1">
      <alignment horizontal="center"/>
    </xf>
    <xf numFmtId="0" fontId="30" fillId="9" borderId="12" xfId="0" applyFont="1" applyFill="1" applyBorder="1" applyAlignment="1">
      <alignment horizontal="left"/>
    </xf>
    <xf numFmtId="0" fontId="0" fillId="0" borderId="13" xfId="0" applyBorder="1"/>
    <xf numFmtId="10" fontId="1" fillId="0" borderId="14" xfId="10" applyNumberFormat="1" applyFill="1" applyBorder="1" applyAlignment="1">
      <alignment horizontal="center"/>
    </xf>
    <xf numFmtId="10" fontId="1" fillId="0" borderId="15" xfId="10" applyNumberFormat="1" applyFill="1" applyBorder="1" applyAlignment="1">
      <alignment horizontal="center"/>
    </xf>
    <xf numFmtId="0" fontId="0" fillId="0" borderId="16" xfId="0" applyBorder="1"/>
    <xf numFmtId="0" fontId="0" fillId="0" borderId="17" xfId="0" applyBorder="1"/>
    <xf numFmtId="0" fontId="31" fillId="0" borderId="0" xfId="0" applyFont="1" applyBorder="1" applyAlignment="1">
      <alignment horizontal="center"/>
    </xf>
    <xf numFmtId="0" fontId="32" fillId="0" borderId="0" xfId="0" applyFont="1"/>
    <xf numFmtId="0" fontId="32" fillId="0" borderId="0" xfId="0" applyFont="1" applyFill="1" applyBorder="1"/>
    <xf numFmtId="43" fontId="5" fillId="0" borderId="0" xfId="10" applyNumberFormat="1" applyFont="1" applyFill="1" applyBorder="1"/>
    <xf numFmtId="0" fontId="6" fillId="0" borderId="0" xfId="0" applyFont="1" applyFill="1" applyAlignment="1">
      <alignment horizontal="right"/>
    </xf>
    <xf numFmtId="0" fontId="33" fillId="0" borderId="0" xfId="0" applyFont="1"/>
    <xf numFmtId="0" fontId="34" fillId="0" borderId="0" xfId="0" applyFont="1" applyAlignment="1">
      <alignment horizontal="center"/>
    </xf>
    <xf numFmtId="0" fontId="34" fillId="0" borderId="0" xfId="0" applyFont="1"/>
    <xf numFmtId="10" fontId="5" fillId="0" borderId="2" xfId="10" applyNumberFormat="1" applyFont="1" applyFill="1" applyBorder="1" applyAlignment="1"/>
    <xf numFmtId="10" fontId="1" fillId="0" borderId="2" xfId="10" applyNumberFormat="1" applyBorder="1" applyAlignment="1"/>
    <xf numFmtId="10" fontId="1" fillId="0" borderId="2" xfId="10" applyNumberFormat="1" applyFill="1" applyBorder="1" applyAlignment="1"/>
    <xf numFmtId="0" fontId="32" fillId="0" borderId="2" xfId="0" applyFont="1" applyFill="1" applyBorder="1"/>
    <xf numFmtId="193" fontId="35" fillId="0" borderId="2" xfId="0" applyNumberFormat="1" applyFont="1" applyFill="1" applyBorder="1" applyAlignment="1">
      <alignment horizontal="center"/>
    </xf>
    <xf numFmtId="193" fontId="35" fillId="0" borderId="0" xfId="0" applyNumberFormat="1" applyFont="1" applyFill="1" applyBorder="1" applyAlignment="1">
      <alignment horizontal="center"/>
    </xf>
    <xf numFmtId="176" fontId="0" fillId="0" borderId="0" xfId="0" applyNumberFormat="1" applyFill="1" applyBorder="1" applyAlignment="1">
      <alignment horizontal="center"/>
    </xf>
    <xf numFmtId="1" fontId="14" fillId="0" borderId="0" xfId="0" applyNumberFormat="1" applyFont="1" applyFill="1" applyBorder="1" applyAlignment="1">
      <alignment horizontal="center"/>
    </xf>
    <xf numFmtId="176" fontId="26" fillId="0" borderId="0" xfId="0" applyNumberFormat="1" applyFont="1" applyFill="1" applyBorder="1" applyAlignment="1">
      <alignment horizontal="center"/>
    </xf>
    <xf numFmtId="14" fontId="32" fillId="0" borderId="2" xfId="0" applyNumberFormat="1" applyFont="1" applyFill="1" applyBorder="1" applyAlignment="1">
      <alignment horizontal="center"/>
    </xf>
    <xf numFmtId="0" fontId="36" fillId="0" borderId="0" xfId="0" applyFont="1" applyFill="1"/>
    <xf numFmtId="0" fontId="37" fillId="0" borderId="0" xfId="0" applyFont="1" applyFill="1" applyBorder="1" applyAlignment="1">
      <alignment horizontal="center"/>
    </xf>
    <xf numFmtId="0" fontId="36" fillId="0" borderId="0" xfId="0" applyFont="1" applyFill="1" applyBorder="1" applyAlignment="1">
      <alignment horizontal="center"/>
    </xf>
    <xf numFmtId="0" fontId="38" fillId="0" borderId="0" xfId="0" applyFont="1"/>
    <xf numFmtId="0" fontId="38" fillId="0" borderId="0" xfId="0" applyFont="1" applyBorder="1"/>
    <xf numFmtId="0" fontId="38" fillId="0" borderId="0" xfId="0" applyFont="1" applyAlignment="1">
      <alignment horizontal="right"/>
    </xf>
    <xf numFmtId="0" fontId="39" fillId="0" borderId="0" xfId="0" applyFont="1" applyBorder="1" applyAlignment="1">
      <alignment horizontal="center"/>
    </xf>
    <xf numFmtId="0" fontId="40" fillId="0" borderId="0" xfId="0" applyFont="1" applyBorder="1" applyAlignment="1">
      <alignment horizontal="center"/>
    </xf>
    <xf numFmtId="173" fontId="5" fillId="2" borderId="0" xfId="1" applyNumberFormat="1" applyFont="1" applyFill="1"/>
    <xf numFmtId="173" fontId="0" fillId="2" borderId="18" xfId="1" applyNumberFormat="1" applyFont="1" applyFill="1" applyBorder="1" applyAlignment="1">
      <alignment horizontal="center"/>
    </xf>
    <xf numFmtId="173" fontId="0" fillId="2" borderId="19" xfId="1" applyNumberFormat="1" applyFont="1" applyFill="1" applyBorder="1" applyAlignment="1">
      <alignment horizontal="center"/>
    </xf>
    <xf numFmtId="0" fontId="6" fillId="6" borderId="20" xfId="0" applyFont="1" applyFill="1" applyBorder="1"/>
    <xf numFmtId="0" fontId="6" fillId="6" borderId="2" xfId="0" applyFont="1" applyFill="1" applyBorder="1"/>
    <xf numFmtId="44" fontId="6" fillId="6" borderId="9" xfId="3" applyFont="1" applyFill="1" applyBorder="1"/>
    <xf numFmtId="3" fontId="6" fillId="6" borderId="9" xfId="3" applyNumberFormat="1" applyFont="1" applyFill="1" applyBorder="1" applyAlignment="1">
      <alignment horizontal="center"/>
    </xf>
    <xf numFmtId="0" fontId="5" fillId="6" borderId="21" xfId="0" applyFont="1" applyFill="1" applyBorder="1"/>
    <xf numFmtId="0" fontId="5" fillId="6" borderId="2" xfId="0" applyFont="1" applyFill="1" applyBorder="1"/>
    <xf numFmtId="0" fontId="5" fillId="6" borderId="15" xfId="0" applyFont="1" applyFill="1" applyBorder="1"/>
    <xf numFmtId="0" fontId="0" fillId="2" borderId="22" xfId="0" applyFill="1" applyBorder="1"/>
    <xf numFmtId="0" fontId="0" fillId="2" borderId="8" xfId="0" applyFill="1" applyBorder="1" applyAlignment="1">
      <alignment horizontal="center"/>
    </xf>
    <xf numFmtId="44" fontId="1" fillId="2" borderId="23" xfId="3" applyFont="1" applyFill="1" applyBorder="1" applyAlignment="1">
      <alignment horizontal="center"/>
    </xf>
    <xf numFmtId="44" fontId="1" fillId="2" borderId="8" xfId="3" applyFont="1" applyFill="1" applyBorder="1" applyAlignment="1">
      <alignment horizontal="center"/>
    </xf>
    <xf numFmtId="0" fontId="6" fillId="6" borderId="22" xfId="0" applyFont="1" applyFill="1" applyBorder="1"/>
    <xf numFmtId="0" fontId="6" fillId="6" borderId="8" xfId="0" applyFont="1" applyFill="1" applyBorder="1"/>
    <xf numFmtId="0" fontId="5" fillId="6" borderId="8" xfId="0" applyFont="1" applyFill="1" applyBorder="1"/>
    <xf numFmtId="0" fontId="5" fillId="6" borderId="24" xfId="0" applyFont="1" applyFill="1" applyBorder="1"/>
    <xf numFmtId="0" fontId="0" fillId="2" borderId="19" xfId="0" applyFill="1" applyBorder="1"/>
    <xf numFmtId="169" fontId="1" fillId="2" borderId="23" xfId="3" applyNumberFormat="1" applyFill="1" applyBorder="1" applyAlignment="1">
      <alignment horizontal="center"/>
    </xf>
    <xf numFmtId="169" fontId="1" fillId="2" borderId="25" xfId="3" applyNumberFormat="1" applyFill="1" applyBorder="1" applyAlignment="1">
      <alignment horizontal="center"/>
    </xf>
    <xf numFmtId="0" fontId="0" fillId="2" borderId="18" xfId="0" applyFill="1" applyBorder="1"/>
    <xf numFmtId="169" fontId="1" fillId="2" borderId="8" xfId="3" applyNumberFormat="1" applyFill="1" applyBorder="1" applyAlignment="1">
      <alignment horizontal="center"/>
    </xf>
    <xf numFmtId="169" fontId="1" fillId="2" borderId="24" xfId="3" applyNumberFormat="1" applyFill="1" applyBorder="1" applyAlignment="1">
      <alignment horizontal="center"/>
    </xf>
    <xf numFmtId="0" fontId="41" fillId="6" borderId="20" xfId="0" applyFont="1" applyFill="1" applyBorder="1"/>
    <xf numFmtId="0" fontId="41" fillId="6" borderId="2" xfId="0" applyFont="1" applyFill="1" applyBorder="1"/>
    <xf numFmtId="44" fontId="41" fillId="6" borderId="9" xfId="3" applyFont="1" applyFill="1" applyBorder="1"/>
    <xf numFmtId="3" fontId="41" fillId="6" borderId="9" xfId="3" applyNumberFormat="1" applyFont="1" applyFill="1" applyBorder="1" applyAlignment="1">
      <alignment horizontal="center"/>
    </xf>
    <xf numFmtId="0" fontId="1" fillId="6" borderId="21" xfId="0" applyFont="1" applyFill="1" applyBorder="1"/>
    <xf numFmtId="0" fontId="1" fillId="6" borderId="2" xfId="0" applyFont="1" applyFill="1" applyBorder="1"/>
    <xf numFmtId="0" fontId="1" fillId="6" borderId="15" xfId="0" applyFont="1" applyFill="1" applyBorder="1"/>
    <xf numFmtId="0" fontId="5" fillId="6" borderId="18" xfId="0" applyFont="1" applyFill="1" applyBorder="1"/>
    <xf numFmtId="169" fontId="1" fillId="2" borderId="19" xfId="3" applyNumberFormat="1" applyFill="1" applyBorder="1" applyAlignment="1">
      <alignment horizontal="center"/>
    </xf>
    <xf numFmtId="169" fontId="1" fillId="2" borderId="18" xfId="3" applyNumberFormat="1" applyFill="1" applyBorder="1" applyAlignment="1">
      <alignment horizontal="center"/>
    </xf>
    <xf numFmtId="0" fontId="0" fillId="2" borderId="2" xfId="0" applyFill="1" applyBorder="1"/>
    <xf numFmtId="173" fontId="0" fillId="2" borderId="22" xfId="1" applyNumberFormat="1" applyFont="1" applyFill="1" applyBorder="1" applyAlignment="1">
      <alignment horizontal="left"/>
    </xf>
    <xf numFmtId="173" fontId="0" fillId="2" borderId="23" xfId="1" applyNumberFormat="1" applyFont="1" applyFill="1" applyBorder="1" applyAlignment="1">
      <alignment horizontal="center"/>
    </xf>
    <xf numFmtId="173" fontId="0" fillId="2" borderId="25" xfId="1" applyNumberFormat="1" applyFont="1" applyFill="1" applyBorder="1" applyAlignment="1">
      <alignment horizontal="center"/>
    </xf>
    <xf numFmtId="173" fontId="0" fillId="2" borderId="8" xfId="1" applyNumberFormat="1" applyFont="1" applyFill="1" applyBorder="1" applyAlignment="1">
      <alignment horizontal="center"/>
    </xf>
    <xf numFmtId="173" fontId="0" fillId="2" borderId="24" xfId="1" applyNumberFormat="1" applyFont="1" applyFill="1" applyBorder="1" applyAlignment="1">
      <alignment horizontal="center"/>
    </xf>
    <xf numFmtId="173" fontId="0" fillId="2" borderId="26" xfId="1" applyNumberFormat="1" applyFont="1" applyFill="1" applyBorder="1" applyAlignment="1">
      <alignment horizontal="center"/>
    </xf>
    <xf numFmtId="173" fontId="0" fillId="2" borderId="27" xfId="1" applyNumberFormat="1" applyFont="1" applyFill="1" applyBorder="1" applyAlignment="1">
      <alignment horizontal="center"/>
    </xf>
    <xf numFmtId="173" fontId="0" fillId="2" borderId="28" xfId="1" applyNumberFormat="1" applyFont="1" applyFill="1" applyBorder="1" applyAlignment="1">
      <alignment horizontal="center"/>
    </xf>
    <xf numFmtId="44" fontId="6" fillId="6" borderId="2" xfId="3" applyFont="1" applyFill="1" applyBorder="1"/>
    <xf numFmtId="10" fontId="1" fillId="2" borderId="29" xfId="10" applyNumberFormat="1" applyFill="1" applyBorder="1"/>
    <xf numFmtId="0" fontId="29" fillId="8" borderId="30" xfId="0" applyFont="1" applyFill="1" applyBorder="1"/>
    <xf numFmtId="0" fontId="29" fillId="8" borderId="31" xfId="0" applyFont="1" applyFill="1" applyBorder="1" applyAlignment="1">
      <alignment wrapText="1"/>
    </xf>
    <xf numFmtId="0" fontId="48" fillId="0" borderId="0" xfId="0" applyFont="1" applyAlignment="1">
      <alignment horizontal="right"/>
    </xf>
    <xf numFmtId="0" fontId="35" fillId="0" borderId="0" xfId="0" applyFont="1" applyBorder="1"/>
    <xf numFmtId="0" fontId="35" fillId="0" borderId="0" xfId="0" applyFont="1"/>
    <xf numFmtId="0" fontId="35" fillId="0" borderId="0" xfId="0" applyFont="1" applyFill="1" applyBorder="1"/>
    <xf numFmtId="0" fontId="35" fillId="0" borderId="0" xfId="0" applyFont="1" applyFill="1"/>
    <xf numFmtId="0" fontId="49" fillId="0" borderId="0" xfId="0" applyFont="1"/>
    <xf numFmtId="0" fontId="29" fillId="8" borderId="32" xfId="0" applyFont="1" applyFill="1" applyBorder="1" applyAlignment="1">
      <alignment horizontal="center"/>
    </xf>
    <xf numFmtId="0" fontId="51" fillId="8" borderId="32" xfId="0" applyFont="1" applyFill="1" applyBorder="1"/>
    <xf numFmtId="0" fontId="29" fillId="8" borderId="32" xfId="0" applyFont="1" applyFill="1" applyBorder="1"/>
    <xf numFmtId="0" fontId="51" fillId="8" borderId="32" xfId="0" applyFont="1" applyFill="1" applyBorder="1" applyAlignment="1">
      <alignment horizontal="right"/>
    </xf>
    <xf numFmtId="0" fontId="51" fillId="8" borderId="33" xfId="0" applyFont="1" applyFill="1" applyBorder="1" applyAlignment="1">
      <alignment horizontal="right"/>
    </xf>
    <xf numFmtId="0" fontId="51" fillId="8" borderId="32" xfId="0" applyFont="1" applyFill="1" applyBorder="1" applyAlignment="1">
      <alignment horizontal="center"/>
    </xf>
    <xf numFmtId="0" fontId="5" fillId="2" borderId="34" xfId="0" applyFont="1" applyFill="1" applyBorder="1"/>
    <xf numFmtId="0" fontId="5" fillId="2" borderId="35" xfId="0" applyFont="1" applyFill="1" applyBorder="1"/>
    <xf numFmtId="10" fontId="5" fillId="2" borderId="36" xfId="10" applyNumberFormat="1" applyFont="1" applyFill="1" applyBorder="1"/>
    <xf numFmtId="0" fontId="5" fillId="2" borderId="37" xfId="0" applyFont="1" applyFill="1" applyBorder="1"/>
    <xf numFmtId="0" fontId="5" fillId="2" borderId="38" xfId="0" applyFont="1" applyFill="1" applyBorder="1"/>
    <xf numFmtId="10" fontId="5" fillId="2" borderId="39" xfId="10" applyNumberFormat="1" applyFont="1" applyFill="1" applyBorder="1"/>
    <xf numFmtId="10" fontId="5" fillId="2" borderId="40" xfId="10" applyNumberFormat="1" applyFont="1" applyFill="1" applyBorder="1"/>
    <xf numFmtId="41" fontId="5" fillId="2" borderId="0" xfId="0" applyNumberFormat="1" applyFont="1" applyFill="1" applyBorder="1"/>
    <xf numFmtId="42" fontId="0" fillId="2" borderId="41" xfId="0" applyNumberFormat="1" applyFill="1" applyBorder="1"/>
    <xf numFmtId="10" fontId="1" fillId="2" borderId="42" xfId="10" applyNumberFormat="1" applyFill="1" applyBorder="1"/>
    <xf numFmtId="0" fontId="52" fillId="8" borderId="43" xfId="0" applyFont="1" applyFill="1" applyBorder="1" applyAlignment="1">
      <alignment horizontal="center"/>
    </xf>
    <xf numFmtId="41" fontId="5" fillId="2" borderId="44" xfId="0" applyNumberFormat="1" applyFont="1" applyFill="1" applyBorder="1"/>
    <xf numFmtId="0" fontId="0" fillId="2" borderId="45" xfId="0" applyFill="1" applyBorder="1"/>
    <xf numFmtId="0" fontId="55" fillId="0" borderId="0" xfId="0" applyFont="1" applyFill="1" applyAlignment="1"/>
    <xf numFmtId="0" fontId="52" fillId="8" borderId="30" xfId="0" applyFont="1" applyFill="1" applyBorder="1" applyAlignment="1">
      <alignment horizontal="center"/>
    </xf>
    <xf numFmtId="10" fontId="22" fillId="2" borderId="8" xfId="10" applyNumberFormat="1" applyFont="1" applyFill="1" applyBorder="1" applyAlignment="1">
      <alignment horizontal="center"/>
    </xf>
    <xf numFmtId="173" fontId="22" fillId="2" borderId="8" xfId="1" applyNumberFormat="1" applyFont="1" applyFill="1" applyBorder="1"/>
    <xf numFmtId="0" fontId="52" fillId="8" borderId="31" xfId="0" applyFont="1" applyFill="1" applyBorder="1" applyAlignment="1">
      <alignment horizontal="center"/>
    </xf>
    <xf numFmtId="10" fontId="22" fillId="2" borderId="46" xfId="10" applyNumberFormat="1" applyFont="1" applyFill="1" applyBorder="1" applyAlignment="1">
      <alignment horizontal="center"/>
    </xf>
    <xf numFmtId="173" fontId="22" fillId="2" borderId="46" xfId="1" applyNumberFormat="1" applyFont="1" applyFill="1" applyBorder="1"/>
    <xf numFmtId="44" fontId="22" fillId="2" borderId="18" xfId="3" applyFont="1" applyFill="1" applyBorder="1"/>
    <xf numFmtId="44" fontId="22" fillId="2" borderId="47" xfId="3" applyFont="1" applyFill="1" applyBorder="1"/>
    <xf numFmtId="169" fontId="52" fillId="8" borderId="30" xfId="3" applyNumberFormat="1" applyFont="1" applyFill="1" applyBorder="1" applyAlignment="1">
      <alignment horizontal="center" wrapText="1"/>
    </xf>
    <xf numFmtId="169" fontId="52" fillId="8" borderId="43" xfId="3" applyNumberFormat="1" applyFont="1" applyFill="1" applyBorder="1" applyAlignment="1">
      <alignment horizontal="center" wrapText="1"/>
    </xf>
    <xf numFmtId="169" fontId="52" fillId="8" borderId="43" xfId="3" applyNumberFormat="1" applyFont="1" applyFill="1" applyBorder="1" applyAlignment="1">
      <alignment horizontal="center"/>
    </xf>
    <xf numFmtId="169" fontId="52" fillId="8" borderId="31" xfId="3" applyNumberFormat="1" applyFont="1" applyFill="1" applyBorder="1" applyAlignment="1">
      <alignment horizontal="center" wrapText="1"/>
    </xf>
    <xf numFmtId="0" fontId="1" fillId="2" borderId="8" xfId="0" applyFont="1" applyFill="1" applyBorder="1"/>
    <xf numFmtId="169" fontId="52" fillId="8" borderId="48" xfId="3" applyNumberFormat="1" applyFont="1" applyFill="1" applyBorder="1" applyAlignment="1">
      <alignment horizontal="center"/>
    </xf>
    <xf numFmtId="169" fontId="52" fillId="8" borderId="31" xfId="3" applyNumberFormat="1" applyFont="1" applyFill="1" applyBorder="1" applyAlignment="1">
      <alignment horizontal="center"/>
    </xf>
    <xf numFmtId="169" fontId="52" fillId="8" borderId="30" xfId="3" applyNumberFormat="1" applyFont="1" applyFill="1" applyBorder="1" applyAlignment="1">
      <alignment horizontal="center"/>
    </xf>
    <xf numFmtId="0" fontId="5" fillId="2" borderId="49" xfId="0" applyFont="1" applyFill="1" applyBorder="1"/>
    <xf numFmtId="10" fontId="5" fillId="2" borderId="50" xfId="10" applyNumberFormat="1" applyFont="1" applyFill="1" applyBorder="1"/>
    <xf numFmtId="0" fontId="5" fillId="2" borderId="21" xfId="0" applyFont="1" applyFill="1" applyBorder="1" applyAlignment="1">
      <alignment horizontal="left"/>
    </xf>
    <xf numFmtId="0" fontId="50" fillId="8" borderId="12" xfId="0" applyFont="1" applyFill="1" applyBorder="1"/>
    <xf numFmtId="0" fontId="5" fillId="0" borderId="51" xfId="0" applyFont="1" applyFill="1" applyBorder="1"/>
    <xf numFmtId="0" fontId="5" fillId="0" borderId="52" xfId="0" applyFont="1" applyFill="1" applyBorder="1" applyAlignment="1">
      <alignment horizontal="left"/>
    </xf>
    <xf numFmtId="0" fontId="5" fillId="0" borderId="52" xfId="0" applyFont="1" applyFill="1" applyBorder="1"/>
    <xf numFmtId="0" fontId="6" fillId="0" borderId="52" xfId="0" applyFont="1" applyFill="1" applyBorder="1"/>
    <xf numFmtId="0" fontId="5" fillId="0" borderId="53" xfId="0" applyFont="1" applyFill="1" applyBorder="1"/>
    <xf numFmtId="0" fontId="5" fillId="0" borderId="54" xfId="0" applyFont="1" applyFill="1" applyBorder="1"/>
    <xf numFmtId="0" fontId="5" fillId="0" borderId="23" xfId="0" applyFont="1" applyFill="1" applyBorder="1" applyAlignment="1">
      <alignment horizontal="center"/>
    </xf>
    <xf numFmtId="0" fontId="5" fillId="0" borderId="22" xfId="0" applyFont="1" applyFill="1" applyBorder="1"/>
    <xf numFmtId="0" fontId="5" fillId="0" borderId="55" xfId="0" applyFont="1" applyFill="1" applyBorder="1"/>
    <xf numFmtId="0" fontId="5" fillId="0" borderId="41" xfId="0" applyFont="1" applyFill="1" applyBorder="1"/>
    <xf numFmtId="0" fontId="5" fillId="0" borderId="8" xfId="0" applyFont="1" applyFill="1" applyBorder="1" applyAlignment="1">
      <alignment horizontal="center"/>
    </xf>
    <xf numFmtId="0" fontId="5" fillId="0" borderId="56" xfId="0" applyFont="1" applyFill="1" applyBorder="1"/>
    <xf numFmtId="0" fontId="5" fillId="0" borderId="1" xfId="0" applyFont="1" applyFill="1" applyBorder="1" applyAlignment="1">
      <alignment horizontal="left"/>
    </xf>
    <xf numFmtId="0" fontId="5" fillId="0" borderId="1" xfId="0" applyFont="1" applyFill="1" applyBorder="1"/>
    <xf numFmtId="0" fontId="6" fillId="0" borderId="1" xfId="0" applyFont="1" applyFill="1" applyBorder="1"/>
    <xf numFmtId="0" fontId="5" fillId="0" borderId="57" xfId="0" applyFont="1" applyFill="1" applyBorder="1"/>
    <xf numFmtId="10" fontId="5" fillId="0" borderId="1" xfId="10" applyNumberFormat="1" applyFont="1" applyFill="1" applyBorder="1"/>
    <xf numFmtId="0" fontId="5" fillId="0" borderId="58" xfId="0" applyFont="1" applyFill="1" applyBorder="1"/>
    <xf numFmtId="0" fontId="5" fillId="0" borderId="46" xfId="0" applyFont="1" applyFill="1" applyBorder="1" applyAlignment="1">
      <alignment horizontal="center"/>
    </xf>
    <xf numFmtId="0" fontId="6" fillId="0" borderId="0" xfId="0" applyFont="1" applyFill="1" applyBorder="1"/>
    <xf numFmtId="169" fontId="5" fillId="0" borderId="44" xfId="3" applyNumberFormat="1" applyFont="1" applyFill="1" applyBorder="1" applyAlignment="1"/>
    <xf numFmtId="0" fontId="5" fillId="0" borderId="44" xfId="0" applyFont="1" applyFill="1" applyBorder="1" applyAlignment="1">
      <alignment horizontal="center"/>
    </xf>
    <xf numFmtId="0" fontId="6" fillId="0" borderId="2" xfId="0" applyFont="1" applyFill="1" applyBorder="1" applyAlignment="1">
      <alignment horizontal="center"/>
    </xf>
    <xf numFmtId="0" fontId="6" fillId="0" borderId="55" xfId="0" applyFont="1" applyFill="1" applyBorder="1" applyAlignment="1">
      <alignment horizontal="center"/>
    </xf>
    <xf numFmtId="0" fontId="6" fillId="0" borderId="29" xfId="0" applyFont="1" applyFill="1" applyBorder="1" applyAlignment="1">
      <alignment horizontal="center"/>
    </xf>
    <xf numFmtId="0" fontId="6" fillId="0" borderId="4" xfId="0" applyFont="1" applyFill="1" applyBorder="1" applyAlignment="1">
      <alignment horizontal="center"/>
    </xf>
    <xf numFmtId="0" fontId="6" fillId="0" borderId="23" xfId="0" applyFont="1" applyFill="1" applyBorder="1" applyAlignment="1">
      <alignment horizontal="center"/>
    </xf>
    <xf numFmtId="0" fontId="5" fillId="0" borderId="22" xfId="0" applyFont="1" applyFill="1" applyBorder="1" applyAlignment="1">
      <alignment horizontal="left"/>
    </xf>
    <xf numFmtId="0" fontId="5" fillId="0" borderId="29" xfId="0" applyFont="1" applyFill="1" applyBorder="1" applyAlignment="1">
      <alignment horizontal="center"/>
    </xf>
    <xf numFmtId="0" fontId="5" fillId="0" borderId="3" xfId="0" applyFont="1" applyFill="1" applyBorder="1" applyAlignment="1">
      <alignment horizontal="center"/>
    </xf>
    <xf numFmtId="0" fontId="38" fillId="0" borderId="9" xfId="0" applyFont="1" applyFill="1" applyBorder="1" applyAlignment="1">
      <alignment horizontal="center"/>
    </xf>
    <xf numFmtId="0" fontId="38" fillId="0" borderId="3" xfId="0" applyFont="1" applyFill="1" applyBorder="1" applyAlignment="1">
      <alignment horizontal="center"/>
    </xf>
    <xf numFmtId="0" fontId="38" fillId="0" borderId="4" xfId="0" applyFont="1" applyFill="1" applyBorder="1" applyAlignment="1">
      <alignment horizontal="center"/>
    </xf>
    <xf numFmtId="0" fontId="5" fillId="0" borderId="4" xfId="0" applyFont="1" applyFill="1" applyBorder="1" applyAlignment="1">
      <alignment horizontal="center"/>
    </xf>
    <xf numFmtId="14" fontId="5" fillId="0" borderId="59" xfId="0" applyNumberFormat="1" applyFont="1" applyFill="1" applyBorder="1" applyAlignment="1">
      <alignment horizontal="center"/>
    </xf>
    <xf numFmtId="14" fontId="5" fillId="0" borderId="2" xfId="0" applyNumberFormat="1" applyFont="1" applyFill="1" applyBorder="1" applyAlignment="1">
      <alignment horizontal="center"/>
    </xf>
    <xf numFmtId="14" fontId="5" fillId="0" borderId="0" xfId="0" applyNumberFormat="1" applyFont="1" applyFill="1" applyBorder="1" applyAlignment="1">
      <alignment horizontal="center"/>
    </xf>
    <xf numFmtId="0" fontId="5" fillId="0" borderId="29" xfId="0" applyFont="1" applyFill="1" applyBorder="1"/>
    <xf numFmtId="0" fontId="9" fillId="0" borderId="3" xfId="0" applyFont="1" applyFill="1" applyBorder="1" applyAlignment="1">
      <alignment horizontal="center"/>
    </xf>
    <xf numFmtId="0" fontId="9" fillId="0" borderId="9" xfId="0" applyFont="1" applyFill="1" applyBorder="1"/>
    <xf numFmtId="0" fontId="9" fillId="0" borderId="4" xfId="0" applyFont="1" applyFill="1" applyBorder="1" applyAlignment="1">
      <alignment horizontal="center"/>
    </xf>
    <xf numFmtId="0" fontId="9" fillId="0" borderId="9" xfId="0" applyFont="1" applyFill="1" applyBorder="1" applyAlignment="1">
      <alignment horizontal="center"/>
    </xf>
    <xf numFmtId="0" fontId="5" fillId="0" borderId="60" xfId="10" applyNumberFormat="1" applyFont="1" applyFill="1" applyBorder="1" applyAlignment="1">
      <alignment horizontal="center"/>
    </xf>
    <xf numFmtId="0" fontId="5" fillId="0" borderId="61" xfId="10" applyNumberFormat="1" applyFont="1" applyFill="1" applyBorder="1" applyAlignment="1">
      <alignment horizontal="center"/>
    </xf>
    <xf numFmtId="10" fontId="5" fillId="0" borderId="62" xfId="10" applyNumberFormat="1" applyFont="1" applyFill="1" applyBorder="1" applyAlignment="1">
      <alignment horizontal="center"/>
    </xf>
    <xf numFmtId="205" fontId="5" fillId="0" borderId="62" xfId="1" applyNumberFormat="1" applyFont="1" applyFill="1" applyBorder="1" applyAlignment="1">
      <alignment horizontal="center"/>
    </xf>
    <xf numFmtId="10" fontId="5" fillId="0" borderId="62" xfId="10" applyNumberFormat="1" applyFont="1" applyFill="1" applyBorder="1"/>
    <xf numFmtId="10" fontId="5" fillId="0" borderId="61" xfId="10" applyNumberFormat="1" applyFont="1" applyFill="1" applyBorder="1"/>
    <xf numFmtId="0" fontId="5" fillId="0" borderId="63" xfId="10" applyNumberFormat="1" applyFont="1" applyFill="1" applyBorder="1" applyAlignment="1">
      <alignment horizontal="center"/>
    </xf>
    <xf numFmtId="0" fontId="5" fillId="0" borderId="64" xfId="10" applyNumberFormat="1" applyFont="1" applyFill="1" applyBorder="1" applyAlignment="1">
      <alignment horizontal="center"/>
    </xf>
    <xf numFmtId="10" fontId="5" fillId="0" borderId="64" xfId="10" applyNumberFormat="1" applyFont="1" applyFill="1" applyBorder="1"/>
    <xf numFmtId="205" fontId="5" fillId="0" borderId="65" xfId="1" applyNumberFormat="1" applyFont="1" applyFill="1" applyBorder="1" applyAlignment="1">
      <alignment horizontal="center"/>
    </xf>
    <xf numFmtId="10" fontId="5" fillId="0" borderId="65" xfId="10" applyNumberFormat="1" applyFont="1" applyFill="1" applyBorder="1" applyAlignment="1">
      <alignment horizontal="center"/>
    </xf>
    <xf numFmtId="205" fontId="5" fillId="0" borderId="66" xfId="1" applyNumberFormat="1" applyFont="1" applyFill="1" applyBorder="1" applyAlignment="1">
      <alignment horizontal="center"/>
    </xf>
    <xf numFmtId="10" fontId="5" fillId="0" borderId="66" xfId="10" applyNumberFormat="1" applyFont="1" applyFill="1" applyBorder="1"/>
    <xf numFmtId="10" fontId="5" fillId="0" borderId="67" xfId="10" applyNumberFormat="1" applyFont="1" applyFill="1" applyBorder="1"/>
    <xf numFmtId="10" fontId="5" fillId="0" borderId="68" xfId="10" applyNumberFormat="1" applyFont="1" applyFill="1" applyBorder="1"/>
    <xf numFmtId="205" fontId="5" fillId="0" borderId="69" xfId="1" applyNumberFormat="1" applyFont="1" applyFill="1" applyBorder="1" applyAlignment="1">
      <alignment horizontal="center"/>
    </xf>
    <xf numFmtId="10" fontId="5" fillId="0" borderId="69" xfId="10" applyNumberFormat="1" applyFont="1" applyFill="1" applyBorder="1"/>
    <xf numFmtId="10" fontId="5" fillId="0" borderId="70" xfId="10" applyNumberFormat="1" applyFont="1" applyFill="1" applyBorder="1"/>
    <xf numFmtId="0" fontId="5" fillId="0" borderId="71" xfId="10" applyNumberFormat="1" applyFont="1" applyFill="1" applyBorder="1" applyAlignment="1">
      <alignment horizontal="center"/>
    </xf>
    <xf numFmtId="0" fontId="5" fillId="0" borderId="68" xfId="10" applyNumberFormat="1" applyFont="1" applyFill="1" applyBorder="1" applyAlignment="1">
      <alignment horizontal="center"/>
    </xf>
    <xf numFmtId="205" fontId="5" fillId="0" borderId="72" xfId="1" applyNumberFormat="1" applyFont="1" applyFill="1" applyBorder="1" applyAlignment="1">
      <alignment horizontal="center"/>
    </xf>
    <xf numFmtId="10" fontId="5" fillId="0" borderId="72" xfId="10" applyNumberFormat="1" applyFont="1" applyFill="1" applyBorder="1"/>
    <xf numFmtId="10" fontId="5" fillId="0" borderId="73" xfId="10" applyNumberFormat="1" applyFont="1" applyFill="1" applyBorder="1"/>
    <xf numFmtId="10" fontId="5" fillId="0" borderId="74" xfId="10" applyNumberFormat="1" applyFont="1" applyFill="1" applyBorder="1"/>
    <xf numFmtId="0" fontId="5" fillId="0" borderId="75" xfId="0" applyFont="1" applyFill="1" applyBorder="1"/>
    <xf numFmtId="0" fontId="9" fillId="0" borderId="8" xfId="0" applyFont="1" applyFill="1" applyBorder="1" applyAlignment="1">
      <alignment horizontal="center"/>
    </xf>
    <xf numFmtId="0" fontId="14" fillId="0" borderId="29" xfId="0" applyFont="1" applyFill="1" applyBorder="1" applyAlignment="1">
      <alignment horizontal="center"/>
    </xf>
    <xf numFmtId="0" fontId="14" fillId="0" borderId="2" xfId="0" applyFont="1" applyFill="1" applyBorder="1" applyAlignment="1">
      <alignment horizontal="center"/>
    </xf>
    <xf numFmtId="0" fontId="14" fillId="0" borderId="44" xfId="0" applyFont="1" applyFill="1" applyBorder="1" applyAlignment="1">
      <alignment horizontal="center"/>
    </xf>
    <xf numFmtId="0" fontId="14" fillId="0" borderId="3" xfId="0" applyFont="1" applyFill="1" applyBorder="1" applyAlignment="1">
      <alignment horizontal="center"/>
    </xf>
    <xf numFmtId="0" fontId="5" fillId="0" borderId="0" xfId="0" applyFont="1" applyFill="1" applyBorder="1" applyAlignment="1">
      <alignment horizontal="right"/>
    </xf>
    <xf numFmtId="0" fontId="9" fillId="0" borderId="0" xfId="0" applyFont="1" applyFill="1" applyAlignment="1">
      <alignment horizontal="center"/>
    </xf>
    <xf numFmtId="0" fontId="9" fillId="0" borderId="22" xfId="0" applyFont="1" applyFill="1" applyBorder="1"/>
    <xf numFmtId="0" fontId="9" fillId="0" borderId="41" xfId="0" applyFont="1" applyFill="1" applyBorder="1" applyAlignment="1">
      <alignment horizontal="center"/>
    </xf>
    <xf numFmtId="0" fontId="29" fillId="0" borderId="0" xfId="0" applyFont="1" applyFill="1" applyBorder="1"/>
    <xf numFmtId="0" fontId="51" fillId="0" borderId="0" xfId="0" applyFont="1" applyFill="1" applyBorder="1" applyAlignment="1">
      <alignment horizontal="center"/>
    </xf>
    <xf numFmtId="173" fontId="5" fillId="0" borderId="22" xfId="1" applyNumberFormat="1" applyFont="1" applyFill="1" applyBorder="1"/>
    <xf numFmtId="173" fontId="5" fillId="0" borderId="0" xfId="1" applyNumberFormat="1" applyFont="1" applyFill="1" applyBorder="1"/>
    <xf numFmtId="44" fontId="5" fillId="0" borderId="0" xfId="0" applyNumberFormat="1" applyFont="1" applyFill="1" applyBorder="1"/>
    <xf numFmtId="41" fontId="5" fillId="0" borderId="0" xfId="0" applyNumberFormat="1" applyFont="1" applyFill="1" applyBorder="1"/>
    <xf numFmtId="42" fontId="5" fillId="0" borderId="0" xfId="0" applyNumberFormat="1" applyFont="1" applyFill="1"/>
    <xf numFmtId="202" fontId="5" fillId="0" borderId="0" xfId="0" applyNumberFormat="1" applyFont="1" applyFill="1"/>
    <xf numFmtId="202" fontId="5" fillId="0" borderId="0" xfId="0" applyNumberFormat="1" applyFont="1" applyFill="1" applyBorder="1"/>
    <xf numFmtId="173" fontId="5" fillId="0" borderId="13" xfId="1" applyNumberFormat="1" applyFont="1" applyFill="1" applyBorder="1"/>
    <xf numFmtId="0" fontId="5" fillId="0" borderId="44" xfId="0" applyFont="1" applyFill="1" applyBorder="1"/>
    <xf numFmtId="173" fontId="5" fillId="0" borderId="44" xfId="1" applyNumberFormat="1" applyFont="1" applyFill="1" applyBorder="1"/>
    <xf numFmtId="0" fontId="35" fillId="0" borderId="44" xfId="0" applyFont="1" applyFill="1" applyBorder="1"/>
    <xf numFmtId="44" fontId="5" fillId="0" borderId="44" xfId="0" applyNumberFormat="1" applyFont="1" applyFill="1" applyBorder="1"/>
    <xf numFmtId="41" fontId="5" fillId="0" borderId="44" xfId="0" applyNumberFormat="1" applyFont="1" applyFill="1" applyBorder="1"/>
    <xf numFmtId="42" fontId="5" fillId="0" borderId="44" xfId="0" applyNumberFormat="1" applyFont="1" applyFill="1" applyBorder="1"/>
    <xf numFmtId="202" fontId="5" fillId="0" borderId="44" xfId="0" applyNumberFormat="1" applyFont="1" applyFill="1" applyBorder="1"/>
    <xf numFmtId="41" fontId="5" fillId="0" borderId="2" xfId="0" applyNumberFormat="1" applyFont="1" applyFill="1" applyBorder="1"/>
    <xf numFmtId="10" fontId="5" fillId="0" borderId="2" xfId="10" applyNumberFormat="1" applyFont="1" applyFill="1" applyBorder="1"/>
    <xf numFmtId="169" fontId="5" fillId="0" borderId="0" xfId="0" applyNumberFormat="1" applyFont="1" applyFill="1" applyBorder="1"/>
    <xf numFmtId="169" fontId="5" fillId="0" borderId="0" xfId="0" applyNumberFormat="1" applyFont="1" applyFill="1"/>
    <xf numFmtId="0" fontId="5" fillId="0" borderId="13" xfId="0" applyFont="1" applyFill="1" applyBorder="1"/>
    <xf numFmtId="169" fontId="5" fillId="0" borderId="44" xfId="0" applyNumberFormat="1" applyFont="1" applyFill="1" applyBorder="1"/>
    <xf numFmtId="0" fontId="5" fillId="0" borderId="16" xfId="0" applyFont="1" applyFill="1" applyBorder="1"/>
    <xf numFmtId="0" fontId="5" fillId="0" borderId="76" xfId="0" applyFont="1" applyFill="1" applyBorder="1"/>
    <xf numFmtId="0" fontId="5" fillId="0" borderId="1" xfId="0" applyFont="1" applyFill="1" applyBorder="1" applyAlignment="1">
      <alignment horizontal="right"/>
    </xf>
    <xf numFmtId="41" fontId="5" fillId="0" borderId="77" xfId="0" applyNumberFormat="1" applyFont="1" applyFill="1" applyBorder="1"/>
    <xf numFmtId="0" fontId="6" fillId="0" borderId="2" xfId="0" applyFont="1" applyFill="1" applyBorder="1"/>
    <xf numFmtId="10" fontId="6" fillId="0" borderId="2" xfId="10" applyNumberFormat="1" applyFont="1" applyFill="1" applyBorder="1"/>
    <xf numFmtId="0" fontId="5" fillId="0" borderId="3" xfId="0" applyFont="1" applyFill="1" applyBorder="1"/>
    <xf numFmtId="0" fontId="5" fillId="0" borderId="55" xfId="0" applyFont="1" applyFill="1" applyBorder="1" applyAlignment="1">
      <alignment horizontal="left" indent="1"/>
    </xf>
    <xf numFmtId="10" fontId="5" fillId="0" borderId="55" xfId="10" applyNumberFormat="1" applyFont="1" applyFill="1" applyBorder="1" applyAlignment="1">
      <alignment horizontal="center"/>
    </xf>
    <xf numFmtId="10" fontId="5" fillId="0" borderId="29" xfId="10" applyNumberFormat="1" applyFont="1" applyFill="1" applyBorder="1"/>
    <xf numFmtId="0" fontId="5" fillId="0" borderId="55" xfId="0" applyFont="1" applyFill="1" applyBorder="1" applyAlignment="1">
      <alignment horizontal="center"/>
    </xf>
    <xf numFmtId="41" fontId="5" fillId="0" borderId="55" xfId="0" applyNumberFormat="1" applyFont="1" applyFill="1" applyBorder="1"/>
    <xf numFmtId="42" fontId="5" fillId="0" borderId="29" xfId="0" applyNumberFormat="1" applyFont="1" applyFill="1" applyBorder="1"/>
    <xf numFmtId="10" fontId="5" fillId="0" borderId="29" xfId="10" applyNumberFormat="1" applyFont="1" applyFill="1" applyBorder="1" applyAlignment="1">
      <alignment horizontal="center"/>
    </xf>
    <xf numFmtId="0" fontId="5" fillId="0" borderId="78" xfId="0" applyFont="1" applyFill="1" applyBorder="1"/>
    <xf numFmtId="0" fontId="5" fillId="0" borderId="79" xfId="0" applyFont="1" applyFill="1" applyBorder="1"/>
    <xf numFmtId="0" fontId="5" fillId="0" borderId="80" xfId="0" applyFont="1" applyFill="1" applyBorder="1" applyAlignment="1">
      <alignment horizontal="right"/>
    </xf>
    <xf numFmtId="0" fontId="5" fillId="0" borderId="80" xfId="0" applyFont="1" applyFill="1" applyBorder="1"/>
    <xf numFmtId="41" fontId="5" fillId="0" borderId="78" xfId="0" applyNumberFormat="1" applyFont="1" applyFill="1" applyBorder="1"/>
    <xf numFmtId="42" fontId="5" fillId="0" borderId="80" xfId="0" applyNumberFormat="1" applyFont="1" applyFill="1" applyBorder="1"/>
    <xf numFmtId="42" fontId="5" fillId="0" borderId="79" xfId="0" applyNumberFormat="1" applyFont="1" applyFill="1" applyBorder="1"/>
    <xf numFmtId="0" fontId="5" fillId="0" borderId="81" xfId="0" applyFont="1" applyFill="1" applyBorder="1"/>
    <xf numFmtId="0" fontId="5" fillId="0" borderId="42" xfId="0" applyFont="1" applyFill="1" applyBorder="1"/>
    <xf numFmtId="0" fontId="5" fillId="2" borderId="0" xfId="0" applyFont="1" applyFill="1" applyBorder="1"/>
    <xf numFmtId="0" fontId="5" fillId="2" borderId="44" xfId="0" applyFont="1" applyFill="1" applyBorder="1"/>
    <xf numFmtId="0" fontId="0" fillId="0" borderId="51" xfId="0" applyFill="1" applyBorder="1" applyAlignment="1">
      <alignment vertical="top"/>
    </xf>
    <xf numFmtId="0" fontId="0" fillId="0" borderId="52" xfId="0" applyFill="1" applyBorder="1" applyAlignment="1">
      <alignment wrapText="1"/>
    </xf>
    <xf numFmtId="0" fontId="0" fillId="0" borderId="52" xfId="0" applyFill="1" applyBorder="1"/>
    <xf numFmtId="0" fontId="0" fillId="0" borderId="54" xfId="0" applyFill="1" applyBorder="1"/>
    <xf numFmtId="0" fontId="0" fillId="0" borderId="22" xfId="0" applyFill="1" applyBorder="1"/>
    <xf numFmtId="0" fontId="1" fillId="0" borderId="0" xfId="0" applyFont="1" applyFill="1" applyBorder="1" applyAlignment="1">
      <alignment horizontal="right"/>
    </xf>
    <xf numFmtId="0" fontId="0" fillId="0" borderId="82" xfId="0" applyFill="1" applyBorder="1" applyAlignment="1">
      <alignment horizontal="right"/>
    </xf>
    <xf numFmtId="0" fontId="0" fillId="0" borderId="22"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wrapText="1"/>
    </xf>
    <xf numFmtId="14" fontId="0" fillId="0" borderId="83" xfId="0" applyNumberFormat="1" applyFill="1" applyBorder="1" applyAlignment="1">
      <alignment horizontal="right"/>
    </xf>
    <xf numFmtId="0" fontId="0" fillId="0" borderId="0" xfId="0" applyFill="1" applyBorder="1" applyAlignment="1">
      <alignment horizontal="left"/>
    </xf>
    <xf numFmtId="0" fontId="8" fillId="0" borderId="0" xfId="0" applyFont="1" applyFill="1" applyBorder="1" applyAlignment="1">
      <alignment horizontal="right"/>
    </xf>
    <xf numFmtId="171" fontId="0" fillId="0" borderId="83" xfId="1" applyNumberFormat="1" applyFont="1" applyFill="1" applyBorder="1" applyAlignment="1">
      <alignment horizontal="right"/>
    </xf>
    <xf numFmtId="0" fontId="0" fillId="0" borderId="1" xfId="0" applyFill="1" applyBorder="1"/>
    <xf numFmtId="0" fontId="0" fillId="0" borderId="56" xfId="0" applyFill="1" applyBorder="1"/>
    <xf numFmtId="0" fontId="6" fillId="0" borderId="1" xfId="0" applyFont="1" applyFill="1" applyBorder="1" applyAlignment="1">
      <alignment horizontal="right"/>
    </xf>
    <xf numFmtId="0" fontId="6" fillId="0" borderId="84" xfId="0" quotePrefix="1" applyFont="1" applyFill="1" applyBorder="1" applyAlignment="1">
      <alignment horizontal="center"/>
    </xf>
    <xf numFmtId="0" fontId="0" fillId="0" borderId="41" xfId="0" applyFill="1" applyBorder="1"/>
    <xf numFmtId="0" fontId="8" fillId="0" borderId="22" xfId="0" applyFont="1" applyFill="1" applyBorder="1"/>
    <xf numFmtId="0" fontId="8" fillId="0" borderId="0" xfId="0" applyFont="1" applyFill="1" applyBorder="1" applyAlignment="1">
      <alignment horizontal="left"/>
    </xf>
    <xf numFmtId="0" fontId="8" fillId="0" borderId="41" xfId="0" applyFont="1" applyFill="1" applyBorder="1" applyAlignment="1">
      <alignment horizontal="right"/>
    </xf>
    <xf numFmtId="0" fontId="1" fillId="0" borderId="0" xfId="0" applyFont="1" applyFill="1" applyAlignment="1">
      <alignment horizontal="center"/>
    </xf>
    <xf numFmtId="0" fontId="8" fillId="0" borderId="85" xfId="0" applyFont="1" applyFill="1" applyBorder="1"/>
    <xf numFmtId="0" fontId="0" fillId="0" borderId="86" xfId="0" applyFill="1" applyBorder="1"/>
    <xf numFmtId="0" fontId="0" fillId="0" borderId="87" xfId="0" applyFill="1" applyBorder="1"/>
    <xf numFmtId="173" fontId="0" fillId="0" borderId="22" xfId="1" applyNumberFormat="1" applyFont="1" applyFill="1" applyBorder="1"/>
    <xf numFmtId="173" fontId="0" fillId="0" borderId="0" xfId="1" applyNumberFormat="1" applyFont="1" applyFill="1" applyBorder="1"/>
    <xf numFmtId="41" fontId="0" fillId="0" borderId="0" xfId="0" applyNumberFormat="1" applyFill="1" applyBorder="1"/>
    <xf numFmtId="42" fontId="0" fillId="0" borderId="41" xfId="0" applyNumberFormat="1" applyFill="1" applyBorder="1"/>
    <xf numFmtId="173" fontId="0" fillId="0" borderId="13" xfId="1" applyNumberFormat="1" applyFont="1" applyFill="1" applyBorder="1"/>
    <xf numFmtId="173" fontId="0" fillId="0" borderId="44" xfId="1" applyNumberFormat="1" applyFont="1" applyFill="1" applyBorder="1"/>
    <xf numFmtId="0" fontId="0" fillId="0" borderId="44" xfId="0" applyFill="1" applyBorder="1"/>
    <xf numFmtId="44" fontId="0" fillId="0" borderId="44" xfId="0" applyNumberFormat="1" applyFill="1" applyBorder="1"/>
    <xf numFmtId="41" fontId="0" fillId="0" borderId="44" xfId="0" applyNumberFormat="1" applyFill="1" applyBorder="1"/>
    <xf numFmtId="42" fontId="0" fillId="0" borderId="88" xfId="0" applyNumberFormat="1" applyFill="1" applyBorder="1"/>
    <xf numFmtId="0" fontId="0" fillId="0" borderId="13" xfId="0" applyFill="1" applyBorder="1"/>
    <xf numFmtId="0" fontId="6" fillId="0" borderId="22" xfId="0" applyFont="1" applyFill="1" applyBorder="1"/>
    <xf numFmtId="0" fontId="0" fillId="0" borderId="0" xfId="0" applyFill="1" applyBorder="1" applyAlignment="1">
      <alignment horizontal="right"/>
    </xf>
    <xf numFmtId="42" fontId="0" fillId="0" borderId="0" xfId="0" applyNumberFormat="1" applyFill="1" applyBorder="1"/>
    <xf numFmtId="42" fontId="0" fillId="0" borderId="44" xfId="0" applyNumberFormat="1" applyFill="1" applyBorder="1"/>
    <xf numFmtId="0" fontId="1" fillId="0" borderId="0" xfId="0" applyFont="1" applyFill="1" applyBorder="1" applyAlignment="1">
      <alignment horizontal="center"/>
    </xf>
    <xf numFmtId="0" fontId="6" fillId="0" borderId="89" xfId="0" applyFont="1" applyFill="1" applyBorder="1"/>
    <xf numFmtId="0" fontId="0" fillId="0" borderId="79" xfId="0" applyFill="1" applyBorder="1"/>
    <xf numFmtId="41" fontId="0" fillId="0" borderId="79" xfId="0" applyNumberFormat="1" applyFill="1" applyBorder="1"/>
    <xf numFmtId="42" fontId="0" fillId="0" borderId="90" xfId="0" applyNumberFormat="1" applyFill="1" applyBorder="1"/>
    <xf numFmtId="169" fontId="0" fillId="0" borderId="41" xfId="3" applyNumberFormat="1" applyFont="1" applyFill="1" applyBorder="1"/>
    <xf numFmtId="0" fontId="0" fillId="0" borderId="22" xfId="0" applyFill="1" applyBorder="1" applyAlignment="1">
      <alignment horizontal="left" indent="2"/>
    </xf>
    <xf numFmtId="9" fontId="0" fillId="0" borderId="0" xfId="10" applyFont="1" applyFill="1" applyBorder="1"/>
    <xf numFmtId="42" fontId="0" fillId="0" borderId="41" xfId="0" applyNumberFormat="1" applyFill="1" applyBorder="1" applyAlignment="1">
      <alignment horizontal="left"/>
    </xf>
    <xf numFmtId="0" fontId="0" fillId="0" borderId="13" xfId="0" applyFill="1" applyBorder="1" applyAlignment="1">
      <alignment horizontal="left" indent="2"/>
    </xf>
    <xf numFmtId="0" fontId="0" fillId="0" borderId="22" xfId="0" applyFill="1" applyBorder="1" applyAlignment="1">
      <alignment horizontal="left"/>
    </xf>
    <xf numFmtId="0" fontId="6" fillId="0" borderId="22" xfId="0" applyFont="1" applyFill="1" applyBorder="1" applyAlignment="1">
      <alignment horizontal="left"/>
    </xf>
    <xf numFmtId="169" fontId="0" fillId="0" borderId="88" xfId="3" applyNumberFormat="1" applyFont="1" applyFill="1" applyBorder="1"/>
    <xf numFmtId="0" fontId="0" fillId="0" borderId="13" xfId="0" applyFill="1" applyBorder="1" applyAlignment="1">
      <alignment horizontal="left"/>
    </xf>
    <xf numFmtId="0" fontId="6" fillId="0" borderId="56" xfId="0" applyFont="1" applyFill="1" applyBorder="1"/>
    <xf numFmtId="0" fontId="0" fillId="0" borderId="52" xfId="0" applyFill="1" applyBorder="1" applyAlignment="1"/>
    <xf numFmtId="173" fontId="0" fillId="0" borderId="52" xfId="1" applyNumberFormat="1" applyFont="1" applyFill="1" applyBorder="1"/>
    <xf numFmtId="169" fontId="0" fillId="0" borderId="52" xfId="3" applyNumberFormat="1" applyFont="1" applyFill="1" applyBorder="1"/>
    <xf numFmtId="169" fontId="0" fillId="0" borderId="54" xfId="3" applyNumberFormat="1" applyFont="1" applyFill="1" applyBorder="1"/>
    <xf numFmtId="169" fontId="0" fillId="0" borderId="0" xfId="3" applyNumberFormat="1" applyFont="1" applyFill="1" applyBorder="1"/>
    <xf numFmtId="0" fontId="0" fillId="0" borderId="0" xfId="0" applyFill="1" applyBorder="1" applyAlignment="1">
      <alignment horizontal="left" vertical="center"/>
    </xf>
    <xf numFmtId="173" fontId="0" fillId="0" borderId="1" xfId="1" applyNumberFormat="1" applyFont="1" applyFill="1" applyBorder="1"/>
    <xf numFmtId="169" fontId="0" fillId="0" borderId="1" xfId="3" applyNumberFormat="1" applyFont="1" applyFill="1" applyBorder="1"/>
    <xf numFmtId="169" fontId="0" fillId="0" borderId="58" xfId="3" applyNumberFormat="1" applyFont="1" applyFill="1" applyBorder="1"/>
    <xf numFmtId="0" fontId="0" fillId="0" borderId="1" xfId="0" applyFill="1" applyBorder="1" applyAlignment="1">
      <alignment horizontal="center"/>
    </xf>
    <xf numFmtId="0" fontId="0" fillId="0" borderId="2" xfId="0" applyFill="1" applyBorder="1"/>
    <xf numFmtId="0" fontId="0" fillId="0" borderId="21" xfId="0" applyFill="1" applyBorder="1"/>
    <xf numFmtId="10" fontId="0" fillId="0" borderId="2" xfId="10" applyNumberFormat="1" applyFont="1" applyFill="1" applyBorder="1" applyAlignment="1">
      <alignment horizontal="left"/>
    </xf>
    <xf numFmtId="0" fontId="1" fillId="0" borderId="19" xfId="0" applyFont="1" applyFill="1" applyBorder="1"/>
    <xf numFmtId="176" fontId="1" fillId="0" borderId="23" xfId="0" applyNumberFormat="1" applyFont="1" applyFill="1" applyBorder="1" applyAlignment="1">
      <alignment horizontal="left"/>
    </xf>
    <xf numFmtId="173" fontId="1" fillId="0" borderId="0" xfId="1" applyNumberFormat="1" applyFont="1" applyFill="1" applyBorder="1"/>
    <xf numFmtId="169" fontId="1" fillId="0" borderId="0" xfId="3" applyNumberFormat="1" applyFont="1" applyFill="1" applyBorder="1"/>
    <xf numFmtId="173" fontId="19" fillId="0" borderId="0" xfId="1" applyNumberFormat="1" applyFont="1" applyFill="1" applyBorder="1"/>
    <xf numFmtId="173" fontId="19" fillId="0" borderId="0" xfId="1" applyNumberFormat="1" applyFont="1" applyFill="1" applyBorder="1" applyAlignment="1">
      <alignment horizontal="center"/>
    </xf>
    <xf numFmtId="173" fontId="19" fillId="0" borderId="41" xfId="1" applyNumberFormat="1" applyFont="1" applyFill="1" applyBorder="1" applyAlignment="1">
      <alignment horizontal="center"/>
    </xf>
    <xf numFmtId="0" fontId="0" fillId="0" borderId="16" xfId="0" applyFill="1" applyBorder="1"/>
    <xf numFmtId="0" fontId="0" fillId="0" borderId="75" xfId="0" applyFill="1" applyBorder="1"/>
    <xf numFmtId="0" fontId="0" fillId="0" borderId="91" xfId="0" applyFill="1" applyBorder="1"/>
    <xf numFmtId="0" fontId="16" fillId="0" borderId="0" xfId="0" applyFont="1" applyFill="1" applyAlignment="1">
      <alignment horizontal="center"/>
    </xf>
    <xf numFmtId="0" fontId="0" fillId="0" borderId="29" xfId="0" applyFill="1" applyBorder="1"/>
    <xf numFmtId="0" fontId="0" fillId="0" borderId="92" xfId="0" applyFill="1" applyBorder="1" applyAlignment="1">
      <alignment horizontal="center"/>
    </xf>
    <xf numFmtId="0" fontId="0" fillId="0" borderId="91" xfId="0" applyFill="1" applyBorder="1" applyAlignment="1">
      <alignment horizontal="center"/>
    </xf>
    <xf numFmtId="0" fontId="8" fillId="0" borderId="29" xfId="0" applyFont="1" applyFill="1" applyBorder="1" applyAlignment="1">
      <alignment horizontal="right"/>
    </xf>
    <xf numFmtId="173" fontId="8" fillId="0" borderId="92" xfId="1" applyNumberFormat="1" applyFont="1" applyFill="1" applyBorder="1" applyAlignment="1">
      <alignment horizontal="left"/>
    </xf>
    <xf numFmtId="169" fontId="8" fillId="0" borderId="91" xfId="3" applyNumberFormat="1" applyFont="1" applyFill="1" applyBorder="1" applyAlignment="1">
      <alignment horizontal="left"/>
    </xf>
    <xf numFmtId="169" fontId="8" fillId="0" borderId="76" xfId="3" applyNumberFormat="1" applyFont="1" applyFill="1" applyBorder="1" applyAlignment="1">
      <alignment horizontal="left"/>
    </xf>
    <xf numFmtId="173" fontId="0" fillId="0" borderId="55" xfId="1" applyNumberFormat="1" applyFont="1" applyFill="1" applyBorder="1"/>
    <xf numFmtId="169" fontId="0" fillId="0" borderId="29" xfId="3" applyNumberFormat="1" applyFont="1" applyFill="1" applyBorder="1"/>
    <xf numFmtId="44" fontId="0" fillId="0" borderId="22" xfId="0" applyNumberFormat="1" applyFill="1" applyBorder="1"/>
    <xf numFmtId="44" fontId="0" fillId="0" borderId="29" xfId="0" applyNumberFormat="1" applyFill="1" applyBorder="1"/>
    <xf numFmtId="0" fontId="6" fillId="0" borderId="75" xfId="0" applyFont="1" applyFill="1" applyBorder="1" applyAlignment="1">
      <alignment horizontal="center"/>
    </xf>
    <xf numFmtId="44" fontId="0" fillId="0" borderId="75" xfId="0" applyNumberFormat="1" applyFill="1" applyBorder="1"/>
    <xf numFmtId="10" fontId="1" fillId="0" borderId="91" xfId="10" applyNumberFormat="1" applyFill="1" applyBorder="1"/>
    <xf numFmtId="173" fontId="0" fillId="0" borderId="92" xfId="1" applyNumberFormat="1" applyFont="1" applyFill="1" applyBorder="1"/>
    <xf numFmtId="169" fontId="0" fillId="0" borderId="91" xfId="3" applyNumberFormat="1" applyFont="1" applyFill="1" applyBorder="1"/>
    <xf numFmtId="169" fontId="0" fillId="0" borderId="76" xfId="3" applyNumberFormat="1" applyFont="1" applyFill="1" applyBorder="1"/>
    <xf numFmtId="10" fontId="1" fillId="0" borderId="42" xfId="10" applyNumberFormat="1" applyFill="1" applyBorder="1"/>
    <xf numFmtId="173" fontId="0" fillId="0" borderId="81" xfId="1" applyNumberFormat="1" applyFont="1" applyFill="1" applyBorder="1"/>
    <xf numFmtId="169" fontId="0" fillId="0" borderId="42" xfId="3" applyNumberFormat="1" applyFont="1" applyFill="1" applyBorder="1"/>
    <xf numFmtId="0" fontId="16" fillId="0" borderId="44" xfId="0" applyFont="1" applyFill="1" applyBorder="1" applyAlignment="1">
      <alignment horizontal="center"/>
    </xf>
    <xf numFmtId="10" fontId="1" fillId="0" borderId="29" xfId="10" applyNumberFormat="1" applyFill="1" applyBorder="1"/>
    <xf numFmtId="173" fontId="8" fillId="0" borderId="55" xfId="1" applyNumberFormat="1" applyFont="1" applyFill="1" applyBorder="1"/>
    <xf numFmtId="169" fontId="0" fillId="0" borderId="55" xfId="3" applyNumberFormat="1" applyFont="1" applyFill="1" applyBorder="1"/>
    <xf numFmtId="169" fontId="0" fillId="0" borderId="23" xfId="3" applyNumberFormat="1" applyFont="1" applyFill="1" applyBorder="1"/>
    <xf numFmtId="169" fontId="0" fillId="0" borderId="81" xfId="3" applyNumberFormat="1" applyFont="1" applyFill="1" applyBorder="1"/>
    <xf numFmtId="169" fontId="0" fillId="0" borderId="93" xfId="3" applyNumberFormat="1" applyFont="1" applyFill="1" applyBorder="1"/>
    <xf numFmtId="0" fontId="0" fillId="0" borderId="80" xfId="0" applyFill="1" applyBorder="1"/>
    <xf numFmtId="169" fontId="0" fillId="0" borderId="78" xfId="3" applyNumberFormat="1" applyFont="1" applyFill="1" applyBorder="1"/>
    <xf numFmtId="169" fontId="0" fillId="0" borderId="80" xfId="3" applyNumberFormat="1" applyFont="1" applyFill="1" applyBorder="1"/>
    <xf numFmtId="169" fontId="0" fillId="0" borderId="90" xfId="3" applyNumberFormat="1" applyFont="1" applyFill="1" applyBorder="1"/>
    <xf numFmtId="0" fontId="16" fillId="0" borderId="79" xfId="0" applyFont="1" applyFill="1" applyBorder="1" applyAlignment="1">
      <alignment horizontal="center"/>
    </xf>
    <xf numFmtId="0" fontId="0" fillId="0" borderId="42" xfId="0" applyFill="1" applyBorder="1"/>
    <xf numFmtId="10" fontId="0" fillId="0" borderId="55" xfId="10" applyNumberFormat="1" applyFont="1" applyFill="1" applyBorder="1"/>
    <xf numFmtId="10" fontId="0" fillId="0" borderId="81" xfId="10" applyNumberFormat="1" applyFont="1" applyFill="1" applyBorder="1"/>
    <xf numFmtId="169" fontId="0" fillId="0" borderId="8" xfId="3" applyNumberFormat="1" applyFont="1" applyFill="1" applyBorder="1"/>
    <xf numFmtId="10" fontId="0" fillId="0" borderId="93" xfId="10" applyNumberFormat="1" applyFont="1" applyFill="1" applyBorder="1" applyAlignment="1">
      <alignment horizontal="center"/>
    </xf>
    <xf numFmtId="0" fontId="0" fillId="0" borderId="94" xfId="0" applyFill="1" applyBorder="1"/>
    <xf numFmtId="169" fontId="0" fillId="0" borderId="57" xfId="3" applyNumberFormat="1" applyFont="1" applyFill="1" applyBorder="1"/>
    <xf numFmtId="169" fontId="0" fillId="0" borderId="94" xfId="3" applyNumberFormat="1" applyFont="1" applyFill="1" applyBorder="1"/>
    <xf numFmtId="173" fontId="0" fillId="0" borderId="57" xfId="1" applyNumberFormat="1" applyFont="1" applyFill="1" applyBorder="1"/>
    <xf numFmtId="173" fontId="0" fillId="0" borderId="0" xfId="1" applyNumberFormat="1" applyFont="1" applyFill="1"/>
    <xf numFmtId="169" fontId="0" fillId="0" borderId="0" xfId="3" applyNumberFormat="1" applyFont="1" applyFill="1"/>
    <xf numFmtId="44" fontId="1" fillId="0" borderId="0" xfId="3" applyFill="1"/>
    <xf numFmtId="3" fontId="1" fillId="0" borderId="0" xfId="3" applyNumberFormat="1" applyFill="1" applyAlignment="1">
      <alignment horizontal="center"/>
    </xf>
    <xf numFmtId="44" fontId="1" fillId="0" borderId="1" xfId="3" applyFill="1" applyBorder="1"/>
    <xf numFmtId="3" fontId="1" fillId="0" borderId="1" xfId="3" applyNumberFormat="1" applyFill="1" applyBorder="1" applyAlignment="1">
      <alignment horizontal="center"/>
    </xf>
    <xf numFmtId="0" fontId="19" fillId="0" borderId="1" xfId="0" applyFont="1" applyFill="1" applyBorder="1"/>
    <xf numFmtId="0" fontId="19" fillId="0" borderId="0" xfId="0" applyFont="1" applyFill="1"/>
    <xf numFmtId="0" fontId="46" fillId="0" borderId="0" xfId="7" applyFont="1" applyFill="1" applyAlignment="1" applyProtection="1"/>
    <xf numFmtId="0" fontId="45" fillId="0" borderId="0" xfId="7" applyFont="1" applyFill="1" applyAlignment="1" applyProtection="1"/>
    <xf numFmtId="44" fontId="1" fillId="0" borderId="0" xfId="3" applyFont="1" applyFill="1" applyAlignment="1"/>
    <xf numFmtId="3" fontId="1" fillId="0" borderId="0" xfId="3" applyNumberFormat="1" applyFont="1" applyFill="1" applyAlignment="1">
      <alignment horizontal="center"/>
    </xf>
    <xf numFmtId="0" fontId="43" fillId="0" borderId="0" xfId="0" applyFont="1" applyFill="1" applyAlignment="1">
      <alignment horizontal="center"/>
    </xf>
    <xf numFmtId="0" fontId="34" fillId="0" borderId="0" xfId="0" applyFont="1" applyFill="1" applyAlignment="1">
      <alignment horizontal="center"/>
    </xf>
    <xf numFmtId="49" fontId="6" fillId="0" borderId="0" xfId="0" applyNumberFormat="1" applyFont="1" applyFill="1" applyAlignment="1">
      <alignment horizontal="center"/>
    </xf>
    <xf numFmtId="49" fontId="6" fillId="0" borderId="0" xfId="0" applyNumberFormat="1" applyFont="1" applyFill="1" applyAlignment="1">
      <alignment horizontal="left"/>
    </xf>
    <xf numFmtId="44" fontId="6" fillId="0" borderId="0" xfId="3" applyFont="1" applyFill="1" applyAlignment="1">
      <alignment horizontal="center"/>
    </xf>
    <xf numFmtId="3" fontId="6" fillId="0" borderId="0" xfId="3" applyNumberFormat="1" applyFont="1" applyFill="1" applyAlignment="1">
      <alignment horizontal="center"/>
    </xf>
    <xf numFmtId="0" fontId="5" fillId="0" borderId="30" xfId="0" applyNumberFormat="1" applyFont="1" applyFill="1" applyBorder="1" applyAlignment="1">
      <alignment horizontal="center"/>
    </xf>
    <xf numFmtId="0" fontId="5" fillId="0" borderId="43" xfId="0" applyNumberFormat="1" applyFont="1" applyFill="1" applyBorder="1" applyAlignment="1">
      <alignment horizontal="center"/>
    </xf>
    <xf numFmtId="0" fontId="5" fillId="0" borderId="31" xfId="0" applyNumberFormat="1" applyFont="1" applyFill="1" applyBorder="1" applyAlignment="1">
      <alignment horizontal="center"/>
    </xf>
    <xf numFmtId="49" fontId="32" fillId="0" borderId="0" xfId="0" applyNumberFormat="1" applyFont="1" applyFill="1" applyAlignment="1">
      <alignment horizontal="center"/>
    </xf>
    <xf numFmtId="0" fontId="42" fillId="0" borderId="12" xfId="0" applyFont="1" applyFill="1" applyBorder="1"/>
    <xf numFmtId="0" fontId="42" fillId="0" borderId="43" xfId="0" applyFont="1" applyFill="1" applyBorder="1"/>
    <xf numFmtId="44" fontId="42" fillId="0" borderId="48" xfId="3" applyFont="1" applyFill="1" applyBorder="1"/>
    <xf numFmtId="3" fontId="6" fillId="0" borderId="48" xfId="3" applyNumberFormat="1" applyFont="1" applyFill="1" applyBorder="1" applyAlignment="1">
      <alignment horizontal="center" wrapText="1"/>
    </xf>
    <xf numFmtId="0" fontId="5" fillId="0" borderId="30" xfId="0" applyNumberFormat="1" applyFont="1" applyFill="1" applyBorder="1" applyAlignment="1">
      <alignment horizontal="center" wrapText="1"/>
    </xf>
    <xf numFmtId="0" fontId="5" fillId="0" borderId="43" xfId="0" applyNumberFormat="1" applyFont="1" applyFill="1" applyBorder="1" applyAlignment="1">
      <alignment horizontal="center" wrapText="1"/>
    </xf>
    <xf numFmtId="0" fontId="5" fillId="0" borderId="31" xfId="0" applyNumberFormat="1" applyFont="1" applyFill="1" applyBorder="1" applyAlignment="1">
      <alignment horizontal="center" wrapText="1"/>
    </xf>
    <xf numFmtId="0" fontId="35" fillId="0" borderId="0" xfId="0" applyFont="1" applyFill="1" applyAlignment="1">
      <alignment horizontal="center"/>
    </xf>
    <xf numFmtId="0" fontId="10" fillId="0" borderId="0" xfId="0" applyFont="1" applyFill="1"/>
    <xf numFmtId="0" fontId="10" fillId="0" borderId="22" xfId="0" applyFont="1" applyFill="1" applyBorder="1"/>
    <xf numFmtId="0" fontId="10" fillId="0" borderId="8" xfId="0" applyFont="1" applyFill="1" applyBorder="1" applyAlignment="1">
      <alignment horizontal="center"/>
    </xf>
    <xf numFmtId="44" fontId="10" fillId="0" borderId="55" xfId="3" applyFont="1" applyFill="1" applyBorder="1" applyAlignment="1">
      <alignment horizontal="center"/>
    </xf>
    <xf numFmtId="3" fontId="10" fillId="0" borderId="55" xfId="3" applyNumberFormat="1" applyFont="1" applyFill="1" applyBorder="1" applyAlignment="1">
      <alignment horizontal="center"/>
    </xf>
    <xf numFmtId="0" fontId="10" fillId="0" borderId="18" xfId="0" applyFont="1" applyFill="1" applyBorder="1" applyAlignment="1">
      <alignment horizontal="center"/>
    </xf>
    <xf numFmtId="0" fontId="10" fillId="0" borderId="24" xfId="0" applyFont="1" applyFill="1" applyBorder="1" applyAlignment="1">
      <alignment horizontal="center"/>
    </xf>
    <xf numFmtId="0" fontId="8" fillId="0" borderId="8" xfId="0" applyFont="1" applyFill="1" applyBorder="1"/>
    <xf numFmtId="44" fontId="8" fillId="0" borderId="55" xfId="3" applyFont="1" applyFill="1" applyBorder="1"/>
    <xf numFmtId="3" fontId="8" fillId="0" borderId="55" xfId="3" applyNumberFormat="1" applyFont="1" applyFill="1" applyBorder="1" applyAlignment="1">
      <alignment horizontal="center"/>
    </xf>
    <xf numFmtId="0" fontId="8" fillId="0" borderId="18" xfId="0" applyFont="1" applyFill="1" applyBorder="1"/>
    <xf numFmtId="0" fontId="8" fillId="0" borderId="24" xfId="0" applyFont="1" applyFill="1" applyBorder="1"/>
    <xf numFmtId="173" fontId="1" fillId="0" borderId="92" xfId="1" applyNumberFormat="1" applyFill="1" applyBorder="1" applyAlignment="1">
      <alignment horizontal="center"/>
    </xf>
    <xf numFmtId="173" fontId="1" fillId="0" borderId="55" xfId="1" applyNumberFormat="1" applyFill="1" applyBorder="1" applyAlignment="1">
      <alignment horizontal="center"/>
    </xf>
    <xf numFmtId="0" fontId="6" fillId="0" borderId="0" xfId="0" applyFont="1" applyFill="1"/>
    <xf numFmtId="0" fontId="6" fillId="0" borderId="95" xfId="0" applyFont="1" applyFill="1" applyBorder="1"/>
    <xf numFmtId="0" fontId="6" fillId="0" borderId="96" xfId="0" applyFont="1" applyFill="1" applyBorder="1"/>
    <xf numFmtId="44" fontId="6" fillId="0" borderId="97" xfId="3" applyFont="1" applyFill="1" applyBorder="1"/>
    <xf numFmtId="173" fontId="6" fillId="0" borderId="97" xfId="1" applyNumberFormat="1" applyFont="1" applyFill="1" applyBorder="1" applyAlignment="1">
      <alignment horizontal="center"/>
    </xf>
    <xf numFmtId="173" fontId="6" fillId="0" borderId="98" xfId="1" applyNumberFormat="1" applyFont="1" applyFill="1" applyBorder="1" applyAlignment="1">
      <alignment horizontal="center"/>
    </xf>
    <xf numFmtId="173" fontId="6" fillId="0" borderId="96" xfId="1" applyNumberFormat="1" applyFont="1" applyFill="1" applyBorder="1" applyAlignment="1">
      <alignment horizontal="center"/>
    </xf>
    <xf numFmtId="173" fontId="6" fillId="0" borderId="99" xfId="1" applyNumberFormat="1" applyFont="1" applyFill="1" applyBorder="1" applyAlignment="1">
      <alignment horizontal="center"/>
    </xf>
    <xf numFmtId="0" fontId="0" fillId="0" borderId="20" xfId="0" applyFill="1" applyBorder="1"/>
    <xf numFmtId="0" fontId="0" fillId="0" borderId="3" xfId="0" applyFill="1" applyBorder="1"/>
    <xf numFmtId="44" fontId="1" fillId="0" borderId="3" xfId="3" applyFill="1" applyBorder="1"/>
    <xf numFmtId="3" fontId="1" fillId="0" borderId="3" xfId="3" applyNumberFormat="1" applyFill="1" applyBorder="1" applyAlignment="1">
      <alignment horizontal="center"/>
    </xf>
    <xf numFmtId="0" fontId="0" fillId="0" borderId="15" xfId="0" applyFill="1" applyBorder="1"/>
    <xf numFmtId="0" fontId="0" fillId="0" borderId="23" xfId="0" applyFill="1" applyBorder="1"/>
    <xf numFmtId="44" fontId="1" fillId="0" borderId="55" xfId="3" applyFill="1" applyBorder="1"/>
    <xf numFmtId="169" fontId="1" fillId="0" borderId="55" xfId="3" applyNumberFormat="1" applyFill="1" applyBorder="1" applyAlignment="1">
      <alignment horizontal="center"/>
    </xf>
    <xf numFmtId="0" fontId="0" fillId="0" borderId="8" xfId="0" applyFill="1" applyBorder="1"/>
    <xf numFmtId="169" fontId="1" fillId="0" borderId="97" xfId="3" applyNumberFormat="1" applyFill="1" applyBorder="1" applyAlignment="1">
      <alignment horizontal="center"/>
    </xf>
    <xf numFmtId="169" fontId="6" fillId="0" borderId="98" xfId="3" applyNumberFormat="1" applyFont="1" applyFill="1" applyBorder="1" applyAlignment="1">
      <alignment horizontal="center"/>
    </xf>
    <xf numFmtId="169" fontId="6" fillId="0" borderId="96" xfId="3" applyNumberFormat="1" applyFont="1" applyFill="1" applyBorder="1" applyAlignment="1">
      <alignment horizontal="center"/>
    </xf>
    <xf numFmtId="169" fontId="6" fillId="0" borderId="99" xfId="3" applyNumberFormat="1" applyFont="1" applyFill="1" applyBorder="1" applyAlignment="1">
      <alignment horizontal="center"/>
    </xf>
    <xf numFmtId="169" fontId="1" fillId="0" borderId="3" xfId="3" applyNumberFormat="1" applyFill="1" applyBorder="1" applyAlignment="1">
      <alignment horizontal="center"/>
    </xf>
    <xf numFmtId="169" fontId="1" fillId="0" borderId="18" xfId="3" applyNumberFormat="1" applyFill="1" applyBorder="1"/>
    <xf numFmtId="169" fontId="1" fillId="0" borderId="8" xfId="3" applyNumberFormat="1" applyFill="1" applyBorder="1"/>
    <xf numFmtId="169" fontId="1" fillId="0" borderId="24" xfId="3" applyNumberFormat="1" applyFill="1" applyBorder="1"/>
    <xf numFmtId="44" fontId="1" fillId="0" borderId="92" xfId="3" applyFill="1" applyBorder="1"/>
    <xf numFmtId="169" fontId="1" fillId="0" borderId="92" xfId="3" applyNumberFormat="1" applyFill="1" applyBorder="1" applyAlignment="1">
      <alignment horizontal="center"/>
    </xf>
    <xf numFmtId="3" fontId="1" fillId="0" borderId="0" xfId="3" applyNumberFormat="1" applyFill="1" applyBorder="1" applyAlignment="1">
      <alignment horizontal="center"/>
    </xf>
    <xf numFmtId="0" fontId="6" fillId="0" borderId="100" xfId="0" applyFont="1" applyFill="1" applyBorder="1"/>
    <xf numFmtId="0" fontId="6" fillId="0" borderId="101" xfId="0" applyFont="1" applyFill="1" applyBorder="1"/>
    <xf numFmtId="44" fontId="6" fillId="0" borderId="102" xfId="3" applyFont="1" applyFill="1" applyBorder="1"/>
    <xf numFmtId="169" fontId="1" fillId="0" borderId="102" xfId="3" applyNumberFormat="1" applyFill="1" applyBorder="1" applyAlignment="1">
      <alignment horizontal="center"/>
    </xf>
    <xf numFmtId="169" fontId="6" fillId="0" borderId="103" xfId="3" applyNumberFormat="1" applyFont="1" applyFill="1" applyBorder="1" applyAlignment="1">
      <alignment horizontal="center"/>
    </xf>
    <xf numFmtId="169" fontId="6" fillId="0" borderId="101" xfId="3" applyNumberFormat="1" applyFont="1" applyFill="1" applyBorder="1" applyAlignment="1">
      <alignment horizontal="center"/>
    </xf>
    <xf numFmtId="169" fontId="6" fillId="0" borderId="104" xfId="3" applyNumberFormat="1" applyFont="1" applyFill="1" applyBorder="1" applyAlignment="1">
      <alignment horizontal="center"/>
    </xf>
    <xf numFmtId="0" fontId="47" fillId="0" borderId="0" xfId="7" applyFont="1" applyFill="1" applyAlignment="1" applyProtection="1"/>
    <xf numFmtId="0" fontId="44" fillId="0" borderId="0" xfId="7" applyFont="1" applyFill="1" applyAlignment="1" applyProtection="1"/>
    <xf numFmtId="0" fontId="0" fillId="0" borderId="0" xfId="0" applyFill="1" applyAlignment="1">
      <alignment wrapText="1"/>
    </xf>
    <xf numFmtId="0" fontId="1" fillId="0" borderId="0" xfId="0" applyFont="1" applyFill="1" applyAlignment="1"/>
    <xf numFmtId="0" fontId="5" fillId="0" borderId="0" xfId="0" applyFont="1" applyFill="1" applyAlignment="1"/>
    <xf numFmtId="169" fontId="18" fillId="0" borderId="0" xfId="0" applyNumberFormat="1" applyFont="1" applyFill="1"/>
    <xf numFmtId="0" fontId="17" fillId="0" borderId="0" xfId="0" applyFont="1" applyFill="1" applyBorder="1" applyAlignment="1"/>
    <xf numFmtId="0" fontId="41" fillId="0" borderId="52" xfId="0" applyFont="1" applyFill="1" applyBorder="1" applyAlignment="1"/>
    <xf numFmtId="0" fontId="17" fillId="0" borderId="52" xfId="0" applyFont="1" applyFill="1" applyBorder="1" applyAlignment="1"/>
    <xf numFmtId="0" fontId="18" fillId="0" borderId="52" xfId="0" applyFont="1" applyFill="1" applyBorder="1"/>
    <xf numFmtId="169" fontId="18" fillId="0" borderId="52" xfId="0" applyNumberFormat="1" applyFont="1" applyFill="1" applyBorder="1"/>
    <xf numFmtId="0" fontId="0" fillId="0" borderId="52" xfId="0" applyFill="1" applyBorder="1" applyAlignment="1">
      <alignment horizontal="center"/>
    </xf>
    <xf numFmtId="0" fontId="53" fillId="0" borderId="0" xfId="0" applyFont="1" applyFill="1" applyBorder="1" applyAlignment="1">
      <alignment horizontal="left"/>
    </xf>
    <xf numFmtId="10" fontId="22" fillId="0" borderId="0" xfId="10" applyNumberFormat="1" applyFont="1" applyFill="1" applyBorder="1" applyAlignment="1">
      <alignment horizontal="center"/>
    </xf>
    <xf numFmtId="0" fontId="41" fillId="0" borderId="0" xfId="0" applyFont="1" applyFill="1" applyBorder="1" applyAlignment="1">
      <alignment horizontal="left"/>
    </xf>
    <xf numFmtId="0" fontId="55" fillId="0" borderId="0" xfId="0" applyFont="1" applyFill="1"/>
    <xf numFmtId="0" fontId="57" fillId="0" borderId="0" xfId="0" applyFont="1" applyFill="1" applyAlignment="1"/>
    <xf numFmtId="0" fontId="57" fillId="0" borderId="0" xfId="0" applyFont="1" applyFill="1"/>
    <xf numFmtId="0" fontId="55" fillId="0" borderId="0" xfId="0" applyFont="1" applyFill="1" applyBorder="1" applyAlignment="1"/>
    <xf numFmtId="44" fontId="0" fillId="0" borderId="18" xfId="0" applyNumberFormat="1" applyFill="1" applyBorder="1"/>
    <xf numFmtId="44" fontId="0" fillId="0" borderId="24" xfId="0" applyNumberFormat="1" applyFill="1" applyBorder="1"/>
    <xf numFmtId="173" fontId="22" fillId="0" borderId="18" xfId="1" applyNumberFormat="1" applyFont="1" applyFill="1" applyBorder="1"/>
    <xf numFmtId="169" fontId="22" fillId="0" borderId="8" xfId="3" applyNumberFormat="1" applyFont="1" applyFill="1" applyBorder="1"/>
    <xf numFmtId="169" fontId="22" fillId="0" borderId="8" xfId="10" applyNumberFormat="1" applyFont="1" applyFill="1" applyBorder="1"/>
    <xf numFmtId="10" fontId="1" fillId="0" borderId="24" xfId="10" applyNumberFormat="1" applyFill="1" applyBorder="1" applyAlignment="1">
      <alignment horizontal="center"/>
    </xf>
    <xf numFmtId="44" fontId="22" fillId="0" borderId="18" xfId="3" applyFont="1" applyFill="1" applyBorder="1"/>
    <xf numFmtId="10" fontId="22" fillId="0" borderId="8" xfId="10" applyNumberFormat="1" applyFont="1" applyFill="1" applyBorder="1" applyAlignment="1">
      <alignment horizontal="center"/>
    </xf>
    <xf numFmtId="44" fontId="22" fillId="0" borderId="8" xfId="3" applyFont="1" applyFill="1" applyBorder="1"/>
    <xf numFmtId="173" fontId="22" fillId="0" borderId="8" xfId="1" applyNumberFormat="1" applyFont="1" applyFill="1" applyBorder="1"/>
    <xf numFmtId="10" fontId="1" fillId="0" borderId="24" xfId="10" applyNumberFormat="1" applyFill="1" applyBorder="1"/>
    <xf numFmtId="44" fontId="22" fillId="0" borderId="47" xfId="3" applyFont="1" applyFill="1" applyBorder="1"/>
    <xf numFmtId="10" fontId="22" fillId="0" borderId="46" xfId="10" applyNumberFormat="1" applyFont="1" applyFill="1" applyBorder="1" applyAlignment="1">
      <alignment horizontal="center"/>
    </xf>
    <xf numFmtId="44" fontId="22" fillId="0" borderId="46" xfId="3" applyFont="1" applyFill="1" applyBorder="1"/>
    <xf numFmtId="173" fontId="22" fillId="0" borderId="46" xfId="1" applyNumberFormat="1" applyFont="1" applyFill="1" applyBorder="1"/>
    <xf numFmtId="169" fontId="22" fillId="0" borderId="46" xfId="3" applyNumberFormat="1" applyFont="1" applyFill="1" applyBorder="1"/>
    <xf numFmtId="169" fontId="22" fillId="0" borderId="46" xfId="10" applyNumberFormat="1" applyFont="1" applyFill="1" applyBorder="1"/>
    <xf numFmtId="10" fontId="1" fillId="0" borderId="105" xfId="10" applyNumberFormat="1" applyFill="1" applyBorder="1"/>
    <xf numFmtId="0" fontId="0" fillId="0" borderId="51" xfId="0" applyFill="1" applyBorder="1" applyAlignment="1"/>
    <xf numFmtId="0" fontId="0" fillId="0" borderId="54" xfId="0" applyFill="1" applyBorder="1" applyAlignment="1"/>
    <xf numFmtId="0" fontId="0" fillId="0" borderId="51" xfId="0" applyFill="1" applyBorder="1"/>
    <xf numFmtId="10" fontId="0" fillId="0" borderId="54" xfId="0" applyNumberFormat="1" applyFill="1" applyBorder="1" applyAlignment="1">
      <alignment horizontal="center"/>
    </xf>
    <xf numFmtId="10" fontId="0" fillId="0" borderId="54" xfId="0" applyNumberFormat="1" applyFill="1" applyBorder="1"/>
    <xf numFmtId="0" fontId="54" fillId="0" borderId="22" xfId="0" applyFont="1" applyFill="1" applyBorder="1" applyAlignment="1">
      <alignment horizontal="left" indent="1"/>
    </xf>
    <xf numFmtId="0" fontId="5" fillId="0" borderId="0" xfId="0" applyFont="1" applyFill="1" applyBorder="1" applyAlignment="1"/>
    <xf numFmtId="0" fontId="5" fillId="0" borderId="41" xfId="0" applyFont="1" applyFill="1" applyBorder="1" applyAlignment="1"/>
    <xf numFmtId="173" fontId="54" fillId="0" borderId="22" xfId="0" applyNumberFormat="1" applyFont="1" applyFill="1" applyBorder="1"/>
    <xf numFmtId="169" fontId="54" fillId="0" borderId="0" xfId="0" applyNumberFormat="1" applyFont="1" applyFill="1" applyBorder="1"/>
    <xf numFmtId="0" fontId="54" fillId="0" borderId="0" xfId="0" applyFont="1" applyFill="1" applyBorder="1"/>
    <xf numFmtId="0" fontId="5" fillId="0" borderId="41" xfId="0" applyFont="1" applyFill="1" applyBorder="1" applyAlignment="1">
      <alignment horizontal="center"/>
    </xf>
    <xf numFmtId="0" fontId="5" fillId="0" borderId="22" xfId="0" applyFont="1" applyFill="1" applyBorder="1" applyAlignment="1"/>
    <xf numFmtId="173" fontId="54" fillId="0" borderId="0" xfId="0" applyNumberFormat="1" applyFont="1" applyFill="1" applyBorder="1"/>
    <xf numFmtId="0" fontId="54" fillId="0" borderId="22" xfId="0" applyFont="1" applyFill="1" applyBorder="1" applyAlignment="1"/>
    <xf numFmtId="44" fontId="54" fillId="0" borderId="0" xfId="3" applyFont="1" applyFill="1" applyBorder="1"/>
    <xf numFmtId="0" fontId="6" fillId="0" borderId="0" xfId="0" applyFont="1" applyFill="1" applyAlignment="1"/>
    <xf numFmtId="0" fontId="21" fillId="0" borderId="22" xfId="0" applyFont="1" applyFill="1" applyBorder="1" applyAlignment="1"/>
    <xf numFmtId="0" fontId="6" fillId="0" borderId="0" xfId="0" applyFont="1" applyFill="1" applyBorder="1" applyAlignment="1"/>
    <xf numFmtId="0" fontId="6" fillId="0" borderId="41" xfId="0" applyFont="1" applyFill="1" applyBorder="1" applyAlignment="1"/>
    <xf numFmtId="169" fontId="21" fillId="0" borderId="86" xfId="0" applyNumberFormat="1" applyFont="1" applyFill="1" applyBorder="1"/>
    <xf numFmtId="0" fontId="21" fillId="0" borderId="0" xfId="0" applyFont="1" applyFill="1" applyBorder="1"/>
    <xf numFmtId="0" fontId="6" fillId="0" borderId="41" xfId="0" applyFont="1" applyFill="1" applyBorder="1" applyAlignment="1">
      <alignment horizontal="center"/>
    </xf>
    <xf numFmtId="0" fontId="6" fillId="0" borderId="22" xfId="0" applyFont="1" applyFill="1" applyBorder="1" applyAlignment="1"/>
    <xf numFmtId="169" fontId="6" fillId="0" borderId="0" xfId="0" applyNumberFormat="1" applyFont="1" applyFill="1"/>
    <xf numFmtId="0" fontId="6" fillId="0" borderId="41" xfId="0" applyFont="1" applyFill="1" applyBorder="1"/>
    <xf numFmtId="169" fontId="21" fillId="0" borderId="0" xfId="0" applyNumberFormat="1" applyFont="1" applyFill="1" applyBorder="1"/>
    <xf numFmtId="0" fontId="5" fillId="0" borderId="56" xfId="0" applyFont="1" applyFill="1" applyBorder="1" applyAlignment="1"/>
    <xf numFmtId="0" fontId="5" fillId="0" borderId="1" xfId="0" applyFont="1" applyFill="1" applyBorder="1" applyAlignment="1"/>
    <xf numFmtId="0" fontId="5" fillId="0" borderId="58" xfId="0" applyFont="1" applyFill="1" applyBorder="1" applyAlignment="1"/>
    <xf numFmtId="0" fontId="5" fillId="0" borderId="58" xfId="0" applyFont="1" applyFill="1" applyBorder="1" applyAlignment="1">
      <alignment horizontal="center"/>
    </xf>
    <xf numFmtId="0" fontId="1" fillId="0" borderId="0" xfId="0" applyFont="1" applyFill="1" applyBorder="1" applyAlignment="1"/>
    <xf numFmtId="0" fontId="7" fillId="0" borderId="0" xfId="0" applyFont="1" applyFill="1" applyBorder="1"/>
    <xf numFmtId="0" fontId="18" fillId="0" borderId="0" xfId="0" applyFont="1" applyFill="1" applyBorder="1"/>
    <xf numFmtId="169" fontId="18" fillId="0" borderId="0" xfId="0" applyNumberFormat="1" applyFont="1" applyFill="1" applyBorder="1"/>
    <xf numFmtId="0" fontId="7" fillId="0" borderId="0" xfId="0" applyFont="1" applyFill="1" applyBorder="1" applyAlignment="1"/>
    <xf numFmtId="169" fontId="22" fillId="0" borderId="24" xfId="3" applyNumberFormat="1" applyFont="1" applyFill="1" applyBorder="1"/>
    <xf numFmtId="44" fontId="1" fillId="0" borderId="18" xfId="0" applyNumberFormat="1" applyFont="1" applyFill="1" applyBorder="1"/>
    <xf numFmtId="44" fontId="1" fillId="0" borderId="24" xfId="0" applyNumberFormat="1" applyFont="1" applyFill="1" applyBorder="1"/>
    <xf numFmtId="0" fontId="34" fillId="0" borderId="0" xfId="0" applyFont="1" applyFill="1" applyBorder="1"/>
    <xf numFmtId="0" fontId="34" fillId="0" borderId="0" xfId="0" applyFont="1" applyFill="1" applyBorder="1" applyAlignment="1"/>
    <xf numFmtId="44" fontId="34" fillId="0" borderId="18" xfId="0" applyNumberFormat="1" applyFont="1" applyFill="1" applyBorder="1"/>
    <xf numFmtId="0" fontId="34" fillId="0" borderId="8" xfId="0" applyFont="1" applyFill="1" applyBorder="1"/>
    <xf numFmtId="44" fontId="34" fillId="0" borderId="24" xfId="0" applyNumberFormat="1" applyFont="1" applyFill="1" applyBorder="1"/>
    <xf numFmtId="169" fontId="22" fillId="0" borderId="105" xfId="3" applyNumberFormat="1" applyFont="1" applyFill="1" applyBorder="1"/>
    <xf numFmtId="0" fontId="34" fillId="0" borderId="0" xfId="0" applyFont="1" applyFill="1" applyAlignment="1"/>
    <xf numFmtId="0" fontId="34" fillId="0" borderId="51" xfId="0" applyFont="1" applyFill="1" applyBorder="1" applyAlignment="1"/>
    <xf numFmtId="0" fontId="34" fillId="0" borderId="52" xfId="0" applyFont="1" applyFill="1" applyBorder="1" applyAlignment="1"/>
    <xf numFmtId="0" fontId="34" fillId="0" borderId="54" xfId="0" applyFont="1" applyFill="1" applyBorder="1" applyAlignment="1"/>
    <xf numFmtId="0" fontId="34" fillId="0" borderId="51" xfId="0" applyFont="1" applyFill="1" applyBorder="1"/>
    <xf numFmtId="0" fontId="34" fillId="0" borderId="54" xfId="0" applyFont="1" applyFill="1" applyBorder="1"/>
    <xf numFmtId="0" fontId="34" fillId="0" borderId="0" xfId="0" applyFont="1" applyFill="1"/>
    <xf numFmtId="0" fontId="41" fillId="0" borderId="22" xfId="0" applyFont="1" applyFill="1" applyBorder="1" applyAlignment="1"/>
    <xf numFmtId="0" fontId="55" fillId="0" borderId="41" xfId="0" applyFont="1" applyFill="1" applyBorder="1" applyAlignment="1"/>
    <xf numFmtId="173" fontId="41" fillId="0" borderId="22" xfId="0" applyNumberFormat="1" applyFont="1" applyFill="1" applyBorder="1"/>
    <xf numFmtId="0" fontId="41" fillId="0" borderId="0" xfId="0" applyFont="1" applyFill="1" applyBorder="1" applyAlignment="1">
      <alignment horizontal="right"/>
    </xf>
    <xf numFmtId="0" fontId="55" fillId="0" borderId="22" xfId="0" applyFont="1" applyFill="1" applyBorder="1" applyAlignment="1"/>
    <xf numFmtId="173" fontId="41" fillId="0" borderId="0" xfId="0" applyNumberFormat="1" applyFont="1" applyFill="1" applyBorder="1"/>
    <xf numFmtId="169" fontId="41" fillId="0" borderId="41" xfId="3" applyNumberFormat="1" applyFont="1" applyFill="1" applyBorder="1"/>
    <xf numFmtId="173" fontId="55" fillId="0" borderId="22" xfId="0" applyNumberFormat="1" applyFont="1" applyFill="1" applyBorder="1"/>
    <xf numFmtId="173" fontId="55" fillId="0" borderId="0" xfId="0" applyNumberFormat="1" applyFont="1" applyFill="1" applyBorder="1"/>
    <xf numFmtId="169" fontId="55" fillId="0" borderId="41" xfId="0" applyNumberFormat="1" applyFont="1" applyFill="1" applyBorder="1" applyAlignment="1">
      <alignment horizontal="right"/>
    </xf>
    <xf numFmtId="0" fontId="55" fillId="0" borderId="22" xfId="0" applyFont="1" applyFill="1" applyBorder="1"/>
    <xf numFmtId="0" fontId="55" fillId="0" borderId="0" xfId="0" applyFont="1" applyFill="1" applyBorder="1"/>
    <xf numFmtId="44" fontId="55" fillId="0" borderId="41" xfId="0" applyNumberFormat="1" applyFont="1" applyFill="1" applyBorder="1" applyAlignment="1">
      <alignment horizontal="right"/>
    </xf>
    <xf numFmtId="0" fontId="41" fillId="0" borderId="22" xfId="0" applyFont="1" applyFill="1" applyBorder="1" applyAlignment="1">
      <alignment horizontal="left" indent="1"/>
    </xf>
    <xf numFmtId="169" fontId="41" fillId="0" borderId="79" xfId="0" applyNumberFormat="1" applyFont="1" applyFill="1" applyBorder="1" applyAlignment="1">
      <alignment horizontal="right"/>
    </xf>
    <xf numFmtId="169" fontId="6" fillId="0" borderId="90" xfId="0" applyNumberFormat="1" applyFont="1" applyFill="1" applyBorder="1" applyAlignment="1">
      <alignment horizontal="right"/>
    </xf>
    <xf numFmtId="0" fontId="55" fillId="0" borderId="56" xfId="0" applyFont="1" applyFill="1" applyBorder="1" applyAlignment="1"/>
    <xf numFmtId="0" fontId="55" fillId="0" borderId="1" xfId="0" applyFont="1" applyFill="1" applyBorder="1" applyAlignment="1"/>
    <xf numFmtId="0" fontId="55" fillId="0" borderId="58" xfId="0" applyFont="1" applyFill="1" applyBorder="1" applyAlignment="1"/>
    <xf numFmtId="0" fontId="55" fillId="0" borderId="56" xfId="0" applyFont="1" applyFill="1" applyBorder="1"/>
    <xf numFmtId="0" fontId="41" fillId="0" borderId="1" xfId="0" applyFont="1" applyFill="1" applyBorder="1" applyAlignment="1">
      <alignment horizontal="right"/>
    </xf>
    <xf numFmtId="0" fontId="55" fillId="0" borderId="1" xfId="0" applyFont="1" applyFill="1" applyBorder="1"/>
    <xf numFmtId="0" fontId="55" fillId="0" borderId="58" xfId="0" applyFont="1" applyFill="1" applyBorder="1" applyAlignment="1">
      <alignment horizontal="right"/>
    </xf>
    <xf numFmtId="0" fontId="41" fillId="0" borderId="0" xfId="0" applyFont="1" applyFill="1" applyAlignment="1">
      <alignment horizontal="right"/>
    </xf>
    <xf numFmtId="0" fontId="55" fillId="0" borderId="0" xfId="0" applyFont="1" applyFill="1" applyBorder="1" applyAlignment="1">
      <alignment horizontal="right"/>
    </xf>
    <xf numFmtId="0" fontId="55" fillId="0" borderId="0" xfId="0" applyFont="1" applyFill="1" applyAlignment="1">
      <alignment horizontal="right"/>
    </xf>
    <xf numFmtId="0" fontId="0" fillId="0" borderId="0" xfId="0" applyFill="1" applyAlignment="1">
      <alignment horizontal="left"/>
    </xf>
    <xf numFmtId="0" fontId="6" fillId="0" borderId="30" xfId="0" applyFont="1" applyFill="1" applyBorder="1" applyAlignment="1">
      <alignment horizontal="center"/>
    </xf>
    <xf numFmtId="0" fontId="6" fillId="0" borderId="31" xfId="0" applyFont="1" applyFill="1" applyBorder="1" applyAlignment="1">
      <alignment horizontal="center"/>
    </xf>
    <xf numFmtId="0" fontId="0" fillId="0" borderId="106" xfId="0" applyFill="1" applyBorder="1"/>
    <xf numFmtId="0" fontId="0" fillId="0" borderId="14" xfId="0" applyFill="1" applyBorder="1" applyAlignment="1">
      <alignment horizontal="center"/>
    </xf>
    <xf numFmtId="0" fontId="0" fillId="0" borderId="15" xfId="0" applyFill="1" applyBorder="1" applyAlignment="1">
      <alignment horizontal="center"/>
    </xf>
    <xf numFmtId="0" fontId="0" fillId="0" borderId="1" xfId="0" applyFill="1" applyBorder="1" applyAlignment="1">
      <alignment horizontal="left"/>
    </xf>
    <xf numFmtId="0" fontId="0" fillId="0" borderId="107" xfId="0" applyFill="1" applyBorder="1"/>
    <xf numFmtId="0" fontId="0" fillId="0" borderId="108" xfId="0" applyFill="1" applyBorder="1" applyAlignment="1">
      <alignment horizontal="center"/>
    </xf>
    <xf numFmtId="0" fontId="0" fillId="0" borderId="109" xfId="0" applyFill="1" applyBorder="1"/>
    <xf numFmtId="0" fontId="0" fillId="0" borderId="110" xfId="0" applyFill="1" applyBorder="1" applyAlignment="1">
      <alignment horizontal="center"/>
    </xf>
    <xf numFmtId="0" fontId="10" fillId="0" borderId="0" xfId="0" applyFont="1" applyFill="1" applyBorder="1"/>
    <xf numFmtId="0" fontId="8" fillId="0" borderId="0" xfId="0" applyFont="1" applyFill="1" applyAlignment="1">
      <alignment horizontal="center"/>
    </xf>
    <xf numFmtId="14" fontId="5" fillId="0" borderId="44" xfId="0" applyNumberFormat="1" applyFont="1" applyFill="1" applyBorder="1" applyAlignment="1">
      <alignment horizontal="center"/>
    </xf>
    <xf numFmtId="14" fontId="1" fillId="0" borderId="44" xfId="0" applyNumberFormat="1" applyFont="1" applyFill="1" applyBorder="1" applyAlignment="1">
      <alignment horizontal="center"/>
    </xf>
    <xf numFmtId="0" fontId="1" fillId="0" borderId="44" xfId="1" applyNumberFormat="1" applyFill="1" applyBorder="1" applyAlignment="1">
      <alignment horizontal="center"/>
    </xf>
    <xf numFmtId="0" fontId="0" fillId="0" borderId="44" xfId="0" applyFill="1" applyBorder="1" applyAlignment="1">
      <alignment horizontal="center"/>
    </xf>
    <xf numFmtId="0" fontId="11" fillId="0" borderId="0" xfId="0" applyFont="1" applyFill="1" applyAlignment="1">
      <alignment horizontal="left"/>
    </xf>
    <xf numFmtId="10" fontId="1" fillId="0" borderId="0" xfId="10" applyNumberFormat="1" applyFill="1"/>
    <xf numFmtId="41" fontId="1" fillId="0" borderId="0" xfId="10" applyNumberFormat="1" applyFill="1"/>
    <xf numFmtId="10" fontId="0" fillId="0" borderId="0" xfId="0" applyNumberFormat="1" applyFill="1"/>
    <xf numFmtId="0" fontId="5" fillId="0" borderId="44" xfId="0" applyFont="1" applyFill="1" applyBorder="1" applyAlignment="1">
      <alignment horizontal="left"/>
    </xf>
    <xf numFmtId="0" fontId="5" fillId="0" borderId="1" xfId="0" applyFont="1" applyBorder="1"/>
    <xf numFmtId="0" fontId="38" fillId="0" borderId="1" xfId="0" applyFont="1" applyBorder="1"/>
    <xf numFmtId="0" fontId="0" fillId="0" borderId="1" xfId="0" applyBorder="1"/>
    <xf numFmtId="0" fontId="1" fillId="2" borderId="1" xfId="0" applyFont="1" applyFill="1" applyBorder="1"/>
    <xf numFmtId="0" fontId="0" fillId="2" borderId="1" xfId="0" applyFill="1" applyBorder="1"/>
    <xf numFmtId="0" fontId="49" fillId="0" borderId="1" xfId="0" applyFont="1" applyFill="1" applyBorder="1"/>
    <xf numFmtId="0" fontId="36" fillId="0" borderId="1" xfId="0" applyFont="1" applyFill="1" applyBorder="1"/>
    <xf numFmtId="0" fontId="35" fillId="0" borderId="1" xfId="0" applyFont="1" applyBorder="1"/>
    <xf numFmtId="0" fontId="6" fillId="0" borderId="1" xfId="0" applyFont="1" applyBorder="1" applyAlignment="1">
      <alignment horizontal="right"/>
    </xf>
    <xf numFmtId="195" fontId="5" fillId="0" borderId="1" xfId="0" applyNumberFormat="1" applyFont="1" applyFill="1" applyBorder="1" applyAlignment="1">
      <alignment horizontal="center"/>
    </xf>
    <xf numFmtId="43" fontId="5" fillId="0" borderId="45" xfId="10" applyNumberFormat="1" applyFont="1" applyFill="1" applyBorder="1"/>
    <xf numFmtId="0" fontId="37" fillId="0" borderId="1" xfId="0" applyFont="1" applyFill="1" applyBorder="1" applyAlignment="1">
      <alignment horizontal="center"/>
    </xf>
    <xf numFmtId="0" fontId="5" fillId="2" borderId="111" xfId="0" applyFont="1" applyFill="1" applyBorder="1"/>
    <xf numFmtId="0" fontId="0" fillId="2" borderId="112" xfId="0" applyFill="1" applyBorder="1"/>
    <xf numFmtId="0" fontId="5" fillId="0" borderId="1" xfId="0" quotePrefix="1" applyFont="1" applyFill="1" applyBorder="1"/>
    <xf numFmtId="164" fontId="5" fillId="0" borderId="1" xfId="10" applyNumberFormat="1" applyFont="1" applyFill="1" applyBorder="1"/>
    <xf numFmtId="42" fontId="5" fillId="0" borderId="1" xfId="0" applyNumberFormat="1" applyFont="1" applyFill="1" applyBorder="1"/>
    <xf numFmtId="41" fontId="5" fillId="0" borderId="1" xfId="0" applyNumberFormat="1" applyFont="1" applyFill="1" applyBorder="1" applyAlignment="1">
      <alignment horizontal="center"/>
    </xf>
    <xf numFmtId="10" fontId="1" fillId="0" borderId="1" xfId="10" applyNumberFormat="1" applyFill="1" applyBorder="1"/>
    <xf numFmtId="195" fontId="0" fillId="0" borderId="55" xfId="0" applyNumberFormat="1" applyFill="1" applyBorder="1" applyAlignment="1">
      <alignment horizontal="center"/>
    </xf>
    <xf numFmtId="0" fontId="0" fillId="0" borderId="55" xfId="0" applyBorder="1"/>
    <xf numFmtId="0" fontId="0" fillId="0" borderId="57" xfId="0" applyBorder="1"/>
    <xf numFmtId="0" fontId="0" fillId="2" borderId="109" xfId="0" quotePrefix="1" applyFill="1" applyBorder="1"/>
    <xf numFmtId="0" fontId="0" fillId="2" borderId="110" xfId="0" applyFill="1" applyBorder="1" applyAlignment="1">
      <alignment wrapText="1"/>
    </xf>
    <xf numFmtId="0" fontId="0" fillId="2" borderId="21" xfId="0" quotePrefix="1" applyFill="1" applyBorder="1"/>
    <xf numFmtId="0" fontId="0" fillId="2" borderId="15" xfId="0" applyFill="1" applyBorder="1" applyAlignment="1">
      <alignment wrapText="1"/>
    </xf>
    <xf numFmtId="0" fontId="0" fillId="2" borderId="107" xfId="0" quotePrefix="1" applyFill="1" applyBorder="1"/>
    <xf numFmtId="0" fontId="0" fillId="2" borderId="108" xfId="0" applyFill="1" applyBorder="1" applyAlignment="1">
      <alignment wrapText="1"/>
    </xf>
    <xf numFmtId="0" fontId="41" fillId="0" borderId="0" xfId="0" applyFont="1" applyAlignment="1"/>
    <xf numFmtId="0" fontId="22" fillId="0" borderId="0" xfId="0" applyFont="1" applyFill="1" applyAlignment="1"/>
    <xf numFmtId="0" fontId="59" fillId="0" borderId="0" xfId="0" applyFont="1" applyFill="1" applyAlignment="1"/>
    <xf numFmtId="0" fontId="22" fillId="0" borderId="0" xfId="0" applyFont="1" applyFill="1"/>
    <xf numFmtId="0" fontId="60" fillId="0" borderId="0" xfId="0" applyFont="1" applyFill="1"/>
    <xf numFmtId="0" fontId="60" fillId="0" borderId="0" xfId="0" applyFont="1" applyAlignment="1"/>
    <xf numFmtId="0" fontId="22" fillId="0" borderId="0" xfId="0" applyFont="1" applyAlignment="1"/>
    <xf numFmtId="0" fontId="22" fillId="0" borderId="0" xfId="0" applyFont="1"/>
    <xf numFmtId="0" fontId="55" fillId="0" borderId="0" xfId="0" applyFont="1" applyAlignment="1"/>
    <xf numFmtId="0" fontId="61" fillId="0" borderId="0" xfId="0" applyFont="1"/>
    <xf numFmtId="0" fontId="55" fillId="0" borderId="0" xfId="0" applyFont="1"/>
    <xf numFmtId="0" fontId="22" fillId="0" borderId="0" xfId="0" applyFont="1" applyAlignment="1">
      <alignment horizontal="right"/>
    </xf>
    <xf numFmtId="0" fontId="34" fillId="0" borderId="0" xfId="0" applyFont="1" applyAlignment="1"/>
    <xf numFmtId="0" fontId="41" fillId="0" borderId="0" xfId="0" applyFont="1" applyFill="1" applyBorder="1" applyAlignment="1">
      <alignment horizontal="center"/>
    </xf>
    <xf numFmtId="10" fontId="34" fillId="10" borderId="2" xfId="10" applyNumberFormat="1" applyFont="1" applyFill="1" applyBorder="1" applyAlignment="1">
      <alignment horizontal="center"/>
    </xf>
    <xf numFmtId="169" fontId="41" fillId="9" borderId="93" xfId="3" applyNumberFormat="1" applyFont="1" applyFill="1" applyBorder="1" applyAlignment="1">
      <alignment horizontal="center"/>
    </xf>
    <xf numFmtId="0" fontId="61" fillId="3" borderId="0" xfId="0" applyFont="1" applyFill="1" applyBorder="1" applyAlignment="1">
      <alignment horizontal="center"/>
    </xf>
    <xf numFmtId="0" fontId="34" fillId="0" borderId="0" xfId="0" applyFont="1" applyFill="1" applyBorder="1" applyAlignment="1">
      <alignment horizontal="center"/>
    </xf>
    <xf numFmtId="10" fontId="63" fillId="10" borderId="2" xfId="10" applyNumberFormat="1" applyFont="1" applyFill="1" applyBorder="1" applyAlignment="1">
      <alignment horizontal="center"/>
    </xf>
    <xf numFmtId="0" fontId="63" fillId="0" borderId="0" xfId="0" applyFont="1"/>
    <xf numFmtId="0" fontId="63" fillId="0" borderId="0" xfId="0" applyFont="1" applyFill="1" applyBorder="1" applyAlignment="1"/>
    <xf numFmtId="169" fontId="16" fillId="3" borderId="93" xfId="3" applyNumberFormat="1" applyFont="1" applyFill="1" applyBorder="1" applyAlignment="1">
      <alignment horizontal="center"/>
    </xf>
    <xf numFmtId="169" fontId="16" fillId="3" borderId="2" xfId="3" applyNumberFormat="1" applyFont="1" applyFill="1" applyBorder="1" applyAlignment="1">
      <alignment horizontal="center"/>
    </xf>
    <xf numFmtId="0" fontId="34" fillId="0" borderId="1" xfId="0" applyFont="1" applyFill="1" applyBorder="1"/>
    <xf numFmtId="0" fontId="41" fillId="0" borderId="1" xfId="0" applyFont="1" applyFill="1" applyBorder="1" applyAlignment="1"/>
    <xf numFmtId="0" fontId="22" fillId="0" borderId="1" xfId="0" applyFont="1" applyFill="1" applyBorder="1" applyAlignment="1"/>
    <xf numFmtId="0" fontId="59" fillId="0" borderId="1" xfId="0" applyFont="1" applyFill="1" applyBorder="1" applyAlignment="1"/>
    <xf numFmtId="0" fontId="16" fillId="0" borderId="1" xfId="0" applyFont="1" applyFill="1" applyBorder="1"/>
    <xf numFmtId="0" fontId="59" fillId="0" borderId="1" xfId="0" applyFont="1" applyFill="1" applyBorder="1" applyAlignment="1">
      <alignment horizontal="left"/>
    </xf>
    <xf numFmtId="0" fontId="60" fillId="0" borderId="1" xfId="0" applyFont="1" applyFill="1" applyBorder="1"/>
    <xf numFmtId="0" fontId="52" fillId="8" borderId="113" xfId="0" applyFont="1" applyFill="1" applyBorder="1" applyAlignment="1">
      <alignment horizontal="center"/>
    </xf>
    <xf numFmtId="0" fontId="62" fillId="0" borderId="20" xfId="0" applyFont="1" applyFill="1" applyBorder="1" applyAlignment="1">
      <alignment horizontal="center"/>
    </xf>
    <xf numFmtId="44" fontId="41" fillId="0" borderId="21" xfId="0" applyNumberFormat="1" applyFont="1" applyFill="1" applyBorder="1" applyAlignment="1">
      <alignment horizontal="left"/>
    </xf>
    <xf numFmtId="0" fontId="34" fillId="0" borderId="22" xfId="0" applyFont="1" applyFill="1" applyBorder="1" applyAlignment="1"/>
    <xf numFmtId="0" fontId="52" fillId="8" borderId="20" xfId="0" applyFont="1" applyFill="1" applyBorder="1" applyAlignment="1">
      <alignment horizontal="center"/>
    </xf>
    <xf numFmtId="0" fontId="41" fillId="0" borderId="22" xfId="0" applyFont="1" applyFill="1" applyBorder="1" applyAlignment="1">
      <alignment horizontal="center"/>
    </xf>
    <xf numFmtId="0" fontId="16" fillId="3" borderId="0" xfId="0" applyFont="1" applyFill="1" applyBorder="1"/>
    <xf numFmtId="0" fontId="34" fillId="0" borderId="0" xfId="0" applyFont="1" applyBorder="1"/>
    <xf numFmtId="0" fontId="34" fillId="0" borderId="41" xfId="0" applyFont="1" applyBorder="1"/>
    <xf numFmtId="0" fontId="55" fillId="0" borderId="22" xfId="0" applyFont="1" applyFill="1" applyBorder="1" applyAlignment="1">
      <alignment horizontal="center"/>
    </xf>
    <xf numFmtId="0" fontId="16" fillId="0" borderId="0" xfId="0" applyFont="1" applyFill="1" applyBorder="1" applyAlignment="1"/>
    <xf numFmtId="0" fontId="55" fillId="0" borderId="0" xfId="0" applyFont="1" applyBorder="1"/>
    <xf numFmtId="0" fontId="63" fillId="0" borderId="0" xfId="0" applyFont="1" applyBorder="1"/>
    <xf numFmtId="0" fontId="41" fillId="3" borderId="114" xfId="0" applyFont="1" applyFill="1" applyBorder="1" applyAlignment="1">
      <alignment horizontal="center"/>
    </xf>
    <xf numFmtId="0" fontId="41" fillId="0" borderId="3" xfId="0" applyFont="1" applyFill="1" applyBorder="1" applyAlignment="1">
      <alignment horizontal="center"/>
    </xf>
    <xf numFmtId="0" fontId="55" fillId="11" borderId="9" xfId="0" applyFont="1" applyFill="1" applyBorder="1" applyAlignment="1">
      <alignment horizontal="center"/>
    </xf>
    <xf numFmtId="0" fontId="34" fillId="0" borderId="0" xfId="0" applyFont="1" applyBorder="1" applyAlignment="1"/>
    <xf numFmtId="0" fontId="41" fillId="3" borderId="9" xfId="0" applyFont="1" applyFill="1" applyBorder="1" applyAlignment="1">
      <alignment horizontal="center"/>
    </xf>
    <xf numFmtId="0" fontId="41" fillId="2" borderId="23" xfId="0" applyFont="1" applyFill="1" applyBorder="1" applyAlignment="1"/>
    <xf numFmtId="0" fontId="61" fillId="0" borderId="52" xfId="0" applyFont="1" applyBorder="1"/>
    <xf numFmtId="169" fontId="41" fillId="11" borderId="115" xfId="3" applyNumberFormat="1" applyFont="1" applyFill="1" applyBorder="1" applyAlignment="1">
      <alignment horizontal="center" wrapText="1"/>
    </xf>
    <xf numFmtId="0" fontId="55" fillId="0" borderId="52" xfId="0" applyFont="1" applyBorder="1"/>
    <xf numFmtId="169" fontId="41" fillId="11" borderId="14" xfId="3" applyNumberFormat="1" applyFont="1" applyFill="1" applyBorder="1" applyAlignment="1">
      <alignment horizontal="center" wrapText="1"/>
    </xf>
    <xf numFmtId="0" fontId="41" fillId="3" borderId="0" xfId="0" applyFont="1" applyFill="1" applyBorder="1" applyAlignment="1">
      <alignment horizontal="center"/>
    </xf>
    <xf numFmtId="169" fontId="16" fillId="3" borderId="110" xfId="3" applyNumberFormat="1" applyFont="1" applyFill="1" applyBorder="1" applyAlignment="1">
      <alignment horizontal="center"/>
    </xf>
    <xf numFmtId="10" fontId="34" fillId="10" borderId="15" xfId="10" applyNumberFormat="1" applyFont="1" applyFill="1" applyBorder="1" applyAlignment="1">
      <alignment horizontal="center"/>
    </xf>
    <xf numFmtId="44" fontId="22" fillId="5" borderId="15" xfId="3" applyNumberFormat="1" applyFont="1" applyFill="1" applyBorder="1"/>
    <xf numFmtId="169" fontId="41" fillId="9" borderId="110" xfId="3" applyNumberFormat="1" applyFont="1" applyFill="1" applyBorder="1" applyAlignment="1">
      <alignment horizontal="center"/>
    </xf>
    <xf numFmtId="169" fontId="16" fillId="3" borderId="15" xfId="3" applyNumberFormat="1" applyFont="1" applyFill="1" applyBorder="1" applyAlignment="1">
      <alignment horizontal="center"/>
    </xf>
    <xf numFmtId="10" fontId="63" fillId="10" borderId="15" xfId="10" applyNumberFormat="1" applyFont="1" applyFill="1" applyBorder="1" applyAlignment="1">
      <alignment horizontal="center"/>
    </xf>
    <xf numFmtId="169" fontId="41" fillId="11" borderId="106" xfId="3" applyNumberFormat="1" applyFont="1" applyFill="1" applyBorder="1" applyAlignment="1">
      <alignment horizontal="center" wrapText="1"/>
    </xf>
    <xf numFmtId="169" fontId="16" fillId="3" borderId="109" xfId="3" applyNumberFormat="1" applyFont="1" applyFill="1" applyBorder="1" applyAlignment="1">
      <alignment horizontal="center"/>
    </xf>
    <xf numFmtId="10" fontId="34" fillId="2" borderId="21" xfId="10" applyNumberFormat="1" applyFont="1" applyFill="1" applyBorder="1" applyAlignment="1">
      <alignment horizontal="center"/>
    </xf>
    <xf numFmtId="44" fontId="22" fillId="5" borderId="21" xfId="3" applyNumberFormat="1" applyFont="1" applyFill="1" applyBorder="1"/>
    <xf numFmtId="0" fontId="34" fillId="0" borderId="22" xfId="0" applyFont="1" applyBorder="1"/>
    <xf numFmtId="169" fontId="41" fillId="9" borderId="109" xfId="3" applyNumberFormat="1" applyFont="1" applyFill="1" applyBorder="1" applyAlignment="1">
      <alignment horizontal="center"/>
    </xf>
    <xf numFmtId="169" fontId="16" fillId="3" borderId="21" xfId="3" applyNumberFormat="1" applyFont="1" applyFill="1" applyBorder="1" applyAlignment="1">
      <alignment horizontal="center"/>
    </xf>
    <xf numFmtId="10" fontId="63" fillId="10" borderId="21" xfId="10" applyNumberFormat="1" applyFont="1" applyFill="1" applyBorder="1" applyAlignment="1">
      <alignment horizontal="center"/>
    </xf>
    <xf numFmtId="0" fontId="55" fillId="0" borderId="22" xfId="0" applyFont="1" applyBorder="1"/>
    <xf numFmtId="0" fontId="63" fillId="0" borderId="22" xfId="0" applyFont="1" applyBorder="1"/>
    <xf numFmtId="0" fontId="17" fillId="4" borderId="32" xfId="0" applyFont="1" applyFill="1" applyBorder="1" applyAlignment="1"/>
    <xf numFmtId="0" fontId="7" fillId="4" borderId="32" xfId="0" applyFont="1" applyFill="1" applyBorder="1"/>
    <xf numFmtId="10" fontId="21" fillId="0" borderId="2" xfId="10" applyNumberFormat="1" applyFont="1" applyFill="1" applyBorder="1"/>
    <xf numFmtId="0" fontId="11" fillId="4" borderId="12" xfId="0" applyFont="1" applyFill="1" applyBorder="1" applyAlignment="1"/>
    <xf numFmtId="0" fontId="64" fillId="4" borderId="32" xfId="0" applyFont="1" applyFill="1" applyBorder="1" applyAlignment="1"/>
    <xf numFmtId="0" fontId="0" fillId="4" borderId="33" xfId="0" applyFill="1" applyBorder="1"/>
    <xf numFmtId="0" fontId="9" fillId="0" borderId="0" xfId="0" applyFont="1" applyFill="1" applyBorder="1" applyAlignment="1"/>
    <xf numFmtId="10" fontId="5" fillId="0" borderId="66" xfId="10" applyNumberFormat="1" applyFont="1" applyFill="1" applyBorder="1" applyAlignment="1">
      <alignment horizontal="center"/>
    </xf>
    <xf numFmtId="10" fontId="5" fillId="0" borderId="69" xfId="10" applyNumberFormat="1" applyFont="1" applyFill="1" applyBorder="1" applyAlignment="1">
      <alignment horizontal="center"/>
    </xf>
    <xf numFmtId="10" fontId="5" fillId="0" borderId="72" xfId="10" applyNumberFormat="1" applyFont="1" applyFill="1" applyBorder="1" applyAlignment="1">
      <alignment horizontal="center"/>
    </xf>
    <xf numFmtId="0" fontId="29" fillId="9" borderId="116" xfId="0" applyFont="1" applyFill="1" applyBorder="1"/>
    <xf numFmtId="10" fontId="1" fillId="0" borderId="117" xfId="10" applyNumberFormat="1" applyFill="1" applyBorder="1" applyAlignment="1">
      <alignment horizontal="center"/>
    </xf>
    <xf numFmtId="10" fontId="1" fillId="0" borderId="118" xfId="10" applyNumberFormat="1" applyFill="1" applyBorder="1" applyAlignment="1">
      <alignment horizontal="center"/>
    </xf>
    <xf numFmtId="2" fontId="0" fillId="0" borderId="118" xfId="0" applyNumberFormat="1" applyFill="1" applyBorder="1" applyAlignment="1">
      <alignment horizontal="center"/>
    </xf>
    <xf numFmtId="2" fontId="0" fillId="0" borderId="119" xfId="0" applyNumberFormat="1" applyFill="1" applyBorder="1" applyAlignment="1">
      <alignment horizontal="center"/>
    </xf>
    <xf numFmtId="10" fontId="1" fillId="0" borderId="106" xfId="10" applyNumberFormat="1" applyFont="1" applyFill="1" applyBorder="1" applyAlignment="1">
      <alignment horizontal="center"/>
    </xf>
    <xf numFmtId="0" fontId="11" fillId="0" borderId="9" xfId="0" applyFont="1" applyFill="1" applyBorder="1" applyAlignment="1">
      <alignment wrapText="1"/>
    </xf>
    <xf numFmtId="0" fontId="11" fillId="0" borderId="3" xfId="0" applyFont="1" applyFill="1" applyBorder="1" applyAlignment="1">
      <alignment wrapText="1"/>
    </xf>
    <xf numFmtId="0" fontId="5" fillId="0" borderId="0" xfId="0" applyFont="1" applyFill="1" applyAlignment="1">
      <alignment horizontal="center"/>
    </xf>
    <xf numFmtId="0" fontId="10" fillId="0" borderId="55" xfId="0" applyFont="1" applyBorder="1"/>
    <xf numFmtId="0" fontId="8" fillId="0" borderId="55" xfId="0" applyFont="1" applyBorder="1"/>
    <xf numFmtId="0" fontId="0" fillId="0" borderId="55" xfId="0" applyFill="1" applyBorder="1"/>
    <xf numFmtId="0" fontId="6" fillId="0" borderId="16" xfId="0" applyFont="1" applyFill="1" applyBorder="1"/>
    <xf numFmtId="41" fontId="0" fillId="0" borderId="75" xfId="0" applyNumberFormat="1" applyFill="1" applyBorder="1"/>
    <xf numFmtId="42" fontId="0" fillId="0" borderId="76" xfId="0" applyNumberFormat="1" applyFill="1" applyBorder="1"/>
    <xf numFmtId="0" fontId="6" fillId="0" borderId="17" xfId="0" applyFont="1" applyFill="1" applyBorder="1"/>
    <xf numFmtId="0" fontId="0" fillId="0" borderId="77" xfId="0" applyFill="1" applyBorder="1"/>
    <xf numFmtId="41" fontId="0" fillId="0" borderId="77" xfId="0" applyNumberFormat="1" applyFill="1" applyBorder="1"/>
    <xf numFmtId="42" fontId="0" fillId="0" borderId="84" xfId="0" applyNumberFormat="1" applyFill="1" applyBorder="1"/>
    <xf numFmtId="176" fontId="0" fillId="0" borderId="0" xfId="0" applyNumberFormat="1" applyFill="1" applyBorder="1"/>
    <xf numFmtId="0" fontId="5" fillId="2" borderId="2" xfId="0" applyFont="1" applyFill="1" applyBorder="1"/>
    <xf numFmtId="0" fontId="5" fillId="2" borderId="45" xfId="0" applyFont="1" applyFill="1" applyBorder="1"/>
    <xf numFmtId="0" fontId="5" fillId="2" borderId="22" xfId="0" applyFont="1" applyFill="1" applyBorder="1"/>
    <xf numFmtId="10" fontId="5" fillId="2" borderId="62" xfId="10" applyNumberFormat="1" applyFont="1" applyFill="1" applyBorder="1"/>
    <xf numFmtId="10" fontId="5" fillId="2" borderId="65" xfId="10" applyNumberFormat="1" applyFont="1" applyFill="1" applyBorder="1"/>
    <xf numFmtId="10" fontId="5" fillId="2" borderId="66" xfId="10" applyNumberFormat="1" applyFont="1" applyFill="1" applyBorder="1"/>
    <xf numFmtId="10" fontId="5" fillId="2" borderId="69" xfId="10" applyNumberFormat="1" applyFont="1" applyFill="1" applyBorder="1"/>
    <xf numFmtId="10" fontId="5" fillId="2" borderId="72" xfId="10" applyNumberFormat="1" applyFont="1" applyFill="1" applyBorder="1"/>
    <xf numFmtId="0" fontId="0" fillId="2" borderId="0" xfId="0" applyFill="1" applyBorder="1"/>
    <xf numFmtId="44" fontId="54" fillId="2" borderId="0" xfId="3" applyFont="1" applyFill="1" applyBorder="1"/>
    <xf numFmtId="0" fontId="6" fillId="0" borderId="2" xfId="0" applyFont="1" applyFill="1" applyBorder="1" applyAlignment="1">
      <alignment horizontal="center" wrapText="1"/>
    </xf>
    <xf numFmtId="10" fontId="0" fillId="0" borderId="2" xfId="10" applyNumberFormat="1" applyFont="1" applyFill="1" applyBorder="1" applyAlignment="1">
      <alignment horizontal="center"/>
    </xf>
    <xf numFmtId="0" fontId="0" fillId="0" borderId="2" xfId="0" applyBorder="1"/>
    <xf numFmtId="10" fontId="0" fillId="0" borderId="2" xfId="10" applyNumberFormat="1" applyFont="1" applyBorder="1" applyAlignment="1">
      <alignment horizontal="center"/>
    </xf>
    <xf numFmtId="0" fontId="8" fillId="0" borderId="0" xfId="0" applyFont="1" applyFill="1" applyBorder="1" applyAlignment="1"/>
    <xf numFmtId="0" fontId="0" fillId="0" borderId="0" xfId="0" applyBorder="1"/>
    <xf numFmtId="10" fontId="0" fillId="0" borderId="0" xfId="10" applyNumberFormat="1" applyFont="1" applyBorder="1" applyAlignment="1">
      <alignment horizontal="center"/>
    </xf>
    <xf numFmtId="0" fontId="65" fillId="0" borderId="0" xfId="0" applyFont="1" applyFill="1"/>
    <xf numFmtId="14" fontId="22" fillId="0" borderId="0" xfId="0" applyNumberFormat="1" applyFont="1" applyFill="1"/>
    <xf numFmtId="0" fontId="66" fillId="0" borderId="0" xfId="0" applyFont="1" applyFill="1"/>
    <xf numFmtId="0" fontId="22" fillId="0" borderId="0" xfId="0" applyFont="1" applyFill="1" applyBorder="1" applyAlignment="1">
      <alignment horizontal="center"/>
    </xf>
    <xf numFmtId="0" fontId="7" fillId="0" borderId="0" xfId="0" applyFont="1" applyBorder="1"/>
    <xf numFmtId="0" fontId="19" fillId="0" borderId="0" xfId="0" applyFont="1"/>
    <xf numFmtId="0" fontId="67" fillId="0" borderId="0" xfId="0" applyFont="1" applyFill="1"/>
    <xf numFmtId="0" fontId="19" fillId="0" borderId="1" xfId="0" applyFont="1" applyBorder="1"/>
    <xf numFmtId="0" fontId="67" fillId="0" borderId="1" xfId="0" applyFont="1" applyFill="1" applyBorder="1"/>
    <xf numFmtId="0" fontId="6" fillId="4" borderId="0" xfId="0" applyFont="1" applyFill="1" applyAlignment="1">
      <alignment horizontal="left"/>
    </xf>
    <xf numFmtId="0" fontId="34" fillId="9" borderId="0" xfId="0" applyFont="1" applyFill="1"/>
    <xf numFmtId="0" fontId="0" fillId="12" borderId="2" xfId="0" applyFill="1" applyBorder="1"/>
    <xf numFmtId="10" fontId="0" fillId="12" borderId="2" xfId="10" applyNumberFormat="1" applyFont="1" applyFill="1" applyBorder="1" applyAlignment="1">
      <alignment horizontal="center"/>
    </xf>
    <xf numFmtId="0" fontId="0" fillId="12" borderId="0" xfId="0" applyFill="1" applyAlignment="1">
      <alignment horizontal="center"/>
    </xf>
    <xf numFmtId="0" fontId="29" fillId="8" borderId="116" xfId="0" applyFont="1" applyFill="1" applyBorder="1" applyAlignment="1">
      <alignment horizontal="center"/>
    </xf>
    <xf numFmtId="0" fontId="27" fillId="0" borderId="0" xfId="0" applyFont="1" applyFill="1"/>
    <xf numFmtId="0" fontId="38" fillId="0" borderId="0" xfId="0" applyFont="1" applyFill="1" applyAlignment="1">
      <alignment horizontal="center"/>
    </xf>
    <xf numFmtId="0" fontId="68" fillId="0" borderId="44" xfId="0" applyFont="1" applyBorder="1"/>
    <xf numFmtId="0" fontId="68" fillId="0" borderId="0" xfId="0" applyFont="1" applyBorder="1"/>
    <xf numFmtId="0" fontId="0" fillId="0" borderId="0" xfId="0" applyAlignment="1"/>
    <xf numFmtId="0" fontId="10" fillId="0" borderId="0" xfId="0" applyFont="1"/>
    <xf numFmtId="0" fontId="0" fillId="0" borderId="2" xfId="0" quotePrefix="1" applyBorder="1"/>
    <xf numFmtId="9" fontId="1" fillId="2" borderId="2" xfId="10" applyFill="1" applyBorder="1" applyAlignment="1">
      <alignment horizontal="center"/>
    </xf>
    <xf numFmtId="0" fontId="9" fillId="0" borderId="0" xfId="0" applyFont="1" applyAlignment="1">
      <alignment horizontal="center" wrapText="1"/>
    </xf>
    <xf numFmtId="0" fontId="8" fillId="0" borderId="0" xfId="0" applyFont="1" applyFill="1" applyBorder="1" applyAlignment="1">
      <alignment horizontal="center" wrapText="1"/>
    </xf>
    <xf numFmtId="0" fontId="0" fillId="0" borderId="2" xfId="0" applyBorder="1" applyAlignment="1">
      <alignment wrapText="1"/>
    </xf>
    <xf numFmtId="0" fontId="0" fillId="0" borderId="44" xfId="0" applyBorder="1"/>
    <xf numFmtId="0" fontId="8" fillId="0" borderId="44" xfId="0" applyFont="1" applyFill="1" applyBorder="1" applyAlignment="1">
      <alignment horizontal="center" wrapText="1"/>
    </xf>
    <xf numFmtId="0" fontId="0" fillId="0" borderId="44" xfId="0" applyBorder="1" applyAlignment="1">
      <alignment horizontal="right"/>
    </xf>
    <xf numFmtId="44" fontId="1" fillId="2" borderId="0" xfId="3" applyFill="1" applyAlignment="1">
      <alignment horizontal="center"/>
    </xf>
    <xf numFmtId="44" fontId="0" fillId="0" borderId="0" xfId="0" applyNumberFormat="1"/>
    <xf numFmtId="0" fontId="0" fillId="0" borderId="3" xfId="0" applyBorder="1"/>
    <xf numFmtId="0" fontId="1" fillId="0" borderId="0" xfId="0" applyFont="1"/>
    <xf numFmtId="0" fontId="70" fillId="0" borderId="0" xfId="0" applyFont="1"/>
    <xf numFmtId="0" fontId="71" fillId="0" borderId="0" xfId="0" applyFont="1"/>
    <xf numFmtId="0" fontId="69" fillId="2" borderId="120" xfId="0" applyFont="1" applyFill="1" applyBorder="1"/>
    <xf numFmtId="0" fontId="16" fillId="0" borderId="44" xfId="0" applyFont="1" applyFill="1" applyBorder="1" applyAlignment="1">
      <alignment horizontal="center" wrapText="1"/>
    </xf>
    <xf numFmtId="44" fontId="0" fillId="2" borderId="0" xfId="3" applyFont="1" applyFill="1" applyBorder="1"/>
    <xf numFmtId="2" fontId="0" fillId="2" borderId="2" xfId="0" applyNumberFormat="1" applyFill="1" applyBorder="1" applyAlignment="1">
      <alignment horizontal="center"/>
    </xf>
    <xf numFmtId="49" fontId="0" fillId="0" borderId="0" xfId="0" quotePrefix="1" applyNumberFormat="1" applyAlignment="1">
      <alignment horizontal="right"/>
    </xf>
    <xf numFmtId="0" fontId="0" fillId="4" borderId="2" xfId="0" applyFill="1" applyBorder="1" applyAlignment="1">
      <alignment horizontal="center"/>
    </xf>
    <xf numFmtId="0" fontId="0" fillId="4" borderId="2" xfId="0" applyFill="1" applyBorder="1"/>
    <xf numFmtId="0" fontId="1" fillId="0" borderId="0" xfId="0" applyFont="1" applyFill="1" applyAlignment="1">
      <alignment horizontal="left"/>
    </xf>
    <xf numFmtId="0" fontId="60" fillId="0" borderId="0" xfId="0" applyFont="1"/>
    <xf numFmtId="0" fontId="60" fillId="0" borderId="1" xfId="0" applyFont="1" applyBorder="1"/>
    <xf numFmtId="193" fontId="0" fillId="7" borderId="0" xfId="0" applyNumberFormat="1" applyFill="1" applyBorder="1" applyAlignment="1">
      <alignment horizontal="center"/>
    </xf>
    <xf numFmtId="14" fontId="1" fillId="0" borderId="0" xfId="0" applyNumberFormat="1" applyFont="1" applyFill="1" applyBorder="1" applyAlignment="1">
      <alignment horizontal="center"/>
    </xf>
    <xf numFmtId="0" fontId="58" fillId="0" borderId="113" xfId="0" applyFont="1" applyFill="1" applyBorder="1" applyAlignment="1">
      <alignment horizontal="left"/>
    </xf>
    <xf numFmtId="0" fontId="58" fillId="0" borderId="121" xfId="0" applyFont="1" applyFill="1" applyBorder="1" applyAlignment="1">
      <alignment horizontal="center"/>
    </xf>
    <xf numFmtId="0" fontId="58" fillId="0" borderId="122" xfId="0" applyFont="1" applyFill="1" applyBorder="1" applyAlignment="1">
      <alignment horizontal="center"/>
    </xf>
    <xf numFmtId="169" fontId="49" fillId="0" borderId="106" xfId="3" applyNumberFormat="1" applyFont="1" applyFill="1" applyBorder="1" applyAlignment="1">
      <alignment horizontal="center"/>
    </xf>
    <xf numFmtId="169" fontId="49" fillId="0" borderId="115" xfId="3" applyNumberFormat="1" applyFont="1" applyFill="1" applyBorder="1" applyAlignment="1">
      <alignment horizontal="center"/>
    </xf>
    <xf numFmtId="0" fontId="57" fillId="0" borderId="14" xfId="0" applyFont="1" applyFill="1" applyBorder="1" applyAlignment="1">
      <alignment horizontal="center"/>
    </xf>
    <xf numFmtId="169" fontId="49" fillId="0" borderId="106" xfId="3" applyNumberFormat="1" applyFont="1" applyFill="1" applyBorder="1" applyAlignment="1">
      <alignment horizontal="center" wrapText="1"/>
    </xf>
    <xf numFmtId="169" fontId="49" fillId="0" borderId="115" xfId="3" applyNumberFormat="1" applyFont="1" applyFill="1" applyBorder="1" applyAlignment="1">
      <alignment horizontal="center" wrapText="1"/>
    </xf>
    <xf numFmtId="10" fontId="56" fillId="0" borderId="115" xfId="10" applyNumberFormat="1" applyFont="1" applyFill="1" applyBorder="1" applyAlignment="1">
      <alignment horizontal="center"/>
    </xf>
    <xf numFmtId="0" fontId="49" fillId="0" borderId="14" xfId="0" applyFont="1" applyFill="1" applyBorder="1"/>
    <xf numFmtId="0" fontId="41" fillId="0" borderId="41" xfId="0" applyFont="1" applyFill="1" applyBorder="1" applyAlignment="1">
      <alignment horizontal="right"/>
    </xf>
    <xf numFmtId="44" fontId="5" fillId="0" borderId="41" xfId="0" applyNumberFormat="1" applyFont="1" applyFill="1" applyBorder="1" applyAlignment="1">
      <alignment horizontal="right"/>
    </xf>
    <xf numFmtId="169" fontId="41" fillId="0" borderId="90" xfId="0" applyNumberFormat="1" applyFont="1" applyFill="1" applyBorder="1" applyAlignment="1">
      <alignment horizontal="right"/>
    </xf>
    <xf numFmtId="0" fontId="41" fillId="0" borderId="58" xfId="0" applyFont="1" applyFill="1" applyBorder="1" applyAlignment="1">
      <alignment horizontal="right"/>
    </xf>
    <xf numFmtId="0" fontId="53" fillId="0" borderId="113" xfId="0" applyFont="1" applyFill="1" applyBorder="1" applyAlignment="1">
      <alignment horizontal="left"/>
    </xf>
    <xf numFmtId="0" fontId="20" fillId="0" borderId="121" xfId="0" applyFont="1" applyFill="1" applyBorder="1" applyAlignment="1">
      <alignment horizontal="center"/>
    </xf>
    <xf numFmtId="0" fontId="20" fillId="0" borderId="122" xfId="0" applyFont="1" applyFill="1" applyBorder="1" applyAlignment="1">
      <alignment horizontal="center"/>
    </xf>
    <xf numFmtId="169" fontId="19" fillId="0" borderId="113" xfId="3" applyNumberFormat="1" applyFont="1" applyFill="1" applyBorder="1" applyAlignment="1">
      <alignment horizontal="center"/>
    </xf>
    <xf numFmtId="169" fontId="19" fillId="0" borderId="122" xfId="3" applyNumberFormat="1" applyFont="1" applyFill="1" applyBorder="1" applyAlignment="1">
      <alignment horizontal="center"/>
    </xf>
    <xf numFmtId="169" fontId="19" fillId="0" borderId="106" xfId="3" applyNumberFormat="1" applyFont="1" applyFill="1" applyBorder="1" applyAlignment="1">
      <alignment horizontal="center" wrapText="1"/>
    </xf>
    <xf numFmtId="9" fontId="22" fillId="0" borderId="115" xfId="10" applyFont="1" applyFill="1" applyBorder="1" applyAlignment="1">
      <alignment horizontal="center" wrapText="1"/>
    </xf>
    <xf numFmtId="169" fontId="19" fillId="0" borderId="115" xfId="3" applyNumberFormat="1" applyFont="1" applyFill="1" applyBorder="1" applyAlignment="1">
      <alignment horizontal="center" wrapText="1"/>
    </xf>
    <xf numFmtId="169" fontId="19" fillId="0" borderId="115" xfId="3" applyNumberFormat="1" applyFont="1" applyFill="1" applyBorder="1" applyAlignment="1">
      <alignment horizontal="center"/>
    </xf>
    <xf numFmtId="169" fontId="19" fillId="0" borderId="14" xfId="3" applyNumberFormat="1" applyFont="1" applyFill="1" applyBorder="1" applyAlignment="1">
      <alignment horizontal="center"/>
    </xf>
    <xf numFmtId="223" fontId="5" fillId="0" borderId="0" xfId="0" applyNumberFormat="1" applyFont="1" applyFill="1" applyBorder="1"/>
    <xf numFmtId="0" fontId="84" fillId="0" borderId="0" xfId="0" applyFont="1"/>
    <xf numFmtId="37" fontId="74" fillId="0" borderId="0" xfId="8" applyNumberFormat="1" applyFont="1" applyFill="1" applyBorder="1" applyAlignment="1"/>
    <xf numFmtId="0" fontId="75" fillId="0" borderId="0" xfId="8" applyNumberFormat="1" applyFont="1" applyFill="1" applyBorder="1" applyAlignment="1">
      <alignment horizontal="left"/>
    </xf>
    <xf numFmtId="37" fontId="75" fillId="0" borderId="0" xfId="8" applyNumberFormat="1" applyFont="1" applyFill="1" applyBorder="1" applyAlignment="1">
      <alignment horizontal="left"/>
    </xf>
    <xf numFmtId="5" fontId="76" fillId="0" borderId="0" xfId="8" applyNumberFormat="1" applyFont="1" applyFill="1" applyBorder="1" applyAlignment="1" applyProtection="1">
      <alignment horizontal="left"/>
    </xf>
    <xf numFmtId="37" fontId="75" fillId="0" borderId="0" xfId="8" applyNumberFormat="1" applyFont="1" applyAlignment="1"/>
    <xf numFmtId="42" fontId="75" fillId="0" borderId="0" xfId="8" applyNumberFormat="1" applyFont="1" applyAlignment="1"/>
    <xf numFmtId="5" fontId="75" fillId="0" borderId="0" xfId="8" applyNumberFormat="1" applyFont="1"/>
    <xf numFmtId="49" fontId="75" fillId="0" borderId="0" xfId="8" applyNumberFormat="1" applyFont="1" applyFill="1" applyBorder="1" applyAlignment="1">
      <alignment horizontal="left"/>
    </xf>
    <xf numFmtId="37" fontId="75" fillId="0" borderId="0" xfId="8" quotePrefix="1" applyNumberFormat="1" applyFont="1" applyFill="1" applyBorder="1" applyAlignment="1">
      <alignment horizontal="left"/>
    </xf>
    <xf numFmtId="37" fontId="75" fillId="0" borderId="0" xfId="8" applyNumberFormat="1" applyFont="1"/>
    <xf numFmtId="42" fontId="75" fillId="0" borderId="0" xfId="8" applyNumberFormat="1" applyFont="1"/>
    <xf numFmtId="37" fontId="77" fillId="0" borderId="123" xfId="8" applyNumberFormat="1" applyFont="1" applyBorder="1" applyAlignment="1"/>
    <xf numFmtId="5" fontId="78" fillId="0" borderId="124" xfId="8" applyNumberFormat="1" applyFont="1" applyBorder="1" applyAlignment="1">
      <alignment horizontal="center"/>
    </xf>
    <xf numFmtId="5" fontId="75" fillId="0" borderId="124" xfId="8" applyNumberFormat="1" applyFont="1" applyBorder="1"/>
    <xf numFmtId="37" fontId="75" fillId="0" borderId="124" xfId="8" applyNumberFormat="1" applyFont="1" applyBorder="1"/>
    <xf numFmtId="42" fontId="75" fillId="0" borderId="125" xfId="8" applyNumberFormat="1" applyFont="1" applyBorder="1"/>
    <xf numFmtId="42" fontId="75" fillId="0" borderId="124" xfId="8" applyNumberFormat="1" applyFont="1" applyBorder="1"/>
    <xf numFmtId="42" fontId="75" fillId="0" borderId="126" xfId="8" applyNumberFormat="1" applyFont="1" applyBorder="1"/>
    <xf numFmtId="42" fontId="75" fillId="0" borderId="127" xfId="8" applyNumberFormat="1" applyFont="1" applyBorder="1"/>
    <xf numFmtId="37" fontId="75" fillId="0" borderId="128" xfId="8" applyNumberFormat="1" applyFont="1" applyBorder="1" applyAlignment="1"/>
    <xf numFmtId="5" fontId="75" fillId="0" borderId="0" xfId="8" applyNumberFormat="1" applyFont="1" applyBorder="1"/>
    <xf numFmtId="37" fontId="75" fillId="0" borderId="0" xfId="8" applyNumberFormat="1" applyFont="1" applyBorder="1" applyAlignment="1">
      <alignment horizontal="center"/>
    </xf>
    <xf numFmtId="42" fontId="75" fillId="0" borderId="55" xfId="8" applyNumberFormat="1" applyFont="1" applyBorder="1" applyAlignment="1">
      <alignment horizontal="center"/>
    </xf>
    <xf numFmtId="42" fontId="75" fillId="0" borderId="0" xfId="8" applyNumberFormat="1" applyFont="1" applyBorder="1" applyAlignment="1">
      <alignment horizontal="center"/>
    </xf>
    <xf numFmtId="42" fontId="75" fillId="0" borderId="29" xfId="8" applyNumberFormat="1" applyFont="1" applyBorder="1" applyAlignment="1">
      <alignment horizontal="center"/>
    </xf>
    <xf numFmtId="42" fontId="75" fillId="0" borderId="129" xfId="8" applyNumberFormat="1" applyFont="1" applyBorder="1"/>
    <xf numFmtId="37" fontId="79" fillId="0" borderId="128" xfId="8" applyNumberFormat="1" applyFont="1" applyBorder="1" applyAlignment="1">
      <alignment horizontal="left"/>
    </xf>
    <xf numFmtId="5" fontId="79" fillId="0" borderId="0" xfId="8" applyNumberFormat="1" applyFont="1" applyBorder="1"/>
    <xf numFmtId="37" fontId="79" fillId="0" borderId="0" xfId="8" applyNumberFormat="1" applyFont="1" applyBorder="1" applyAlignment="1">
      <alignment horizontal="center"/>
    </xf>
    <xf numFmtId="42" fontId="79" fillId="0" borderId="55" xfId="8" applyNumberFormat="1" applyFont="1" applyBorder="1" applyAlignment="1">
      <alignment horizontal="center"/>
    </xf>
    <xf numFmtId="42" fontId="79" fillId="0" borderId="0" xfId="8" applyNumberFormat="1" applyFont="1" applyBorder="1" applyAlignment="1">
      <alignment horizontal="center"/>
    </xf>
    <xf numFmtId="42" fontId="79" fillId="0" borderId="29" xfId="8" applyNumberFormat="1" applyFont="1" applyBorder="1" applyAlignment="1">
      <alignment horizontal="center"/>
    </xf>
    <xf numFmtId="42" fontId="79" fillId="0" borderId="129" xfId="8" applyNumberFormat="1" applyFont="1" applyBorder="1" applyAlignment="1">
      <alignment horizontal="center"/>
    </xf>
    <xf numFmtId="37" fontId="75" fillId="0" borderId="0" xfId="8" applyNumberFormat="1" applyFont="1" applyBorder="1"/>
    <xf numFmtId="42" fontId="75" fillId="0" borderId="55" xfId="8" applyNumberFormat="1" applyFont="1" applyBorder="1"/>
    <xf numFmtId="42" fontId="75" fillId="0" borderId="0" xfId="8" applyNumberFormat="1" applyFont="1" applyBorder="1"/>
    <xf numFmtId="42" fontId="75" fillId="0" borderId="29" xfId="8" applyNumberFormat="1" applyFont="1" applyBorder="1"/>
    <xf numFmtId="37" fontId="75" fillId="0" borderId="128" xfId="8" applyNumberFormat="1" applyFont="1" applyBorder="1" applyAlignment="1">
      <alignment horizontal="center"/>
    </xf>
    <xf numFmtId="5" fontId="78" fillId="4" borderId="9" xfId="8" applyNumberFormat="1" applyFont="1" applyFill="1" applyBorder="1" applyAlignment="1">
      <alignment wrapText="1"/>
    </xf>
    <xf numFmtId="41" fontId="78" fillId="4" borderId="2" xfId="8" applyNumberFormat="1" applyFont="1" applyFill="1" applyBorder="1"/>
    <xf numFmtId="41" fontId="78" fillId="4" borderId="2" xfId="8" applyNumberFormat="1" applyFont="1" applyFill="1" applyBorder="1" applyAlignment="1">
      <alignment wrapText="1"/>
    </xf>
    <xf numFmtId="41" fontId="80" fillId="0" borderId="2" xfId="8" applyNumberFormat="1" applyFont="1" applyFill="1" applyBorder="1"/>
    <xf numFmtId="42" fontId="80" fillId="0" borderId="2" xfId="4" applyNumberFormat="1" applyFont="1" applyFill="1" applyBorder="1"/>
    <xf numFmtId="224" fontId="80" fillId="0" borderId="2" xfId="4" applyNumberFormat="1" applyFont="1" applyFill="1" applyBorder="1"/>
    <xf numFmtId="42" fontId="75" fillId="0" borderId="129" xfId="4" applyNumberFormat="1" applyFont="1" applyBorder="1"/>
    <xf numFmtId="5" fontId="78" fillId="4" borderId="2" xfId="8" applyNumberFormat="1" applyFont="1" applyFill="1" applyBorder="1" applyAlignment="1">
      <alignment wrapText="1"/>
    </xf>
    <xf numFmtId="37" fontId="75" fillId="0" borderId="130" xfId="8" applyNumberFormat="1" applyFont="1" applyBorder="1" applyAlignment="1"/>
    <xf numFmtId="5" fontId="75" fillId="0" borderId="44" xfId="8" applyNumberFormat="1" applyFont="1" applyBorder="1"/>
    <xf numFmtId="41" fontId="75" fillId="0" borderId="44" xfId="8" applyNumberFormat="1" applyFont="1" applyBorder="1"/>
    <xf numFmtId="42" fontId="75" fillId="0" borderId="81" xfId="4" applyNumberFormat="1" applyFont="1" applyBorder="1"/>
    <xf numFmtId="42" fontId="75" fillId="0" borderId="44" xfId="4" applyNumberFormat="1" applyFont="1" applyBorder="1"/>
    <xf numFmtId="42" fontId="75" fillId="0" borderId="42" xfId="4" applyNumberFormat="1" applyFont="1" applyBorder="1"/>
    <xf numFmtId="42" fontId="75" fillId="0" borderId="131" xfId="4" applyNumberFormat="1" applyFont="1" applyBorder="1"/>
    <xf numFmtId="41" fontId="75" fillId="0" borderId="0" xfId="8" applyNumberFormat="1" applyFont="1" applyBorder="1"/>
    <xf numFmtId="42" fontId="75" fillId="0" borderId="55" xfId="4" applyNumberFormat="1" applyFont="1" applyBorder="1"/>
    <xf numFmtId="42" fontId="75" fillId="0" borderId="0" xfId="4" applyNumberFormat="1" applyFont="1" applyBorder="1"/>
    <xf numFmtId="42" fontId="75" fillId="0" borderId="29" xfId="4" applyNumberFormat="1" applyFont="1" applyBorder="1"/>
    <xf numFmtId="37" fontId="79" fillId="0" borderId="128" xfId="8" applyNumberFormat="1" applyFont="1" applyBorder="1" applyAlignment="1"/>
    <xf numFmtId="37" fontId="75" fillId="0" borderId="44" xfId="8" applyNumberFormat="1" applyFont="1" applyBorder="1"/>
    <xf numFmtId="5" fontId="75" fillId="0" borderId="0" xfId="8" applyNumberFormat="1" applyFont="1" applyBorder="1" applyAlignment="1">
      <alignment horizontal="left" indent="1"/>
    </xf>
    <xf numFmtId="42" fontId="75" fillId="0" borderId="57" xfId="8" applyNumberFormat="1" applyFont="1" applyBorder="1"/>
    <xf numFmtId="42" fontId="75" fillId="0" borderId="1" xfId="8" applyNumberFormat="1" applyFont="1" applyBorder="1"/>
    <xf numFmtId="42" fontId="75" fillId="0" borderId="94" xfId="8" applyNumberFormat="1" applyFont="1" applyBorder="1"/>
    <xf numFmtId="42" fontId="78" fillId="0" borderId="132" xfId="8" applyNumberFormat="1" applyFont="1" applyFill="1" applyBorder="1"/>
    <xf numFmtId="37" fontId="75" fillId="0" borderId="133" xfId="8" applyNumberFormat="1" applyFont="1" applyBorder="1" applyAlignment="1"/>
    <xf numFmtId="5" fontId="75" fillId="0" borderId="86" xfId="8" applyNumberFormat="1" applyFont="1" applyBorder="1"/>
    <xf numFmtId="37" fontId="75" fillId="0" borderId="86" xfId="8" applyNumberFormat="1" applyFont="1" applyBorder="1"/>
    <xf numFmtId="42" fontId="75" fillId="0" borderId="86" xfId="8" applyNumberFormat="1" applyFont="1" applyBorder="1"/>
    <xf numFmtId="42" fontId="75" fillId="0" borderId="134" xfId="8" applyNumberFormat="1" applyFont="1" applyBorder="1"/>
    <xf numFmtId="42" fontId="75" fillId="0" borderId="135" xfId="8" applyNumberFormat="1" applyFont="1" applyBorder="1"/>
    <xf numFmtId="37" fontId="78" fillId="0" borderId="0" xfId="8" applyNumberFormat="1" applyFont="1" applyAlignment="1"/>
    <xf numFmtId="5" fontId="75" fillId="0" borderId="0" xfId="8" applyNumberFormat="1" applyFont="1" applyFill="1" applyBorder="1"/>
    <xf numFmtId="37" fontId="75" fillId="0" borderId="0" xfId="8" applyNumberFormat="1" applyFont="1" applyFill="1" applyBorder="1"/>
    <xf numFmtId="42" fontId="75" fillId="0" borderId="0" xfId="8" applyNumberFormat="1" applyFont="1" applyFill="1" applyBorder="1"/>
    <xf numFmtId="37" fontId="75" fillId="0" borderId="0" xfId="8" applyNumberFormat="1" applyFont="1" applyAlignment="1">
      <alignment horizontal="right"/>
    </xf>
    <xf numFmtId="169" fontId="0" fillId="0" borderId="0" xfId="3" applyNumberFormat="1" applyFont="1"/>
    <xf numFmtId="44" fontId="0" fillId="0" borderId="2" xfId="3" applyFont="1" applyBorder="1"/>
    <xf numFmtId="0" fontId="0" fillId="0" borderId="21" xfId="0" applyBorder="1"/>
    <xf numFmtId="0" fontId="0" fillId="0" borderId="15" xfId="0" applyBorder="1"/>
    <xf numFmtId="44" fontId="0" fillId="0" borderId="45" xfId="3" applyFont="1" applyBorder="1"/>
    <xf numFmtId="0" fontId="0" fillId="0" borderId="45" xfId="0" applyBorder="1"/>
    <xf numFmtId="0" fontId="6" fillId="0" borderId="21" xfId="0" applyFont="1" applyBorder="1"/>
    <xf numFmtId="0" fontId="6" fillId="0" borderId="107" xfId="0" applyFont="1" applyBorder="1"/>
    <xf numFmtId="0" fontId="6" fillId="0" borderId="2" xfId="0" applyFont="1" applyBorder="1"/>
    <xf numFmtId="10" fontId="6" fillId="0" borderId="2" xfId="10" applyNumberFormat="1" applyFont="1" applyBorder="1"/>
    <xf numFmtId="0" fontId="6" fillId="0" borderId="15" xfId="0" applyFont="1" applyBorder="1"/>
    <xf numFmtId="44" fontId="0" fillId="0" borderId="2" xfId="0" applyNumberFormat="1" applyBorder="1"/>
    <xf numFmtId="44" fontId="0" fillId="0" borderId="45" xfId="0" applyNumberFormat="1" applyBorder="1"/>
    <xf numFmtId="169" fontId="0" fillId="0" borderId="15" xfId="0" applyNumberFormat="1" applyBorder="1"/>
    <xf numFmtId="169" fontId="0" fillId="0" borderId="108" xfId="0" applyNumberFormat="1" applyBorder="1"/>
    <xf numFmtId="169" fontId="6" fillId="0" borderId="2" xfId="3" applyNumberFormat="1" applyFont="1" applyBorder="1"/>
    <xf numFmtId="44" fontId="0" fillId="0" borderId="0" xfId="3" applyFont="1" applyBorder="1"/>
    <xf numFmtId="185" fontId="0" fillId="0" borderId="0" xfId="0" applyNumberFormat="1" applyBorder="1" applyAlignment="1">
      <alignment horizontal="center"/>
    </xf>
    <xf numFmtId="169" fontId="0" fillId="0" borderId="0" xfId="3" applyNumberFormat="1" applyFont="1" applyBorder="1"/>
    <xf numFmtId="12" fontId="78" fillId="4" borderId="2" xfId="8" applyNumberFormat="1" applyFont="1" applyFill="1" applyBorder="1" applyAlignment="1">
      <alignment wrapText="1"/>
    </xf>
    <xf numFmtId="169" fontId="5" fillId="2" borderId="62" xfId="3" applyNumberFormat="1" applyFont="1" applyFill="1" applyBorder="1"/>
    <xf numFmtId="0" fontId="85" fillId="0" borderId="3" xfId="0" applyFont="1" applyFill="1" applyBorder="1" applyAlignment="1">
      <alignment horizontal="center"/>
    </xf>
    <xf numFmtId="0" fontId="86" fillId="0" borderId="3" xfId="0" applyFont="1" applyFill="1" applyBorder="1" applyAlignment="1">
      <alignment horizontal="center"/>
    </xf>
    <xf numFmtId="205" fontId="5" fillId="0" borderId="60" xfId="1" applyNumberFormat="1" applyFont="1" applyFill="1" applyBorder="1" applyAlignment="1">
      <alignment horizontal="center"/>
    </xf>
    <xf numFmtId="205" fontId="5" fillId="0" borderId="63" xfId="1" applyNumberFormat="1" applyFont="1" applyFill="1" applyBorder="1" applyAlignment="1">
      <alignment horizontal="center"/>
    </xf>
    <xf numFmtId="205" fontId="5" fillId="0" borderId="71" xfId="1" applyNumberFormat="1" applyFont="1" applyFill="1" applyBorder="1" applyAlignment="1">
      <alignment horizontal="center"/>
    </xf>
    <xf numFmtId="205" fontId="5" fillId="0" borderId="136" xfId="1" applyNumberFormat="1" applyFont="1" applyFill="1" applyBorder="1" applyAlignment="1">
      <alignment horizontal="center"/>
    </xf>
    <xf numFmtId="205" fontId="5" fillId="0" borderId="137" xfId="1" applyNumberFormat="1" applyFont="1" applyFill="1" applyBorder="1" applyAlignment="1">
      <alignment horizontal="center"/>
    </xf>
    <xf numFmtId="205" fontId="85" fillId="0" borderId="60" xfId="1" applyNumberFormat="1" applyFont="1" applyFill="1" applyBorder="1" applyAlignment="1">
      <alignment horizontal="center"/>
    </xf>
    <xf numFmtId="205" fontId="85" fillId="0" borderId="63" xfId="1" applyNumberFormat="1" applyFont="1" applyFill="1" applyBorder="1" applyAlignment="1">
      <alignment horizontal="center"/>
    </xf>
    <xf numFmtId="205" fontId="85" fillId="0" borderId="71" xfId="1" applyNumberFormat="1" applyFont="1" applyFill="1" applyBorder="1" applyAlignment="1">
      <alignment horizontal="center"/>
    </xf>
    <xf numFmtId="205" fontId="85" fillId="0" borderId="136" xfId="1" applyNumberFormat="1" applyFont="1" applyFill="1" applyBorder="1" applyAlignment="1">
      <alignment horizontal="center"/>
    </xf>
    <xf numFmtId="205" fontId="85" fillId="0" borderId="137" xfId="1" applyNumberFormat="1" applyFont="1" applyFill="1" applyBorder="1" applyAlignment="1">
      <alignment horizontal="center"/>
    </xf>
    <xf numFmtId="42" fontId="5" fillId="0" borderId="9" xfId="0" applyNumberFormat="1" applyFont="1" applyFill="1" applyBorder="1"/>
    <xf numFmtId="169" fontId="5" fillId="0" borderId="3" xfId="0" applyNumberFormat="1" applyFont="1" applyFill="1" applyBorder="1"/>
    <xf numFmtId="42" fontId="5" fillId="0" borderId="77" xfId="0" applyNumberFormat="1" applyFont="1" applyFill="1" applyBorder="1"/>
    <xf numFmtId="0" fontId="85" fillId="0" borderId="41" xfId="0" applyFont="1" applyFill="1" applyBorder="1"/>
    <xf numFmtId="0" fontId="85" fillId="0" borderId="41" xfId="0" applyFont="1" applyFill="1" applyBorder="1" applyAlignment="1">
      <alignment horizontal="center"/>
    </xf>
    <xf numFmtId="0" fontId="86" fillId="0" borderId="41" xfId="0" applyFont="1" applyFill="1" applyBorder="1" applyAlignment="1">
      <alignment horizontal="center"/>
    </xf>
    <xf numFmtId="10" fontId="85" fillId="0" borderId="41" xfId="10" applyNumberFormat="1" applyFont="1" applyFill="1" applyBorder="1" applyAlignment="1">
      <alignment horizontal="center"/>
    </xf>
    <xf numFmtId="164" fontId="85" fillId="0" borderId="41" xfId="10" applyNumberFormat="1" applyFont="1" applyFill="1" applyBorder="1" applyAlignment="1">
      <alignment horizontal="center"/>
    </xf>
    <xf numFmtId="44" fontId="5" fillId="0" borderId="41" xfId="3" applyFont="1" applyFill="1" applyBorder="1"/>
    <xf numFmtId="0" fontId="5" fillId="0" borderId="88" xfId="0" applyFont="1" applyFill="1" applyBorder="1"/>
    <xf numFmtId="0" fontId="29" fillId="8" borderId="33" xfId="0" applyFont="1" applyFill="1" applyBorder="1"/>
    <xf numFmtId="0" fontId="5" fillId="0" borderId="0" xfId="9"/>
    <xf numFmtId="0" fontId="6" fillId="0" borderId="0" xfId="9" applyFont="1"/>
    <xf numFmtId="0" fontId="6" fillId="0" borderId="106" xfId="9" applyFont="1" applyBorder="1"/>
    <xf numFmtId="0" fontId="6" fillId="0" borderId="115" xfId="9" applyFont="1" applyBorder="1"/>
    <xf numFmtId="0" fontId="5" fillId="0" borderId="21" xfId="9" applyBorder="1"/>
    <xf numFmtId="0" fontId="5" fillId="0" borderId="2" xfId="9" applyBorder="1"/>
    <xf numFmtId="173" fontId="0" fillId="0" borderId="2" xfId="2" applyNumberFormat="1" applyFont="1" applyBorder="1"/>
    <xf numFmtId="0" fontId="5" fillId="13" borderId="2" xfId="9" applyFill="1" applyBorder="1"/>
    <xf numFmtId="0" fontId="6" fillId="0" borderId="21" xfId="9" applyFont="1" applyBorder="1"/>
    <xf numFmtId="0" fontId="6" fillId="0" borderId="2" xfId="9" applyFont="1" applyBorder="1"/>
    <xf numFmtId="223" fontId="6" fillId="0" borderId="2" xfId="9" applyNumberFormat="1" applyFont="1" applyBorder="1"/>
    <xf numFmtId="173" fontId="6" fillId="0" borderId="2" xfId="9" applyNumberFormat="1" applyFont="1" applyBorder="1"/>
    <xf numFmtId="0" fontId="6" fillId="0" borderId="107" xfId="9" applyFont="1" applyBorder="1"/>
    <xf numFmtId="0" fontId="5" fillId="0" borderId="0" xfId="9" applyFont="1"/>
    <xf numFmtId="10" fontId="5" fillId="0" borderId="0" xfId="9" applyNumberFormat="1"/>
    <xf numFmtId="169" fontId="0" fillId="0" borderId="2" xfId="3" applyNumberFormat="1" applyFont="1" applyBorder="1"/>
    <xf numFmtId="169" fontId="5" fillId="0" borderId="2" xfId="3" applyNumberFormat="1" applyFont="1" applyBorder="1"/>
    <xf numFmtId="44" fontId="0" fillId="0" borderId="2" xfId="3" applyNumberFormat="1" applyFont="1" applyBorder="1"/>
    <xf numFmtId="173" fontId="0" fillId="0" borderId="2" xfId="1" applyNumberFormat="1" applyFont="1" applyBorder="1"/>
    <xf numFmtId="169" fontId="5" fillId="14" borderId="62" xfId="3" applyNumberFormat="1" applyFont="1" applyFill="1" applyBorder="1"/>
    <xf numFmtId="0" fontId="50" fillId="8" borderId="22" xfId="0" applyFont="1" applyFill="1" applyBorder="1"/>
    <xf numFmtId="0" fontId="51" fillId="8" borderId="0" xfId="0" applyFont="1" applyFill="1" applyBorder="1"/>
    <xf numFmtId="0" fontId="29" fillId="8" borderId="0" xfId="0" applyFont="1" applyFill="1" applyBorder="1"/>
    <xf numFmtId="0" fontId="29" fillId="8" borderId="0" xfId="0" applyFont="1" applyFill="1" applyBorder="1" applyAlignment="1">
      <alignment horizontal="center"/>
    </xf>
    <xf numFmtId="0" fontId="51" fillId="8" borderId="0" xfId="0" applyFont="1" applyFill="1" applyBorder="1" applyAlignment="1">
      <alignment horizontal="right"/>
    </xf>
    <xf numFmtId="0" fontId="29" fillId="8" borderId="41" xfId="0" applyFont="1" applyFill="1" applyBorder="1"/>
    <xf numFmtId="0" fontId="51" fillId="8" borderId="0" xfId="0" applyFont="1" applyFill="1" applyBorder="1" applyAlignment="1">
      <alignment horizontal="center"/>
    </xf>
    <xf numFmtId="44" fontId="5" fillId="0" borderId="2" xfId="3" applyFont="1" applyBorder="1"/>
    <xf numFmtId="44" fontId="6" fillId="0" borderId="2" xfId="3" applyFont="1" applyBorder="1"/>
    <xf numFmtId="0" fontId="6" fillId="0" borderId="2" xfId="9" applyFont="1" applyBorder="1" applyAlignment="1">
      <alignment horizontal="center" wrapText="1"/>
    </xf>
    <xf numFmtId="0" fontId="6" fillId="0" borderId="14" xfId="9" applyFont="1" applyBorder="1"/>
    <xf numFmtId="169" fontId="0" fillId="0" borderId="15" xfId="3" applyNumberFormat="1" applyFont="1" applyBorder="1"/>
    <xf numFmtId="169" fontId="5" fillId="0" borderId="15" xfId="3" applyNumberFormat="1" applyFont="1" applyBorder="1"/>
    <xf numFmtId="169" fontId="6" fillId="0" borderId="15" xfId="3" applyNumberFormat="1" applyFont="1" applyBorder="1"/>
    <xf numFmtId="0" fontId="6" fillId="0" borderId="15" xfId="9" applyFont="1" applyBorder="1"/>
    <xf numFmtId="0" fontId="6" fillId="0" borderId="21" xfId="9" applyFont="1" applyBorder="1" applyAlignment="1">
      <alignment horizontal="center" wrapText="1"/>
    </xf>
    <xf numFmtId="0" fontId="6" fillId="15" borderId="21" xfId="9" applyFont="1" applyFill="1" applyBorder="1"/>
    <xf numFmtId="0" fontId="5" fillId="15" borderId="2" xfId="9" applyFill="1" applyBorder="1"/>
    <xf numFmtId="0" fontId="6" fillId="15" borderId="2" xfId="9" applyFont="1" applyFill="1" applyBorder="1"/>
    <xf numFmtId="44" fontId="5" fillId="15" borderId="2" xfId="3" applyFont="1" applyFill="1" applyBorder="1"/>
    <xf numFmtId="173" fontId="5" fillId="15" borderId="2" xfId="9" applyNumberFormat="1" applyFill="1" applyBorder="1"/>
    <xf numFmtId="169" fontId="5" fillId="15" borderId="2" xfId="3" applyNumberFormat="1" applyFont="1" applyFill="1" applyBorder="1"/>
    <xf numFmtId="44" fontId="6" fillId="15" borderId="2" xfId="3" applyFont="1" applyFill="1" applyBorder="1"/>
    <xf numFmtId="173" fontId="6" fillId="15" borderId="2" xfId="2" applyNumberFormat="1" applyFont="1" applyFill="1" applyBorder="1"/>
    <xf numFmtId="169" fontId="6" fillId="15" borderId="2" xfId="3" applyNumberFormat="1" applyFont="1" applyFill="1" applyBorder="1"/>
    <xf numFmtId="0" fontId="5" fillId="15" borderId="21" xfId="9" applyFill="1" applyBorder="1"/>
    <xf numFmtId="173" fontId="6" fillId="15" borderId="2" xfId="9" applyNumberFormat="1" applyFont="1" applyFill="1" applyBorder="1"/>
    <xf numFmtId="0" fontId="6" fillId="15" borderId="107" xfId="9" applyFont="1" applyFill="1" applyBorder="1"/>
    <xf numFmtId="0" fontId="5" fillId="15" borderId="45" xfId="9" applyFill="1" applyBorder="1"/>
    <xf numFmtId="10" fontId="6" fillId="15" borderId="45" xfId="11" applyNumberFormat="1" applyFont="1" applyFill="1" applyBorder="1"/>
    <xf numFmtId="0" fontId="5" fillId="2" borderId="0" xfId="0" applyFont="1" applyFill="1"/>
    <xf numFmtId="0" fontId="5" fillId="2" borderId="0" xfId="0" applyFont="1" applyFill="1" applyAlignment="1">
      <alignment horizontal="left"/>
    </xf>
    <xf numFmtId="42" fontId="5" fillId="2" borderId="65" xfId="10" applyNumberFormat="1" applyFont="1" applyFill="1" applyBorder="1"/>
    <xf numFmtId="0" fontId="6" fillId="0" borderId="2" xfId="9" applyFont="1" applyBorder="1" applyAlignment="1">
      <alignment wrapText="1"/>
    </xf>
    <xf numFmtId="0" fontId="6" fillId="15" borderId="21" xfId="9" applyFont="1" applyFill="1" applyBorder="1" applyAlignment="1">
      <alignment wrapText="1"/>
    </xf>
    <xf numFmtId="169" fontId="5" fillId="16" borderId="62" xfId="3" applyNumberFormat="1" applyFont="1" applyFill="1" applyBorder="1"/>
    <xf numFmtId="10" fontId="5" fillId="17" borderId="15" xfId="11" applyNumberFormat="1" applyFont="1" applyFill="1" applyBorder="1"/>
    <xf numFmtId="10" fontId="6" fillId="18" borderId="108" xfId="11" applyNumberFormat="1" applyFont="1" applyFill="1" applyBorder="1"/>
    <xf numFmtId="0" fontId="6" fillId="15" borderId="15" xfId="9" applyFont="1" applyFill="1" applyBorder="1"/>
    <xf numFmtId="169" fontId="5" fillId="15" borderId="15" xfId="3" applyNumberFormat="1" applyFont="1" applyFill="1" applyBorder="1"/>
    <xf numFmtId="169" fontId="5" fillId="15" borderId="0" xfId="3" applyNumberFormat="1" applyFont="1" applyFill="1" applyBorder="1"/>
    <xf numFmtId="169" fontId="6" fillId="15" borderId="15" xfId="3" applyNumberFormat="1" applyFont="1" applyFill="1" applyBorder="1"/>
    <xf numFmtId="10" fontId="6" fillId="15" borderId="108" xfId="11" applyNumberFormat="1" applyFont="1" applyFill="1" applyBorder="1"/>
    <xf numFmtId="0" fontId="6" fillId="0" borderId="109" xfId="9" applyFont="1" applyBorder="1"/>
    <xf numFmtId="10" fontId="5" fillId="17" borderId="110" xfId="11" applyNumberFormat="1" applyFont="1" applyFill="1" applyBorder="1"/>
    <xf numFmtId="169" fontId="5" fillId="0" borderId="2" xfId="9" applyNumberFormat="1" applyBorder="1"/>
    <xf numFmtId="169" fontId="5" fillId="0" borderId="15" xfId="9" applyNumberFormat="1" applyBorder="1"/>
    <xf numFmtId="0" fontId="5" fillId="0" borderId="107" xfId="9" applyBorder="1"/>
    <xf numFmtId="0" fontId="5" fillId="0" borderId="45" xfId="9" applyBorder="1"/>
    <xf numFmtId="44" fontId="5" fillId="0" borderId="45" xfId="3" applyFont="1" applyBorder="1"/>
    <xf numFmtId="169" fontId="5" fillId="0" borderId="45" xfId="9" applyNumberFormat="1" applyBorder="1"/>
    <xf numFmtId="169" fontId="5" fillId="0" borderId="108" xfId="9" applyNumberFormat="1" applyBorder="1"/>
    <xf numFmtId="9" fontId="6" fillId="0" borderId="0" xfId="10" applyFont="1"/>
    <xf numFmtId="169" fontId="6" fillId="0" borderId="0" xfId="3" applyNumberFormat="1" applyFont="1"/>
    <xf numFmtId="0" fontId="85" fillId="0" borderId="0" xfId="9" applyFont="1"/>
    <xf numFmtId="9" fontId="75" fillId="0" borderId="0" xfId="10" applyNumberFormat="1" applyFont="1"/>
    <xf numFmtId="0" fontId="6" fillId="13" borderId="21" xfId="9" applyFont="1" applyFill="1" applyBorder="1" applyAlignment="1">
      <alignment horizontal="left" wrapText="1"/>
    </xf>
    <xf numFmtId="44" fontId="5" fillId="13" borderId="2" xfId="3" applyFont="1" applyFill="1" applyBorder="1" applyAlignment="1">
      <alignment horizontal="center"/>
    </xf>
    <xf numFmtId="169" fontId="5" fillId="13" borderId="15" xfId="3" applyNumberFormat="1" applyFont="1" applyFill="1" applyBorder="1" applyAlignment="1">
      <alignment horizontal="center"/>
    </xf>
    <xf numFmtId="0" fontId="6" fillId="13" borderId="21" xfId="9" applyFont="1" applyFill="1" applyBorder="1" applyAlignment="1">
      <alignment horizontal="left"/>
    </xf>
    <xf numFmtId="44" fontId="6" fillId="13" borderId="2" xfId="3" applyFont="1" applyFill="1" applyBorder="1" applyAlignment="1">
      <alignment horizontal="center"/>
    </xf>
    <xf numFmtId="169" fontId="6" fillId="13" borderId="15" xfId="3" applyNumberFormat="1" applyFont="1" applyFill="1" applyBorder="1" applyAlignment="1">
      <alignment horizontal="center"/>
    </xf>
    <xf numFmtId="0" fontId="5" fillId="13" borderId="21" xfId="9" applyFill="1" applyBorder="1" applyAlignment="1">
      <alignment horizontal="left"/>
    </xf>
    <xf numFmtId="44" fontId="5" fillId="13" borderId="15" xfId="3" applyFont="1" applyFill="1" applyBorder="1" applyAlignment="1">
      <alignment horizontal="center"/>
    </xf>
    <xf numFmtId="0" fontId="6" fillId="13" borderId="107" xfId="9" applyFont="1" applyFill="1" applyBorder="1" applyAlignment="1">
      <alignment horizontal="left"/>
    </xf>
    <xf numFmtId="10" fontId="6" fillId="13" borderId="45" xfId="11" applyNumberFormat="1" applyFont="1" applyFill="1" applyBorder="1" applyAlignment="1">
      <alignment horizontal="center"/>
    </xf>
    <xf numFmtId="10" fontId="6" fillId="13" borderId="108" xfId="11" applyNumberFormat="1" applyFont="1" applyFill="1" applyBorder="1" applyAlignment="1">
      <alignment horizontal="center"/>
    </xf>
    <xf numFmtId="0" fontId="0" fillId="13" borderId="0" xfId="0" applyFill="1" applyAlignment="1">
      <alignment horizontal="left"/>
    </xf>
    <xf numFmtId="0" fontId="0" fillId="13" borderId="0" xfId="0" applyFill="1" applyAlignment="1">
      <alignment horizontal="center"/>
    </xf>
    <xf numFmtId="0" fontId="5" fillId="19" borderId="106" xfId="9" applyFill="1" applyBorder="1" applyAlignment="1">
      <alignment horizontal="left"/>
    </xf>
    <xf numFmtId="0" fontId="6" fillId="19" borderId="115" xfId="9" applyFont="1" applyFill="1" applyBorder="1" applyAlignment="1">
      <alignment horizontal="center"/>
    </xf>
    <xf numFmtId="0" fontId="6" fillId="19" borderId="14" xfId="9" applyFont="1" applyFill="1" applyBorder="1" applyAlignment="1">
      <alignment horizontal="center"/>
    </xf>
    <xf numFmtId="0" fontId="5" fillId="0" borderId="2" xfId="9" applyBorder="1" applyAlignment="1">
      <alignment horizontal="left" wrapText="1"/>
    </xf>
    <xf numFmtId="0" fontId="5" fillId="0" borderId="15" xfId="9" applyBorder="1"/>
    <xf numFmtId="0" fontId="5" fillId="0" borderId="15" xfId="9" applyBorder="1" applyAlignment="1">
      <alignment horizontal="left" wrapText="1"/>
    </xf>
    <xf numFmtId="0" fontId="5" fillId="0" borderId="108" xfId="9" applyBorder="1"/>
    <xf numFmtId="0" fontId="6" fillId="13" borderId="21" xfId="9" applyFont="1" applyFill="1" applyBorder="1" applyAlignment="1">
      <alignment horizontal="center" wrapText="1"/>
    </xf>
    <xf numFmtId="169" fontId="6" fillId="13" borderId="2" xfId="3" applyNumberFormat="1" applyFont="1" applyFill="1" applyBorder="1"/>
    <xf numFmtId="169" fontId="6" fillId="13" borderId="15" xfId="3" applyNumberFormat="1" applyFont="1" applyFill="1" applyBorder="1"/>
    <xf numFmtId="0" fontId="6" fillId="13" borderId="2" xfId="9" applyFont="1" applyFill="1" applyBorder="1"/>
    <xf numFmtId="0" fontId="6" fillId="13" borderId="21" xfId="9" applyFont="1" applyFill="1" applyBorder="1" applyAlignment="1">
      <alignment wrapText="1"/>
    </xf>
    <xf numFmtId="0" fontId="6" fillId="13" borderId="21" xfId="9" applyFont="1" applyFill="1" applyBorder="1"/>
    <xf numFmtId="0" fontId="5" fillId="13" borderId="21" xfId="9" applyFill="1" applyBorder="1"/>
    <xf numFmtId="0" fontId="5" fillId="13" borderId="15" xfId="9" applyFill="1" applyBorder="1"/>
    <xf numFmtId="0" fontId="6" fillId="13" borderId="21" xfId="9" applyFont="1" applyFill="1" applyBorder="1" applyAlignment="1">
      <alignment horizontal="center"/>
    </xf>
    <xf numFmtId="10" fontId="5" fillId="13" borderId="2" xfId="11" applyNumberFormat="1" applyFont="1" applyFill="1" applyBorder="1"/>
    <xf numFmtId="10" fontId="6" fillId="13" borderId="45" xfId="11" applyNumberFormat="1" applyFont="1" applyFill="1" applyBorder="1"/>
    <xf numFmtId="0" fontId="6" fillId="0" borderId="0" xfId="9" applyFont="1" applyBorder="1"/>
    <xf numFmtId="0" fontId="5" fillId="0" borderId="106" xfId="9" applyBorder="1"/>
    <xf numFmtId="0" fontId="6" fillId="0" borderId="138" xfId="9" applyFont="1" applyBorder="1" applyAlignment="1">
      <alignment horizontal="center"/>
    </xf>
    <xf numFmtId="169" fontId="6" fillId="13" borderId="2" xfId="9" applyNumberFormat="1" applyFont="1" applyFill="1" applyBorder="1" applyAlignment="1">
      <alignment horizontal="center"/>
    </xf>
    <xf numFmtId="169" fontId="6" fillId="13" borderId="15" xfId="9" applyNumberFormat="1" applyFont="1" applyFill="1" applyBorder="1" applyAlignment="1">
      <alignment horizontal="center"/>
    </xf>
    <xf numFmtId="169" fontId="0" fillId="0" borderId="93" xfId="3" applyNumberFormat="1" applyFont="1" applyBorder="1" applyAlignment="1">
      <alignment horizontal="center"/>
    </xf>
    <xf numFmtId="169" fontId="0" fillId="0" borderId="110" xfId="3" applyNumberFormat="1" applyFont="1" applyBorder="1" applyAlignment="1">
      <alignment horizontal="center"/>
    </xf>
    <xf numFmtId="169" fontId="0" fillId="0" borderId="2" xfId="3" applyNumberFormat="1" applyFont="1" applyBorder="1" applyAlignment="1">
      <alignment horizontal="center"/>
    </xf>
    <xf numFmtId="169" fontId="0" fillId="0" borderId="15" xfId="3" applyNumberFormat="1" applyFont="1" applyBorder="1" applyAlignment="1">
      <alignment horizontal="center"/>
    </xf>
    <xf numFmtId="169" fontId="6" fillId="0" borderId="2" xfId="3" applyNumberFormat="1" applyFont="1" applyBorder="1" applyAlignment="1">
      <alignment horizontal="center"/>
    </xf>
    <xf numFmtId="169" fontId="6" fillId="0" borderId="15" xfId="3" applyNumberFormat="1" applyFont="1" applyBorder="1" applyAlignment="1">
      <alignment horizontal="center"/>
    </xf>
    <xf numFmtId="169" fontId="5" fillId="13" borderId="2" xfId="3" applyNumberFormat="1" applyFont="1" applyFill="1" applyBorder="1" applyAlignment="1">
      <alignment horizontal="center"/>
    </xf>
    <xf numFmtId="0" fontId="8" fillId="0" borderId="3" xfId="0" applyFont="1" applyFill="1" applyBorder="1" applyAlignment="1">
      <alignment horizontal="center"/>
    </xf>
    <xf numFmtId="9" fontId="5" fillId="2" borderId="62" xfId="10" applyFont="1" applyFill="1" applyBorder="1"/>
    <xf numFmtId="0" fontId="9" fillId="0" borderId="3" xfId="0" applyFont="1" applyFill="1" applyBorder="1"/>
    <xf numFmtId="0" fontId="5" fillId="0" borderId="0" xfId="0" applyFont="1" applyFill="1" applyBorder="1" applyAlignment="1">
      <alignment horizontal="left" indent="1"/>
    </xf>
    <xf numFmtId="0" fontId="87" fillId="0" borderId="0" xfId="0" applyFont="1"/>
    <xf numFmtId="44" fontId="5" fillId="0" borderId="62" xfId="10" applyNumberFormat="1" applyFont="1" applyFill="1" applyBorder="1"/>
    <xf numFmtId="169" fontId="5" fillId="17" borderId="0" xfId="0" applyNumberFormat="1" applyFont="1" applyFill="1" applyBorder="1"/>
    <xf numFmtId="9" fontId="0" fillId="0" borderId="0" xfId="12" applyFont="1"/>
    <xf numFmtId="0" fontId="6" fillId="6" borderId="30" xfId="0" applyFont="1" applyFill="1" applyBorder="1" applyAlignment="1">
      <alignment horizontal="center"/>
    </xf>
    <xf numFmtId="0" fontId="6" fillId="6" borderId="43" xfId="0" applyFont="1" applyFill="1" applyBorder="1" applyAlignment="1">
      <alignment horizontal="center"/>
    </xf>
    <xf numFmtId="0" fontId="6" fillId="0" borderId="106" xfId="0" applyFont="1" applyBorder="1"/>
    <xf numFmtId="14" fontId="0" fillId="0" borderId="115" xfId="0" applyNumberFormat="1" applyBorder="1"/>
    <xf numFmtId="169" fontId="5" fillId="0" borderId="115" xfId="5" applyNumberFormat="1" applyFont="1" applyBorder="1" applyAlignment="1">
      <alignment horizontal="right"/>
    </xf>
    <xf numFmtId="14" fontId="5" fillId="0" borderId="115" xfId="0" applyNumberFormat="1" applyFont="1" applyBorder="1" applyAlignment="1">
      <alignment horizontal="right"/>
    </xf>
    <xf numFmtId="43" fontId="0" fillId="0" borderId="0" xfId="0" applyNumberFormat="1"/>
    <xf numFmtId="44" fontId="0" fillId="0" borderId="0" xfId="5" applyFont="1"/>
    <xf numFmtId="14" fontId="0" fillId="0" borderId="2" xfId="0" applyNumberFormat="1" applyBorder="1"/>
    <xf numFmtId="169" fontId="5" fillId="0" borderId="2" xfId="5" applyNumberFormat="1" applyFont="1" applyBorder="1" applyAlignment="1">
      <alignment horizontal="right"/>
    </xf>
    <xf numFmtId="14" fontId="5" fillId="0" borderId="2" xfId="0" applyNumberFormat="1" applyFont="1" applyBorder="1" applyAlignment="1">
      <alignment horizontal="right"/>
    </xf>
    <xf numFmtId="14" fontId="0" fillId="0" borderId="45" xfId="0" applyNumberFormat="1" applyBorder="1"/>
    <xf numFmtId="169" fontId="5" fillId="0" borderId="45" xfId="5" applyNumberFormat="1" applyFont="1" applyBorder="1" applyAlignment="1">
      <alignment horizontal="right"/>
    </xf>
    <xf numFmtId="14" fontId="5" fillId="0" borderId="45" xfId="0" applyNumberFormat="1" applyFont="1" applyBorder="1" applyAlignment="1">
      <alignment horizontal="right"/>
    </xf>
    <xf numFmtId="0" fontId="6" fillId="6" borderId="30" xfId="0" applyFont="1" applyFill="1" applyBorder="1"/>
    <xf numFmtId="0" fontId="5" fillId="6" borderId="43" xfId="0" applyFont="1" applyFill="1" applyBorder="1"/>
    <xf numFmtId="169" fontId="6" fillId="6" borderId="43" xfId="0" applyNumberFormat="1" applyFont="1" applyFill="1" applyBorder="1" applyAlignment="1">
      <alignment horizontal="right"/>
    </xf>
    <xf numFmtId="0" fontId="6" fillId="6" borderId="43" xfId="0" applyFont="1" applyFill="1" applyBorder="1"/>
    <xf numFmtId="0" fontId="83" fillId="0" borderId="0" xfId="0" applyFont="1"/>
    <xf numFmtId="169" fontId="0" fillId="0" borderId="0" xfId="0" applyNumberFormat="1"/>
    <xf numFmtId="169" fontId="0" fillId="0" borderId="0" xfId="5" applyNumberFormat="1" applyFont="1"/>
    <xf numFmtId="5" fontId="78" fillId="4" borderId="9" xfId="8" applyNumberFormat="1" applyFont="1" applyFill="1" applyBorder="1" applyAlignment="1">
      <alignment horizontal="center"/>
    </xf>
    <xf numFmtId="5" fontId="80" fillId="4" borderId="4" xfId="8" applyNumberFormat="1" applyFont="1" applyFill="1" applyBorder="1" applyAlignment="1">
      <alignment horizontal="center"/>
    </xf>
    <xf numFmtId="5" fontId="78" fillId="4" borderId="9" xfId="8" applyNumberFormat="1" applyFont="1" applyFill="1" applyBorder="1" applyAlignment="1">
      <alignment horizontal="center" wrapText="1"/>
    </xf>
    <xf numFmtId="5" fontId="78" fillId="4" borderId="4" xfId="8" applyNumberFormat="1" applyFont="1" applyFill="1" applyBorder="1" applyAlignment="1">
      <alignment horizontal="center" wrapText="1"/>
    </xf>
    <xf numFmtId="5" fontId="78" fillId="4" borderId="4" xfId="8" applyNumberFormat="1" applyFont="1" applyFill="1" applyBorder="1" applyAlignment="1">
      <alignment horizontal="center"/>
    </xf>
    <xf numFmtId="0" fontId="15" fillId="0" borderId="0" xfId="0" applyFont="1" applyFill="1" applyBorder="1" applyAlignment="1">
      <alignment horizontal="center"/>
    </xf>
    <xf numFmtId="0" fontId="15" fillId="0" borderId="0" xfId="0" applyFont="1" applyAlignment="1">
      <alignment horizontal="center"/>
    </xf>
    <xf numFmtId="0" fontId="0" fillId="0" borderId="0" xfId="0" applyAlignment="1">
      <alignment horizontal="center"/>
    </xf>
    <xf numFmtId="0" fontId="5" fillId="0" borderId="0" xfId="0" applyFont="1" applyFill="1" applyBorder="1" applyAlignment="1">
      <alignment horizontal="left" wrapText="1"/>
    </xf>
    <xf numFmtId="0" fontId="5" fillId="0" borderId="29" xfId="0" applyFont="1" applyFill="1" applyBorder="1" applyAlignment="1">
      <alignment horizontal="left" wrapText="1"/>
    </xf>
    <xf numFmtId="0" fontId="5" fillId="0" borderId="0" xfId="9" applyAlignment="1">
      <alignment horizontal="left" wrapText="1"/>
    </xf>
    <xf numFmtId="0" fontId="6" fillId="0" borderId="12" xfId="9" applyFont="1" applyBorder="1" applyAlignment="1">
      <alignment horizontal="center"/>
    </xf>
    <xf numFmtId="0" fontId="6" fillId="0" borderId="33" xfId="9" applyFont="1" applyBorder="1" applyAlignment="1">
      <alignment horizontal="center"/>
    </xf>
    <xf numFmtId="0" fontId="6" fillId="0" borderId="21" xfId="9" applyFont="1" applyBorder="1" applyAlignment="1">
      <alignment horizontal="center" wrapText="1"/>
    </xf>
    <xf numFmtId="0" fontId="6" fillId="0" borderId="2" xfId="9" applyFont="1" applyBorder="1" applyAlignment="1">
      <alignment horizontal="center" wrapText="1"/>
    </xf>
    <xf numFmtId="0" fontId="6" fillId="0" borderId="0" xfId="9" applyFont="1" applyAlignment="1">
      <alignment horizontal="center"/>
    </xf>
    <xf numFmtId="0" fontId="0" fillId="0" borderId="52" xfId="0" applyFill="1" applyBorder="1" applyAlignment="1">
      <alignment wrapText="1"/>
    </xf>
    <xf numFmtId="0" fontId="0" fillId="0" borderId="0" xfId="0" applyFill="1" applyBorder="1" applyAlignment="1">
      <alignment vertical="center" wrapText="1"/>
    </xf>
    <xf numFmtId="0" fontId="0" fillId="0" borderId="9" xfId="0" applyFill="1" applyBorder="1" applyAlignment="1">
      <alignment horizontal="center"/>
    </xf>
    <xf numFmtId="0" fontId="0" fillId="0" borderId="4" xfId="0" applyFill="1" applyBorder="1" applyAlignment="1">
      <alignment horizontal="center"/>
    </xf>
    <xf numFmtId="0" fontId="0" fillId="0" borderId="139" xfId="0" applyFill="1" applyBorder="1" applyAlignment="1">
      <alignment horizontal="center"/>
    </xf>
    <xf numFmtId="0" fontId="52" fillId="8" borderId="12" xfId="0" applyFont="1" applyFill="1" applyBorder="1" applyAlignment="1">
      <alignment horizontal="center"/>
    </xf>
    <xf numFmtId="0" fontId="52" fillId="8" borderId="32" xfId="0" applyFont="1" applyFill="1" applyBorder="1" applyAlignment="1">
      <alignment horizontal="center"/>
    </xf>
    <xf numFmtId="0" fontId="52" fillId="8" borderId="33" xfId="0" applyFont="1" applyFill="1" applyBorder="1" applyAlignment="1">
      <alignment horizontal="center"/>
    </xf>
    <xf numFmtId="0" fontId="52" fillId="8" borderId="30" xfId="0" applyFont="1" applyFill="1" applyBorder="1" applyAlignment="1">
      <alignment horizontal="center"/>
    </xf>
    <xf numFmtId="0" fontId="52" fillId="8" borderId="43" xfId="0" applyFont="1" applyFill="1" applyBorder="1" applyAlignment="1">
      <alignment horizontal="center"/>
    </xf>
    <xf numFmtId="0" fontId="52" fillId="8" borderId="31" xfId="0" applyFont="1" applyFill="1" applyBorder="1" applyAlignment="1">
      <alignment horizontal="center"/>
    </xf>
    <xf numFmtId="0" fontId="9" fillId="0" borderId="0" xfId="0" applyFont="1" applyAlignment="1">
      <alignment horizontal="center" wrapText="1"/>
    </xf>
    <xf numFmtId="0" fontId="9" fillId="0" borderId="0" xfId="0" applyFont="1" applyAlignment="1">
      <alignment horizontal="center"/>
    </xf>
    <xf numFmtId="0" fontId="8" fillId="0" borderId="0" xfId="0" applyFont="1" applyFill="1" applyBorder="1" applyAlignment="1">
      <alignment horizontal="center"/>
    </xf>
    <xf numFmtId="0" fontId="8" fillId="0" borderId="0" xfId="0" applyFont="1" applyFill="1" applyAlignment="1">
      <alignment horizontal="center"/>
    </xf>
    <xf numFmtId="0" fontId="6" fillId="0" borderId="106" xfId="0" applyFont="1" applyBorder="1" applyAlignment="1">
      <alignment horizontal="center"/>
    </xf>
    <xf numFmtId="0" fontId="6" fillId="0" borderId="115" xfId="0" applyFont="1" applyBorder="1" applyAlignment="1">
      <alignment horizontal="center"/>
    </xf>
    <xf numFmtId="0" fontId="6" fillId="0" borderId="14" xfId="0" applyFont="1" applyBorder="1" applyAlignment="1">
      <alignment horizontal="center"/>
    </xf>
  </cellXfs>
  <cellStyles count="17">
    <cellStyle name="Comma" xfId="1" builtinId="3"/>
    <cellStyle name="Comma 2" xfId="2"/>
    <cellStyle name="Currency" xfId="3" builtinId="4"/>
    <cellStyle name="Currency 2" xfId="4"/>
    <cellStyle name="Currency 3" xfId="5"/>
    <cellStyle name="Euro" xfId="6"/>
    <cellStyle name="Hyperlink" xfId="7" builtinId="8"/>
    <cellStyle name="Normal" xfId="0" builtinId="0"/>
    <cellStyle name="Normal 2" xfId="8"/>
    <cellStyle name="Normal 3" xfId="9"/>
    <cellStyle name="Percent" xfId="10" builtinId="5"/>
    <cellStyle name="Percent 2" xfId="11"/>
    <cellStyle name="Percent 3" xfId="12"/>
    <cellStyle name="PSChar" xfId="13"/>
    <cellStyle name="PSDate" xfId="14"/>
    <cellStyle name="PSDec" xfId="15"/>
    <cellStyle name="PSHeading" xfId="16"/>
  </cellStyles>
  <dxfs count="17">
    <dxf>
      <font>
        <b/>
        <i val="0"/>
        <condense val="0"/>
        <extend val="0"/>
        <color indexed="10"/>
      </font>
      <fill>
        <patternFill>
          <bgColor indexed="42"/>
        </patternFill>
      </fill>
    </dxf>
    <dxf>
      <font>
        <b/>
        <i val="0"/>
        <condense val="0"/>
        <extend val="0"/>
        <color indexed="10"/>
      </font>
      <fill>
        <patternFill>
          <bgColor indexed="42"/>
        </patternFill>
      </fill>
    </dxf>
    <dxf>
      <font>
        <b/>
        <i val="0"/>
        <condense val="0"/>
        <extend val="0"/>
        <color indexed="10"/>
      </font>
      <fill>
        <patternFill>
          <bgColor indexed="42"/>
        </patternFill>
      </fill>
    </dxf>
    <dxf>
      <font>
        <b/>
        <i val="0"/>
        <condense val="0"/>
        <extend val="0"/>
        <color indexed="10"/>
      </font>
      <fill>
        <patternFill>
          <bgColor indexed="42"/>
        </patternFill>
      </fill>
    </dxf>
    <dxf>
      <font>
        <b/>
        <i val="0"/>
        <condense val="0"/>
        <extend val="0"/>
        <color indexed="10"/>
      </font>
      <fill>
        <patternFill>
          <bgColor indexed="42"/>
        </patternFill>
      </fill>
    </dxf>
    <dxf>
      <font>
        <b/>
        <i val="0"/>
        <condense val="0"/>
        <extend val="0"/>
        <color indexed="10"/>
      </font>
      <fill>
        <patternFill>
          <bgColor indexed="42"/>
        </patternFill>
      </fill>
    </dxf>
    <dxf>
      <font>
        <b/>
        <i val="0"/>
        <condense val="0"/>
        <extend val="0"/>
        <color indexed="10"/>
      </font>
      <fill>
        <patternFill>
          <bgColor indexed="42"/>
        </patternFill>
      </fill>
    </dxf>
    <dxf>
      <font>
        <b/>
        <i val="0"/>
        <condense val="0"/>
        <extend val="0"/>
        <color indexed="10"/>
      </font>
      <fill>
        <patternFill>
          <bgColor indexed="42"/>
        </patternFill>
      </fill>
    </dxf>
    <dxf>
      <font>
        <condense val="0"/>
        <extend val="0"/>
        <color indexed="42"/>
      </font>
      <fill>
        <patternFill>
          <bgColor indexed="42"/>
        </patternFill>
      </fill>
    </dxf>
    <dxf>
      <font>
        <condense val="0"/>
        <extend val="0"/>
        <color indexed="55"/>
      </font>
      <fill>
        <patternFill>
          <bgColor indexed="22"/>
        </patternFill>
      </fill>
    </dxf>
    <dxf>
      <font>
        <b/>
        <i val="0"/>
        <condense val="0"/>
        <extend val="0"/>
        <color indexed="10"/>
      </font>
      <fill>
        <patternFill>
          <bgColor indexed="9"/>
        </patternFill>
      </fill>
    </dxf>
    <dxf>
      <font>
        <b/>
        <i val="0"/>
        <condense val="0"/>
        <extend val="0"/>
        <color indexed="10"/>
      </font>
      <fill>
        <patternFill>
          <bgColor indexed="9"/>
        </patternFill>
      </fill>
    </dxf>
    <dxf>
      <font>
        <b/>
        <i val="0"/>
        <condense val="0"/>
        <extend val="0"/>
      </font>
      <fill>
        <patternFill>
          <bgColor indexed="22"/>
        </patternFill>
      </fill>
    </dxf>
    <dxf>
      <font>
        <condense val="0"/>
        <extend val="0"/>
        <color auto="1"/>
      </font>
      <fill>
        <patternFill>
          <bgColor indexed="13"/>
        </patternFill>
      </fill>
    </dxf>
    <dxf>
      <fill>
        <patternFill>
          <bgColor indexed="22"/>
        </patternFill>
      </fill>
    </dxf>
    <dxf>
      <font>
        <b/>
        <i val="0"/>
        <condense val="0"/>
        <extend val="0"/>
        <color indexed="10"/>
      </font>
      <fill>
        <patternFill>
          <bgColor indexed="9"/>
        </patternFill>
      </fill>
    </dxf>
    <dxf>
      <font>
        <b/>
        <i val="0"/>
        <condense val="0"/>
        <extend val="0"/>
        <color indexed="10"/>
      </font>
      <fill>
        <patternFill>
          <bgColor indexed="9"/>
        </patternFill>
      </fill>
    </dxf>
  </dxfs>
  <tableStyles count="0" defaultTableStyle="TableStyleMedium9" defaultPivotStyle="PivotStyleLight16"/>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9" Type="http://schemas.openxmlformats.org/officeDocument/2006/relationships/externalLink" Target="externalLinks/externalLink8.xml" />
  <Relationship Id="rId3" Type="http://schemas.openxmlformats.org/officeDocument/2006/relationships/worksheet" Target="worksheets/sheet3.xml" />
  <Relationship Id="rId21" Type="http://schemas.openxmlformats.org/officeDocument/2006/relationships/worksheet" Target="worksheets/sheet21.xml" />
  <Relationship Id="rId34" Type="http://schemas.openxmlformats.org/officeDocument/2006/relationships/externalLink" Target="externalLinks/externalLink3.xml" />
  <Relationship Id="rId42" Type="http://schemas.openxmlformats.org/officeDocument/2006/relationships/styles" Target="styles.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externalLink" Target="externalLinks/externalLink2.xml" />
  <Relationship Id="rId38" Type="http://schemas.openxmlformats.org/officeDocument/2006/relationships/externalLink" Target="externalLinks/externalLink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worksheet" Target="worksheets/sheet29.xml" />
  <Relationship Id="rId41"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externalLink" Target="externalLinks/externalLink1.xml" />
  <Relationship Id="rId37" Type="http://schemas.openxmlformats.org/officeDocument/2006/relationships/externalLink" Target="externalLinks/externalLink6.xml" />
  <Relationship Id="rId40" Type="http://schemas.openxmlformats.org/officeDocument/2006/relationships/externalLink" Target="externalLinks/externalLink9.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36" Type="http://schemas.openxmlformats.org/officeDocument/2006/relationships/externalLink" Target="externalLinks/externalLink5.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worksheet" Target="worksheets/sheet31.xml" />
  <Relationship Id="rId44"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35" Type="http://schemas.openxmlformats.org/officeDocument/2006/relationships/externalLink" Target="externalLinks/externalLink4.xml" />
  <Relationship Id="rId43" Type="http://schemas.openxmlformats.org/officeDocument/2006/relationships/sharedStrings" Target="sharedStrings.xml" />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lgate's\PROPOSALS\56255%20-%20TETS\Pricing%2012\R&amp;M%20Meeting%20Attachm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MChang\Local%20Settings\Temporary%20Internet%20Files\OLK35\ManTech%20Sub%20Price%20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ite.mantech.com/Price2/Submitted%20Proposals/56321%20-%20Landstuhl/Pricing%20Scenes/Pricing%20Scene%201/Price%20Mod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ite.mantech.com/Price2/Submitted%20Proposals/56295%20-%20SPAWAR%20C4ISR/Pricing%20Scenes/Pricing%206/MADG%20-%20Prime/Price%20Model%20-%20MADG%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xmicfp02\corp04vol5\Pricing\Price2\Submitted%20Proposals\P-12000%20-%20P-12999\P-12246%20-%20JCCC\Pricing%20Scenes\Pricing%20Scene%201\LOE%20Form%20Template%20(aka%20BOE)%20--%20JCCC%20(ISA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xmicfp02\corp04vol5\Pricing\Price2\Submitted%20Proposals\P-12000%20-%20P-12999\P-12246%20-%20JCCC\Pricing%20Scenes\Pricing%20Scene%201\Body%20Armor%20Quo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axmicfp02\corp04vol5\Price2\Current%20Proposals\P-12346%20-%20JALLC%20Recompete\Pricing%20Scenes\Pricing%20Scene%201\Cost%20Model%20JALL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cmredon/Local%20Settings/Temporary%20Internet%20Files/Content.Outlook/T82OARSV/OCT%20HRLY%20RAT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axmicfp02\corp04vol5\Price2\Current%20Proposals\P-10272B%20-%20ATM%20Kandahar\Pricing%20Scenes\Pricing%20Scene%204_Optional%20Pricing%20Adjustment\Cost%20Model%20Kandaha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te Analysis"/>
      <sheetName val="#REF"/>
      <sheetName val="InputSheet"/>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putSheet"/>
      <sheetName val="WBS1"/>
      <sheetName val="WBS Hrs."/>
      <sheetName val="T&amp;M1"/>
      <sheetName val="CPFF"/>
      <sheetName val="Hour Allocation"/>
      <sheetName val="Ratebook2004"/>
      <sheetName val="FCCOM"/>
      <sheetName val="Indirects"/>
      <sheetName val="GSA "/>
      <sheetName val="Ratebook2005"/>
    </sheetNames>
    <sheetDataSet>
      <sheetData sheetId="0" refreshError="1">
        <row r="112">
          <cell r="D112" t="str">
            <v>All</v>
          </cell>
          <cell r="E112" t="str">
            <v>Cat1</v>
          </cell>
          <cell r="G112">
            <v>1</v>
          </cell>
          <cell r="I112">
            <v>33.65</v>
          </cell>
        </row>
        <row r="113">
          <cell r="D113" t="str">
            <v>Personnel</v>
          </cell>
          <cell r="E113" t="str">
            <v>RFP Category</v>
          </cell>
          <cell r="F113" t="str">
            <v>Key 
Personnel</v>
          </cell>
          <cell r="G113">
            <v>2</v>
          </cell>
          <cell r="H113" t="str">
            <v>Code</v>
          </cell>
          <cell r="I113">
            <v>27.84</v>
          </cell>
        </row>
        <row r="114">
          <cell r="D114">
            <v>1</v>
          </cell>
          <cell r="E114" t="str">
            <v>Cat1</v>
          </cell>
          <cell r="G114">
            <v>1</v>
          </cell>
          <cell r="I114">
            <v>33.65</v>
          </cell>
        </row>
        <row r="115">
          <cell r="D115">
            <v>2</v>
          </cell>
          <cell r="E115" t="str">
            <v>Cat2</v>
          </cell>
          <cell r="G115">
            <v>2</v>
          </cell>
          <cell r="I115">
            <v>27.84</v>
          </cell>
        </row>
        <row r="116">
          <cell r="D116">
            <v>3</v>
          </cell>
          <cell r="E116" t="str">
            <v>Cat3</v>
          </cell>
          <cell r="G116">
            <v>3</v>
          </cell>
          <cell r="I116">
            <v>34.28</v>
          </cell>
        </row>
        <row r="117">
          <cell r="D117">
            <v>4</v>
          </cell>
          <cell r="E117" t="str">
            <v>Cat4</v>
          </cell>
          <cell r="G117">
            <v>4</v>
          </cell>
          <cell r="I117">
            <v>34.28</v>
          </cell>
        </row>
        <row r="118">
          <cell r="D118">
            <v>5</v>
          </cell>
          <cell r="E118" t="str">
            <v>Cat5</v>
          </cell>
          <cell r="G118">
            <v>5</v>
          </cell>
          <cell r="I118">
            <v>28.51</v>
          </cell>
        </row>
        <row r="119">
          <cell r="D119">
            <v>6</v>
          </cell>
          <cell r="E119" t="str">
            <v>Cat6</v>
          </cell>
          <cell r="G119">
            <v>6</v>
          </cell>
          <cell r="I119">
            <v>13.46</v>
          </cell>
        </row>
        <row r="120">
          <cell r="D120">
            <v>7</v>
          </cell>
          <cell r="E120" t="str">
            <v>Cat7</v>
          </cell>
          <cell r="G120">
            <v>7</v>
          </cell>
          <cell r="I120">
            <v>56.92</v>
          </cell>
        </row>
        <row r="121">
          <cell r="D121">
            <v>8</v>
          </cell>
          <cell r="E121" t="str">
            <v>Cat8</v>
          </cell>
          <cell r="G121">
            <v>8</v>
          </cell>
          <cell r="I121">
            <v>42.36</v>
          </cell>
        </row>
        <row r="122">
          <cell r="D122">
            <v>9</v>
          </cell>
          <cell r="E122" t="str">
            <v>Cat9</v>
          </cell>
          <cell r="G122">
            <v>9</v>
          </cell>
          <cell r="I122">
            <v>41.59</v>
          </cell>
        </row>
        <row r="123">
          <cell r="D123">
            <v>10</v>
          </cell>
          <cell r="E123" t="str">
            <v>Cat10</v>
          </cell>
          <cell r="G123">
            <v>10</v>
          </cell>
          <cell r="I123">
            <v>28.22</v>
          </cell>
        </row>
        <row r="124">
          <cell r="D124">
            <v>11</v>
          </cell>
          <cell r="E124" t="str">
            <v>Cat11</v>
          </cell>
          <cell r="G124">
            <v>11</v>
          </cell>
          <cell r="I124">
            <v>29.18</v>
          </cell>
        </row>
        <row r="125">
          <cell r="D125">
            <v>12</v>
          </cell>
          <cell r="E125" t="str">
            <v>Cat12</v>
          </cell>
          <cell r="G125">
            <v>12</v>
          </cell>
          <cell r="I125">
            <v>24.52</v>
          </cell>
        </row>
        <row r="126">
          <cell r="D126">
            <v>13</v>
          </cell>
          <cell r="E126" t="str">
            <v>Cat13</v>
          </cell>
          <cell r="G126">
            <v>13</v>
          </cell>
          <cell r="I126">
            <v>29.18</v>
          </cell>
        </row>
        <row r="127">
          <cell r="D127">
            <v>14</v>
          </cell>
          <cell r="E127" t="str">
            <v>Cat14</v>
          </cell>
          <cell r="G127">
            <v>14</v>
          </cell>
          <cell r="I127">
            <v>39.380000000000003</v>
          </cell>
        </row>
        <row r="128">
          <cell r="D128">
            <v>15</v>
          </cell>
          <cell r="E128" t="str">
            <v>Cat15</v>
          </cell>
          <cell r="G128">
            <v>15</v>
          </cell>
          <cell r="I128">
            <v>39.380000000000003</v>
          </cell>
        </row>
        <row r="129">
          <cell r="D129">
            <v>16</v>
          </cell>
          <cell r="E129" t="str">
            <v>Cat16</v>
          </cell>
          <cell r="G129">
            <v>16</v>
          </cell>
          <cell r="I129">
            <v>31.25</v>
          </cell>
        </row>
        <row r="130">
          <cell r="D130">
            <v>17</v>
          </cell>
          <cell r="E130" t="str">
            <v>Cat17</v>
          </cell>
          <cell r="G130">
            <v>17</v>
          </cell>
          <cell r="I130">
            <v>42.36</v>
          </cell>
        </row>
        <row r="131">
          <cell r="D131">
            <v>18</v>
          </cell>
          <cell r="E131" t="str">
            <v>Cat18</v>
          </cell>
          <cell r="G131">
            <v>18</v>
          </cell>
          <cell r="I131">
            <v>35.53</v>
          </cell>
        </row>
        <row r="132">
          <cell r="D132">
            <v>19</v>
          </cell>
          <cell r="E132" t="str">
            <v>Cat19</v>
          </cell>
          <cell r="G132">
            <v>19</v>
          </cell>
          <cell r="I132">
            <v>31.25</v>
          </cell>
        </row>
        <row r="133">
          <cell r="D133">
            <v>20</v>
          </cell>
          <cell r="E133" t="str">
            <v>Cat20</v>
          </cell>
          <cell r="G133">
            <v>20</v>
          </cell>
          <cell r="I133">
            <v>31.25</v>
          </cell>
        </row>
        <row r="134">
          <cell r="D134">
            <v>21</v>
          </cell>
          <cell r="E134" t="str">
            <v>Cat21</v>
          </cell>
          <cell r="G134">
            <v>21</v>
          </cell>
          <cell r="I134">
            <v>28.22</v>
          </cell>
        </row>
        <row r="135">
          <cell r="D135">
            <v>22</v>
          </cell>
          <cell r="E135" t="str">
            <v>Cat22</v>
          </cell>
          <cell r="G135">
            <v>22</v>
          </cell>
          <cell r="I135">
            <v>31.25</v>
          </cell>
        </row>
        <row r="136">
          <cell r="D136">
            <v>23</v>
          </cell>
          <cell r="E136" t="str">
            <v>Cat23</v>
          </cell>
          <cell r="G136">
            <v>23</v>
          </cell>
          <cell r="I136">
            <v>28.22</v>
          </cell>
        </row>
        <row r="137">
          <cell r="D137">
            <v>24</v>
          </cell>
          <cell r="E137" t="str">
            <v>Cat24</v>
          </cell>
          <cell r="G137">
            <v>24</v>
          </cell>
          <cell r="I137">
            <v>31.25</v>
          </cell>
        </row>
        <row r="138">
          <cell r="D138">
            <v>25</v>
          </cell>
          <cell r="E138" t="str">
            <v>Cat25</v>
          </cell>
          <cell r="G138">
            <v>25</v>
          </cell>
          <cell r="I138">
            <v>31.25</v>
          </cell>
        </row>
        <row r="139">
          <cell r="D139">
            <v>26</v>
          </cell>
          <cell r="E139" t="str">
            <v>Cat26</v>
          </cell>
          <cell r="G139">
            <v>26</v>
          </cell>
          <cell r="I139">
            <v>31.25</v>
          </cell>
        </row>
        <row r="140">
          <cell r="D140">
            <v>27</v>
          </cell>
          <cell r="E140" t="str">
            <v>Cat27</v>
          </cell>
          <cell r="G140">
            <v>27</v>
          </cell>
          <cell r="I140">
            <v>43.17</v>
          </cell>
        </row>
        <row r="141">
          <cell r="D141">
            <v>28</v>
          </cell>
          <cell r="E141" t="str">
            <v>Cat28</v>
          </cell>
          <cell r="G141">
            <v>28</v>
          </cell>
          <cell r="I141">
            <v>20.43</v>
          </cell>
        </row>
        <row r="142">
          <cell r="D142">
            <v>29</v>
          </cell>
          <cell r="E142" t="str">
            <v>Cat29</v>
          </cell>
          <cell r="G142">
            <v>29</v>
          </cell>
          <cell r="I142">
            <v>20.43</v>
          </cell>
        </row>
        <row r="143">
          <cell r="D143">
            <v>30</v>
          </cell>
          <cell r="E143" t="str">
            <v>Cat30</v>
          </cell>
          <cell r="G143">
            <v>30</v>
          </cell>
          <cell r="I143">
            <v>39.380000000000003</v>
          </cell>
        </row>
        <row r="144">
          <cell r="D144">
            <v>31</v>
          </cell>
          <cell r="E144" t="str">
            <v>Cat31</v>
          </cell>
          <cell r="G144">
            <v>31</v>
          </cell>
          <cell r="I144">
            <v>20.43</v>
          </cell>
        </row>
        <row r="145">
          <cell r="D145">
            <v>32</v>
          </cell>
          <cell r="E145" t="str">
            <v>Cat32</v>
          </cell>
          <cell r="G145">
            <v>32</v>
          </cell>
          <cell r="I145">
            <v>35.869999999999997</v>
          </cell>
        </row>
        <row r="146">
          <cell r="D146">
            <v>33</v>
          </cell>
          <cell r="E146" t="str">
            <v>Cat33</v>
          </cell>
          <cell r="G146">
            <v>33</v>
          </cell>
          <cell r="I146">
            <v>33.65</v>
          </cell>
        </row>
        <row r="147">
          <cell r="D147">
            <v>34</v>
          </cell>
          <cell r="E147" t="str">
            <v>Cat34</v>
          </cell>
          <cell r="G147">
            <v>34</v>
          </cell>
          <cell r="I147">
            <v>43.17</v>
          </cell>
        </row>
        <row r="148">
          <cell r="D148">
            <v>35</v>
          </cell>
          <cell r="E148" t="str">
            <v>Cat35</v>
          </cell>
          <cell r="G148">
            <v>35</v>
          </cell>
          <cell r="I148">
            <v>22.69</v>
          </cell>
        </row>
        <row r="149">
          <cell r="D149">
            <v>36</v>
          </cell>
          <cell r="E149" t="str">
            <v>Cat36</v>
          </cell>
          <cell r="G149">
            <v>36</v>
          </cell>
          <cell r="I149">
            <v>20.43</v>
          </cell>
        </row>
        <row r="150">
          <cell r="D150">
            <v>37</v>
          </cell>
          <cell r="E150" t="str">
            <v>Cat37</v>
          </cell>
          <cell r="G150">
            <v>37</v>
          </cell>
          <cell r="I150">
            <v>29.18</v>
          </cell>
        </row>
        <row r="151">
          <cell r="D151">
            <v>38</v>
          </cell>
          <cell r="E151" t="str">
            <v>Cat38</v>
          </cell>
          <cell r="G151">
            <v>38</v>
          </cell>
          <cell r="I151">
            <v>20.05</v>
          </cell>
        </row>
        <row r="152">
          <cell r="D152">
            <v>39</v>
          </cell>
          <cell r="E152" t="str">
            <v>Cat39</v>
          </cell>
          <cell r="G152">
            <v>39</v>
          </cell>
          <cell r="I152">
            <v>13.46</v>
          </cell>
        </row>
        <row r="153">
          <cell r="D153">
            <v>40</v>
          </cell>
          <cell r="E153" t="str">
            <v>Cat40</v>
          </cell>
          <cell r="G153">
            <v>40</v>
          </cell>
          <cell r="I153">
            <v>13.46</v>
          </cell>
        </row>
        <row r="154">
          <cell r="D154">
            <v>41</v>
          </cell>
          <cell r="E154" t="str">
            <v>Cat41</v>
          </cell>
          <cell r="G154">
            <v>41</v>
          </cell>
          <cell r="I154">
            <v>34.659999999999997</v>
          </cell>
        </row>
        <row r="155">
          <cell r="D155">
            <v>42</v>
          </cell>
          <cell r="E155" t="str">
            <v>Cat42</v>
          </cell>
          <cell r="G155">
            <v>42</v>
          </cell>
          <cell r="I155">
            <v>34.659999999999997</v>
          </cell>
        </row>
        <row r="156">
          <cell r="D156">
            <v>43</v>
          </cell>
          <cell r="E156" t="str">
            <v>Cat43</v>
          </cell>
          <cell r="G156">
            <v>43</v>
          </cell>
          <cell r="I156">
            <v>20.43</v>
          </cell>
        </row>
        <row r="157">
          <cell r="D157">
            <v>44</v>
          </cell>
          <cell r="E157" t="str">
            <v>Cat44</v>
          </cell>
          <cell r="G157">
            <v>44</v>
          </cell>
          <cell r="I157">
            <v>24.04</v>
          </cell>
        </row>
        <row r="158">
          <cell r="D158">
            <v>45</v>
          </cell>
          <cell r="E158" t="str">
            <v>Cat45</v>
          </cell>
          <cell r="G158">
            <v>45</v>
          </cell>
          <cell r="I158">
            <v>20.43</v>
          </cell>
        </row>
        <row r="159">
          <cell r="D159">
            <v>46</v>
          </cell>
          <cell r="E159" t="str">
            <v>Cat46</v>
          </cell>
          <cell r="G159">
            <v>46</v>
          </cell>
          <cell r="I159">
            <v>28.22</v>
          </cell>
        </row>
        <row r="160">
          <cell r="D160">
            <v>47</v>
          </cell>
          <cell r="E160" t="str">
            <v>Cat47</v>
          </cell>
          <cell r="G160">
            <v>47</v>
          </cell>
          <cell r="I160">
            <v>43.17</v>
          </cell>
        </row>
        <row r="161">
          <cell r="D161">
            <v>48</v>
          </cell>
          <cell r="E161" t="str">
            <v>Cat48</v>
          </cell>
          <cell r="G161">
            <v>48</v>
          </cell>
          <cell r="I161">
            <v>22.74</v>
          </cell>
        </row>
        <row r="162">
          <cell r="D162">
            <v>49</v>
          </cell>
          <cell r="E162" t="str">
            <v>Cat49</v>
          </cell>
          <cell r="G162">
            <v>49</v>
          </cell>
          <cell r="I162">
            <v>27.88</v>
          </cell>
        </row>
        <row r="163">
          <cell r="D163">
            <v>50</v>
          </cell>
          <cell r="E163" t="str">
            <v>Cat50</v>
          </cell>
          <cell r="G163">
            <v>50</v>
          </cell>
          <cell r="I163">
            <v>39.380000000000003</v>
          </cell>
        </row>
        <row r="164">
          <cell r="D164">
            <v>51</v>
          </cell>
          <cell r="E164" t="str">
            <v>Cat51</v>
          </cell>
          <cell r="G164">
            <v>51</v>
          </cell>
          <cell r="I164">
            <v>23.46</v>
          </cell>
        </row>
        <row r="165">
          <cell r="D165">
            <v>52</v>
          </cell>
          <cell r="E165" t="str">
            <v>Cat52</v>
          </cell>
          <cell r="G165">
            <v>52</v>
          </cell>
          <cell r="I165">
            <v>31.25</v>
          </cell>
        </row>
        <row r="166">
          <cell r="D166">
            <v>53</v>
          </cell>
          <cell r="E166" t="str">
            <v>Cat53</v>
          </cell>
          <cell r="G166">
            <v>53</v>
          </cell>
          <cell r="I166">
            <v>31.25</v>
          </cell>
        </row>
        <row r="167">
          <cell r="D167">
            <v>54</v>
          </cell>
          <cell r="E167" t="str">
            <v>Cat54</v>
          </cell>
          <cell r="G167">
            <v>54</v>
          </cell>
          <cell r="I167">
            <v>31.25</v>
          </cell>
        </row>
        <row r="168">
          <cell r="D168">
            <v>55</v>
          </cell>
          <cell r="E168" t="str">
            <v>Cat55</v>
          </cell>
          <cell r="G168">
            <v>55</v>
          </cell>
          <cell r="I168">
            <v>28.22</v>
          </cell>
        </row>
        <row r="169">
          <cell r="D169">
            <v>56</v>
          </cell>
          <cell r="E169" t="str">
            <v>Cat56</v>
          </cell>
          <cell r="G169">
            <v>56</v>
          </cell>
          <cell r="I169">
            <v>23.46</v>
          </cell>
        </row>
        <row r="170">
          <cell r="D170">
            <v>57</v>
          </cell>
          <cell r="E170" t="str">
            <v>Cat57</v>
          </cell>
          <cell r="G170">
            <v>57</v>
          </cell>
          <cell r="I170">
            <v>34.659999999999997</v>
          </cell>
        </row>
        <row r="171">
          <cell r="D171">
            <v>58</v>
          </cell>
          <cell r="E171" t="str">
            <v>Cat58</v>
          </cell>
          <cell r="G171">
            <v>58</v>
          </cell>
          <cell r="I171">
            <v>28.03</v>
          </cell>
        </row>
        <row r="172">
          <cell r="D172">
            <v>59</v>
          </cell>
          <cell r="E172" t="str">
            <v>Cat59</v>
          </cell>
          <cell r="G172">
            <v>59</v>
          </cell>
          <cell r="I172">
            <v>35.53</v>
          </cell>
        </row>
        <row r="173">
          <cell r="D173">
            <v>60</v>
          </cell>
          <cell r="E173" t="str">
            <v>Cat60</v>
          </cell>
          <cell r="G173">
            <v>60</v>
          </cell>
          <cell r="I173">
            <v>43.17</v>
          </cell>
        </row>
        <row r="174">
          <cell r="D174">
            <v>61</v>
          </cell>
          <cell r="E174" t="str">
            <v>Cat61</v>
          </cell>
          <cell r="G174">
            <v>61</v>
          </cell>
          <cell r="I174">
            <v>20.43</v>
          </cell>
        </row>
        <row r="175">
          <cell r="D175">
            <v>62</v>
          </cell>
          <cell r="E175" t="str">
            <v>Cat62</v>
          </cell>
          <cell r="G175">
            <v>62</v>
          </cell>
          <cell r="I175">
            <v>35.340000000000003</v>
          </cell>
        </row>
        <row r="176">
          <cell r="D176">
            <v>63</v>
          </cell>
          <cell r="E176" t="str">
            <v>Cat63</v>
          </cell>
          <cell r="G176">
            <v>63</v>
          </cell>
          <cell r="I176">
            <v>35.340000000000003</v>
          </cell>
        </row>
        <row r="177">
          <cell r="D177">
            <v>64</v>
          </cell>
          <cell r="E177" t="str">
            <v>Cat64</v>
          </cell>
          <cell r="G177">
            <v>64</v>
          </cell>
          <cell r="I177">
            <v>35.340000000000003</v>
          </cell>
        </row>
        <row r="178">
          <cell r="D178">
            <v>65</v>
          </cell>
          <cell r="E178" t="str">
            <v>Cat65</v>
          </cell>
          <cell r="G178">
            <v>65</v>
          </cell>
          <cell r="I178">
            <v>31.25</v>
          </cell>
        </row>
        <row r="179">
          <cell r="D179">
            <v>66</v>
          </cell>
          <cell r="E179" t="str">
            <v>Cat66</v>
          </cell>
          <cell r="G179">
            <v>66</v>
          </cell>
          <cell r="I179">
            <v>22.74</v>
          </cell>
        </row>
        <row r="180">
          <cell r="D180">
            <v>67</v>
          </cell>
          <cell r="E180" t="str">
            <v>Cat67</v>
          </cell>
          <cell r="G180">
            <v>67</v>
          </cell>
          <cell r="I180">
            <v>43.17</v>
          </cell>
        </row>
        <row r="181">
          <cell r="D181">
            <v>68</v>
          </cell>
          <cell r="E181" t="str">
            <v>Cat68</v>
          </cell>
          <cell r="G181">
            <v>68</v>
          </cell>
          <cell r="I181">
            <v>30.82</v>
          </cell>
        </row>
        <row r="182">
          <cell r="D182">
            <v>69</v>
          </cell>
          <cell r="E182" t="str">
            <v>Cat69</v>
          </cell>
          <cell r="G182">
            <v>69</v>
          </cell>
          <cell r="I182">
            <v>43.27</v>
          </cell>
        </row>
        <row r="183">
          <cell r="D183">
            <v>70</v>
          </cell>
          <cell r="E183" t="str">
            <v>Cat70</v>
          </cell>
          <cell r="G183">
            <v>70</v>
          </cell>
          <cell r="I183">
            <v>27.69</v>
          </cell>
        </row>
        <row r="184">
          <cell r="D184">
            <v>71</v>
          </cell>
          <cell r="E184" t="str">
            <v>Cat71</v>
          </cell>
          <cell r="G184">
            <v>71</v>
          </cell>
          <cell r="I184">
            <v>17.21</v>
          </cell>
        </row>
        <row r="185">
          <cell r="D185">
            <v>72</v>
          </cell>
          <cell r="E185" t="str">
            <v>Cat72</v>
          </cell>
          <cell r="G185">
            <v>72</v>
          </cell>
          <cell r="I185">
            <v>39.380000000000003</v>
          </cell>
        </row>
        <row r="186">
          <cell r="D186">
            <v>73</v>
          </cell>
          <cell r="E186" t="str">
            <v>Cat73</v>
          </cell>
          <cell r="G186">
            <v>73</v>
          </cell>
          <cell r="I186">
            <v>20.190000000000001</v>
          </cell>
        </row>
        <row r="187">
          <cell r="D187">
            <v>74</v>
          </cell>
          <cell r="E187" t="str">
            <v>Cat74</v>
          </cell>
          <cell r="G187">
            <v>74</v>
          </cell>
          <cell r="I187">
            <v>35.340000000000003</v>
          </cell>
        </row>
        <row r="188">
          <cell r="D188">
            <v>75</v>
          </cell>
          <cell r="E188" t="str">
            <v>Cat75</v>
          </cell>
          <cell r="G188">
            <v>75</v>
          </cell>
          <cell r="I188">
            <v>30</v>
          </cell>
        </row>
        <row r="189">
          <cell r="D189">
            <v>76</v>
          </cell>
          <cell r="E189" t="str">
            <v>Cat76</v>
          </cell>
          <cell r="G189">
            <v>76</v>
          </cell>
          <cell r="I189">
            <v>41.59</v>
          </cell>
        </row>
        <row r="190">
          <cell r="D190">
            <v>77</v>
          </cell>
          <cell r="E190" t="str">
            <v>Cat77</v>
          </cell>
          <cell r="G190">
            <v>77</v>
          </cell>
          <cell r="I190">
            <v>34.380000000000003</v>
          </cell>
        </row>
        <row r="191">
          <cell r="D191">
            <v>78</v>
          </cell>
          <cell r="E191" t="str">
            <v>Cat78</v>
          </cell>
          <cell r="G191">
            <v>78</v>
          </cell>
          <cell r="I191">
            <v>39.380000000000003</v>
          </cell>
        </row>
        <row r="192">
          <cell r="D192">
            <v>79</v>
          </cell>
          <cell r="E192" t="str">
            <v>Cat79</v>
          </cell>
          <cell r="G192">
            <v>79</v>
          </cell>
          <cell r="I192">
            <v>24.95</v>
          </cell>
        </row>
        <row r="193">
          <cell r="D193">
            <v>80</v>
          </cell>
          <cell r="E193" t="str">
            <v>Cat80</v>
          </cell>
          <cell r="G193">
            <v>80</v>
          </cell>
          <cell r="I193">
            <v>46.78</v>
          </cell>
        </row>
        <row r="194">
          <cell r="D194">
            <v>81</v>
          </cell>
          <cell r="E194" t="str">
            <v>Cat81</v>
          </cell>
          <cell r="G194">
            <v>81</v>
          </cell>
          <cell r="I194">
            <v>35.24</v>
          </cell>
        </row>
        <row r="195">
          <cell r="D195">
            <v>82</v>
          </cell>
          <cell r="E195" t="str">
            <v>Cat82</v>
          </cell>
          <cell r="G195">
            <v>82</v>
          </cell>
          <cell r="I195">
            <v>27.84</v>
          </cell>
        </row>
        <row r="196">
          <cell r="D196">
            <v>83</v>
          </cell>
          <cell r="E196" t="str">
            <v>Cat83</v>
          </cell>
          <cell r="G196">
            <v>83</v>
          </cell>
          <cell r="I196">
            <v>23.37</v>
          </cell>
        </row>
        <row r="197">
          <cell r="D197">
            <v>84</v>
          </cell>
          <cell r="E197" t="str">
            <v>Cat84</v>
          </cell>
          <cell r="G197">
            <v>84</v>
          </cell>
          <cell r="I197">
            <v>30.29</v>
          </cell>
        </row>
        <row r="198">
          <cell r="D198">
            <v>85</v>
          </cell>
          <cell r="E198" t="str">
            <v>Cat85</v>
          </cell>
          <cell r="G198">
            <v>85</v>
          </cell>
          <cell r="I198">
            <v>23.37</v>
          </cell>
        </row>
        <row r="199">
          <cell r="D199">
            <v>86</v>
          </cell>
          <cell r="E199" t="str">
            <v>Cat86</v>
          </cell>
          <cell r="G199">
            <v>86</v>
          </cell>
          <cell r="I199">
            <v>29.18</v>
          </cell>
        </row>
        <row r="200">
          <cell r="D200">
            <v>87</v>
          </cell>
          <cell r="E200" t="str">
            <v>Cat87</v>
          </cell>
          <cell r="G200">
            <v>87</v>
          </cell>
          <cell r="I200">
            <v>29.18</v>
          </cell>
        </row>
        <row r="201">
          <cell r="D201">
            <v>88</v>
          </cell>
          <cell r="E201" t="str">
            <v>Cat88</v>
          </cell>
          <cell r="G201">
            <v>88</v>
          </cell>
          <cell r="I201">
            <v>35.869999999999997</v>
          </cell>
        </row>
        <row r="202">
          <cell r="D202">
            <v>89</v>
          </cell>
          <cell r="E202" t="str">
            <v>Cat89</v>
          </cell>
          <cell r="G202">
            <v>89</v>
          </cell>
          <cell r="I202">
            <v>13.46</v>
          </cell>
        </row>
        <row r="203">
          <cell r="D203">
            <v>90</v>
          </cell>
          <cell r="E203" t="str">
            <v>Cat90</v>
          </cell>
          <cell r="G203">
            <v>90</v>
          </cell>
          <cell r="I203">
            <v>29.18</v>
          </cell>
        </row>
        <row r="204">
          <cell r="D204">
            <v>91</v>
          </cell>
          <cell r="E204" t="str">
            <v>Cat91</v>
          </cell>
          <cell r="G204">
            <v>91</v>
          </cell>
          <cell r="I204">
            <v>24.52</v>
          </cell>
        </row>
        <row r="205">
          <cell r="D205">
            <v>92</v>
          </cell>
          <cell r="E205" t="str">
            <v>Cat92</v>
          </cell>
          <cell r="G205">
            <v>92</v>
          </cell>
          <cell r="I205">
            <v>29.18</v>
          </cell>
        </row>
        <row r="206">
          <cell r="D206">
            <v>93</v>
          </cell>
          <cell r="E206" t="str">
            <v>Cat93</v>
          </cell>
          <cell r="G206">
            <v>93</v>
          </cell>
          <cell r="I206">
            <v>35.24</v>
          </cell>
        </row>
        <row r="207">
          <cell r="D207">
            <v>94</v>
          </cell>
          <cell r="E207" t="str">
            <v>Cat94</v>
          </cell>
          <cell r="G207">
            <v>94</v>
          </cell>
          <cell r="I207">
            <v>30.29</v>
          </cell>
        </row>
        <row r="208">
          <cell r="D208">
            <v>95</v>
          </cell>
          <cell r="E208" t="str">
            <v>Cat95</v>
          </cell>
          <cell r="G208">
            <v>95</v>
          </cell>
          <cell r="I208">
            <v>24.52</v>
          </cell>
        </row>
        <row r="209">
          <cell r="D209">
            <v>96</v>
          </cell>
          <cell r="E209" t="str">
            <v>Cat96</v>
          </cell>
          <cell r="G209">
            <v>96</v>
          </cell>
          <cell r="I209">
            <v>27.55</v>
          </cell>
        </row>
        <row r="210">
          <cell r="D210">
            <v>97</v>
          </cell>
          <cell r="E210" t="str">
            <v>Cat97</v>
          </cell>
          <cell r="G210">
            <v>97</v>
          </cell>
          <cell r="I210">
            <v>31.35</v>
          </cell>
        </row>
        <row r="211">
          <cell r="D211">
            <v>98</v>
          </cell>
          <cell r="E211" t="str">
            <v>Cat98</v>
          </cell>
          <cell r="G211">
            <v>98</v>
          </cell>
          <cell r="I211">
            <v>35.53</v>
          </cell>
        </row>
        <row r="212">
          <cell r="D212">
            <v>99</v>
          </cell>
          <cell r="E212" t="str">
            <v>Cat99</v>
          </cell>
          <cell r="G212">
            <v>99</v>
          </cell>
          <cell r="I212">
            <v>34.9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putSheet"/>
      <sheetName val="Summary"/>
      <sheetName val="Phase-In"/>
      <sheetName val="Base Period"/>
      <sheetName val="Option 1"/>
      <sheetName val="Option 2"/>
      <sheetName val="Option 3"/>
      <sheetName val="Option 4"/>
      <sheetName val="Total All Yrs"/>
      <sheetName val="Site Diff"/>
      <sheetName val="ReloBreakdown"/>
      <sheetName val="ReloDetail"/>
      <sheetName val="Schooling"/>
      <sheetName val="Bonus"/>
      <sheetName val="Office Equip"/>
      <sheetName val="OT Rate Summary"/>
      <sheetName val="Phase-In RateBuildUp"/>
      <sheetName val="Base RateBuildUp"/>
      <sheetName val="Opt 1 RateBuildUp"/>
      <sheetName val="Opt 2 RateBuildUp"/>
      <sheetName val="Opt 3 RateBuildUp"/>
      <sheetName val="Opt 4 RateBuildUp"/>
      <sheetName val="Indirects"/>
      <sheetName val="Indirects (IS)"/>
      <sheetName val="Ratebook"/>
    </sheetNames>
    <sheetDataSet>
      <sheetData sheetId="0" refreshError="1">
        <row r="11">
          <cell r="B11" t="str">
            <v>Phase-In</v>
          </cell>
          <cell r="C11">
            <v>38139</v>
          </cell>
          <cell r="D11">
            <v>38168</v>
          </cell>
        </row>
        <row r="12">
          <cell r="B12" t="str">
            <v>Base Period</v>
          </cell>
          <cell r="C12">
            <v>38169</v>
          </cell>
          <cell r="D12">
            <v>38411</v>
          </cell>
        </row>
        <row r="13">
          <cell r="B13" t="str">
            <v>Option 1</v>
          </cell>
          <cell r="C13">
            <v>38412</v>
          </cell>
          <cell r="D13">
            <v>38776</v>
          </cell>
        </row>
        <row r="14">
          <cell r="B14" t="str">
            <v>Option 2</v>
          </cell>
          <cell r="C14">
            <v>38777</v>
          </cell>
          <cell r="D14">
            <v>39141</v>
          </cell>
        </row>
        <row r="15">
          <cell r="B15" t="str">
            <v>Option 3</v>
          </cell>
          <cell r="C15">
            <v>39142</v>
          </cell>
          <cell r="D15">
            <v>39507</v>
          </cell>
        </row>
        <row r="16">
          <cell r="B16" t="str">
            <v>Option 4</v>
          </cell>
          <cell r="C16">
            <v>39508</v>
          </cell>
          <cell r="D16">
            <v>39872</v>
          </cell>
        </row>
        <row r="21">
          <cell r="C21">
            <v>2004</v>
          </cell>
          <cell r="D21">
            <v>2005</v>
          </cell>
          <cell r="E21">
            <v>2006</v>
          </cell>
          <cell r="F21">
            <v>2007</v>
          </cell>
          <cell r="G21">
            <v>2008</v>
          </cell>
          <cell r="H21">
            <v>2009</v>
          </cell>
          <cell r="I21">
            <v>2010</v>
          </cell>
          <cell r="J21">
            <v>2011</v>
          </cell>
          <cell r="K21">
            <v>2011</v>
          </cell>
        </row>
        <row r="23">
          <cell r="B23" t="str">
            <v>Payroll Burden</v>
          </cell>
        </row>
        <row r="24">
          <cell r="B24" t="str">
            <v>Overhead - Offsite</v>
          </cell>
        </row>
        <row r="25">
          <cell r="B25" t="str">
            <v>Overhead - Onsite</v>
          </cell>
        </row>
        <row r="26">
          <cell r="B26" t="str">
            <v>Material Handling</v>
          </cell>
        </row>
        <row r="27">
          <cell r="B27" t="str">
            <v>G&amp;A</v>
          </cell>
        </row>
        <row r="28">
          <cell r="B28" t="str">
            <v>FCCOM - Off OH</v>
          </cell>
        </row>
        <row r="29">
          <cell r="B29" t="str">
            <v>FCCOM - On OH</v>
          </cell>
        </row>
        <row r="30">
          <cell r="B30" t="str">
            <v>FCCOM - G&amp;A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refreshError="1"/>
      <sheetData sheetId="21" refreshError="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putSheet"/>
      <sheetName val="Summary-Base"/>
      <sheetName val="Summary-AwardTerm"/>
      <sheetName val="Yr1"/>
      <sheetName val="Yr2"/>
      <sheetName val="Yr3"/>
      <sheetName val="Yr4"/>
      <sheetName val="Yr5"/>
      <sheetName val="Yr6"/>
      <sheetName val="Yr6a"/>
      <sheetName val="Yr7"/>
      <sheetName val="Yr7a"/>
      <sheetName val="Yr8"/>
      <sheetName val="Yr8a"/>
      <sheetName val="Yr9"/>
      <sheetName val="Yr9a"/>
      <sheetName val="CPFF"/>
      <sheetName val="Summary"/>
      <sheetName val="Travel %'s"/>
      <sheetName val="Facility"/>
      <sheetName val="Indirects-MSTC"/>
      <sheetName val="Indirects-MADG"/>
      <sheetName val="FCCOM"/>
      <sheetName val="Ratebook"/>
      <sheetName val="Summary (Section B)"/>
      <sheetName val="Educ. &amp; Exp."/>
    </sheetNames>
    <sheetDataSet>
      <sheetData sheetId="0" refreshError="1">
        <row r="11">
          <cell r="A11" t="str">
            <v>Yr1</v>
          </cell>
          <cell r="B11" t="str">
            <v>Performance</v>
          </cell>
          <cell r="C11" t="str">
            <v>Base Period - Year I</v>
          </cell>
          <cell r="D11">
            <v>38200</v>
          </cell>
          <cell r="E11">
            <v>38564</v>
          </cell>
          <cell r="F11">
            <v>15</v>
          </cell>
          <cell r="H11">
            <v>1.03646025</v>
          </cell>
          <cell r="I11">
            <v>5</v>
          </cell>
          <cell r="J11">
            <v>7</v>
          </cell>
        </row>
        <row r="12">
          <cell r="A12" t="str">
            <v>Yr2</v>
          </cell>
          <cell r="C12" t="str">
            <v>Base Period - Year II</v>
          </cell>
          <cell r="D12">
            <v>38565</v>
          </cell>
          <cell r="E12">
            <v>38929</v>
          </cell>
          <cell r="F12">
            <v>27</v>
          </cell>
          <cell r="G12">
            <v>12</v>
          </cell>
          <cell r="H12">
            <v>1.0665175972499998</v>
          </cell>
          <cell r="I12">
            <v>5</v>
          </cell>
          <cell r="J12">
            <v>7</v>
          </cell>
        </row>
        <row r="13">
          <cell r="A13" t="str">
            <v>Yr3</v>
          </cell>
          <cell r="C13" t="str">
            <v>Base Period - Year III</v>
          </cell>
          <cell r="D13">
            <v>38930</v>
          </cell>
          <cell r="E13">
            <v>39294</v>
          </cell>
          <cell r="F13">
            <v>39</v>
          </cell>
          <cell r="G13">
            <v>12</v>
          </cell>
          <cell r="H13">
            <v>1.0974466075702498</v>
          </cell>
          <cell r="I13">
            <v>5</v>
          </cell>
          <cell r="J13">
            <v>7</v>
          </cell>
        </row>
        <row r="14">
          <cell r="A14" t="str">
            <v>Yr4</v>
          </cell>
          <cell r="C14" t="str">
            <v>Base Period - Year IV</v>
          </cell>
          <cell r="D14">
            <v>39295</v>
          </cell>
          <cell r="E14">
            <v>39660</v>
          </cell>
          <cell r="F14">
            <v>51</v>
          </cell>
          <cell r="G14">
            <v>12</v>
          </cell>
          <cell r="H14">
            <v>1.129272559189787</v>
          </cell>
          <cell r="I14">
            <v>5</v>
          </cell>
          <cell r="J14">
            <v>7</v>
          </cell>
        </row>
        <row r="15">
          <cell r="A15" t="str">
            <v>Yr5</v>
          </cell>
          <cell r="C15" t="str">
            <v>Base Period - Year V</v>
          </cell>
          <cell r="D15">
            <v>39661</v>
          </cell>
          <cell r="E15">
            <v>40025</v>
          </cell>
          <cell r="F15">
            <v>63</v>
          </cell>
          <cell r="G15">
            <v>12</v>
          </cell>
          <cell r="H15">
            <v>1.1620214634062906</v>
          </cell>
          <cell r="I15">
            <v>5</v>
          </cell>
          <cell r="J15">
            <v>7</v>
          </cell>
        </row>
        <row r="16">
          <cell r="A16" t="str">
            <v>Yr6</v>
          </cell>
          <cell r="C16" t="str">
            <v>Award Term - Period I</v>
          </cell>
          <cell r="D16">
            <v>40026</v>
          </cell>
          <cell r="E16">
            <v>40209.5</v>
          </cell>
          <cell r="F16">
            <v>72</v>
          </cell>
          <cell r="G16">
            <v>9</v>
          </cell>
          <cell r="H16">
            <v>1.187113512876717</v>
          </cell>
          <cell r="I16">
            <v>-7</v>
          </cell>
          <cell r="J16">
            <v>13</v>
          </cell>
        </row>
        <row r="17">
          <cell r="A17" t="str">
            <v>Yr6a</v>
          </cell>
          <cell r="C17" t="str">
            <v>Award Term - Period II</v>
          </cell>
          <cell r="D17">
            <v>40210.5</v>
          </cell>
          <cell r="E17">
            <v>40390</v>
          </cell>
          <cell r="F17">
            <v>78</v>
          </cell>
          <cell r="G17">
            <v>6</v>
          </cell>
          <cell r="H17">
            <v>1.2043266588134294</v>
          </cell>
          <cell r="I17">
            <v>-13</v>
          </cell>
          <cell r="J17">
            <v>19</v>
          </cell>
        </row>
        <row r="18">
          <cell r="A18" t="str">
            <v>Yr7</v>
          </cell>
          <cell r="C18" t="str">
            <v>Award Term - Period III</v>
          </cell>
          <cell r="D18">
            <v>40391</v>
          </cell>
          <cell r="E18">
            <v>40574.5</v>
          </cell>
          <cell r="F18">
            <v>84</v>
          </cell>
          <cell r="G18">
            <v>6</v>
          </cell>
          <cell r="H18">
            <v>1.2215398047501418</v>
          </cell>
          <cell r="I18">
            <v>-19</v>
          </cell>
          <cell r="J18">
            <v>25</v>
          </cell>
        </row>
        <row r="19">
          <cell r="A19" t="str">
            <v>Yr7a</v>
          </cell>
          <cell r="C19" t="str">
            <v>Award Term - Period IV</v>
          </cell>
          <cell r="D19">
            <v>40575.5</v>
          </cell>
          <cell r="E19">
            <v>40755</v>
          </cell>
          <cell r="F19">
            <v>90</v>
          </cell>
          <cell r="G19">
            <v>6</v>
          </cell>
          <cell r="H19">
            <v>1.2392521319190188</v>
          </cell>
          <cell r="I19">
            <v>-25</v>
          </cell>
          <cell r="J19">
            <v>31</v>
          </cell>
        </row>
        <row r="20">
          <cell r="A20" t="str">
            <v>Yr8</v>
          </cell>
          <cell r="C20" t="str">
            <v>Award Term - Period V</v>
          </cell>
          <cell r="D20">
            <v>40756</v>
          </cell>
          <cell r="E20">
            <v>40939</v>
          </cell>
          <cell r="F20">
            <v>96</v>
          </cell>
          <cell r="G20">
            <v>6</v>
          </cell>
          <cell r="H20">
            <v>1.2569644590878959</v>
          </cell>
          <cell r="I20">
            <v>-31</v>
          </cell>
          <cell r="J20">
            <v>37</v>
          </cell>
        </row>
        <row r="21">
          <cell r="A21" t="str">
            <v>Yr8a</v>
          </cell>
          <cell r="C21" t="str">
            <v>Award Term - Period VI</v>
          </cell>
          <cell r="D21">
            <v>40940</v>
          </cell>
          <cell r="E21">
            <v>41121</v>
          </cell>
          <cell r="F21">
            <v>102</v>
          </cell>
          <cell r="G21">
            <v>6</v>
          </cell>
          <cell r="H21">
            <v>1.2751904437446704</v>
          </cell>
          <cell r="I21">
            <v>-37</v>
          </cell>
          <cell r="J21">
            <v>43</v>
          </cell>
        </row>
        <row r="22">
          <cell r="A22" t="str">
            <v>Yr9</v>
          </cell>
          <cell r="C22" t="str">
            <v>Award Term - Period VII</v>
          </cell>
          <cell r="D22">
            <v>41122</v>
          </cell>
          <cell r="E22">
            <v>41305</v>
          </cell>
          <cell r="F22">
            <v>108</v>
          </cell>
          <cell r="G22">
            <v>6</v>
          </cell>
          <cell r="H22">
            <v>1.2934164284014447</v>
          </cell>
          <cell r="I22">
            <v>-43</v>
          </cell>
          <cell r="J22">
            <v>49</v>
          </cell>
        </row>
        <row r="23">
          <cell r="A23" t="str">
            <v>Yr9a</v>
          </cell>
          <cell r="C23" t="str">
            <v>Award Term - Period VIII</v>
          </cell>
          <cell r="D23">
            <v>41306</v>
          </cell>
          <cell r="E23">
            <v>41486</v>
          </cell>
          <cell r="F23">
            <v>114</v>
          </cell>
          <cell r="G23">
            <v>6</v>
          </cell>
          <cell r="H23">
            <v>1.3121709666132655</v>
          </cell>
          <cell r="I23">
            <v>-49</v>
          </cell>
          <cell r="J23">
            <v>55</v>
          </cell>
        </row>
        <row r="24">
          <cell r="A24" t="str">
            <v>Total</v>
          </cell>
          <cell r="C24" t="str">
            <v>All Years</v>
          </cell>
          <cell r="D24">
            <v>38200</v>
          </cell>
          <cell r="E24">
            <v>41486</v>
          </cell>
          <cell r="F24">
            <v>63</v>
          </cell>
          <cell r="G24">
            <v>0</v>
          </cell>
          <cell r="H24">
            <v>1.1620214634062906</v>
          </cell>
          <cell r="I24">
            <v>53</v>
          </cell>
          <cell r="J24">
            <v>55</v>
          </cell>
        </row>
        <row r="26">
          <cell r="B26" t="str">
            <v>Escalation</v>
          </cell>
          <cell r="C26" t="str">
            <v>Non SCA/WD</v>
          </cell>
          <cell r="D26">
            <v>2.9000000000000001E-2</v>
          </cell>
        </row>
        <row r="27">
          <cell r="C27" t="str">
            <v>SCA/WD</v>
          </cell>
          <cell r="D27">
            <v>0</v>
          </cell>
        </row>
        <row r="29">
          <cell r="B29" t="str">
            <v>Indirect</v>
          </cell>
          <cell r="C29" t="str">
            <v>Description</v>
          </cell>
          <cell r="D29">
            <v>2004</v>
          </cell>
          <cell r="E29">
            <v>2005</v>
          </cell>
          <cell r="F29">
            <v>2006</v>
          </cell>
          <cell r="G29">
            <v>2007</v>
          </cell>
          <cell r="H29">
            <v>2008</v>
          </cell>
          <cell r="I29">
            <v>2009</v>
          </cell>
          <cell r="J29">
            <v>2010</v>
          </cell>
        </row>
        <row r="30">
          <cell r="B30" t="str">
            <v>Rate Schd</v>
          </cell>
          <cell r="C30" t="str">
            <v>Cost Ctr</v>
          </cell>
          <cell r="D30" t="str">
            <v>MSTC IT</v>
          </cell>
        </row>
        <row r="31">
          <cell r="C31" t="str">
            <v>Payroll Burden</v>
          </cell>
          <cell r="D31">
            <v>0.32400000000000001</v>
          </cell>
          <cell r="E31">
            <v>0.32400000000000001</v>
          </cell>
          <cell r="F31">
            <v>0.32400000000000001</v>
          </cell>
          <cell r="G31">
            <v>0.32400000000000001</v>
          </cell>
          <cell r="H31">
            <v>0.32400000000000001</v>
          </cell>
          <cell r="I31">
            <v>0.32400000000000001</v>
          </cell>
          <cell r="J31">
            <v>0.32400000000000001</v>
          </cell>
        </row>
        <row r="32">
          <cell r="C32" t="str">
            <v>Overhead - Offsite</v>
          </cell>
          <cell r="D32">
            <v>0.21</v>
          </cell>
          <cell r="E32">
            <v>0.21</v>
          </cell>
          <cell r="F32">
            <v>0.21</v>
          </cell>
          <cell r="G32">
            <v>0.21</v>
          </cell>
          <cell r="H32">
            <v>0.21</v>
          </cell>
          <cell r="I32">
            <v>0.21</v>
          </cell>
          <cell r="J32">
            <v>0.21</v>
          </cell>
        </row>
        <row r="33">
          <cell r="C33" t="str">
            <v>Overhead - Onsite</v>
          </cell>
          <cell r="D33">
            <v>8.0000000000000002E-3</v>
          </cell>
          <cell r="E33">
            <v>8.0000000000000002E-3</v>
          </cell>
          <cell r="F33">
            <v>8.0000000000000002E-3</v>
          </cell>
          <cell r="G33">
            <v>8.0000000000000002E-3</v>
          </cell>
          <cell r="H33">
            <v>8.0000000000000002E-3</v>
          </cell>
          <cell r="I33">
            <v>8.0000000000000002E-3</v>
          </cell>
          <cell r="J33">
            <v>8.0000000000000002E-3</v>
          </cell>
        </row>
        <row r="34">
          <cell r="C34" t="str">
            <v>Material Handling</v>
          </cell>
          <cell r="D34">
            <v>0.02</v>
          </cell>
          <cell r="E34">
            <v>0.02</v>
          </cell>
          <cell r="F34">
            <v>0.02</v>
          </cell>
          <cell r="G34">
            <v>0.02</v>
          </cell>
          <cell r="H34">
            <v>0.02</v>
          </cell>
          <cell r="I34">
            <v>0.02</v>
          </cell>
          <cell r="J34">
            <v>0.02</v>
          </cell>
        </row>
        <row r="35">
          <cell r="C35" t="str">
            <v>G&amp;A</v>
          </cell>
          <cell r="D35">
            <v>0.15</v>
          </cell>
          <cell r="E35">
            <v>0.1444</v>
          </cell>
          <cell r="F35">
            <v>0.13930000000000001</v>
          </cell>
          <cell r="G35">
            <v>0.1346</v>
          </cell>
          <cell r="H35">
            <v>0.1303</v>
          </cell>
          <cell r="I35">
            <v>0.1303</v>
          </cell>
          <cell r="J35">
            <v>0.1303</v>
          </cell>
        </row>
        <row r="36">
          <cell r="C36" t="str">
            <v>FCCOM - Off OH</v>
          </cell>
          <cell r="D36">
            <v>2.0100000000000001E-3</v>
          </cell>
          <cell r="E36">
            <v>2.0100000000000001E-3</v>
          </cell>
          <cell r="F36">
            <v>2.0100000000000001E-3</v>
          </cell>
          <cell r="G36">
            <v>2.0100000000000001E-3</v>
          </cell>
          <cell r="H36">
            <v>2.0100000000000001E-3</v>
          </cell>
          <cell r="I36">
            <v>2.0100000000000001E-3</v>
          </cell>
          <cell r="J36">
            <v>2.0100000000000001E-3</v>
          </cell>
        </row>
        <row r="37">
          <cell r="C37" t="str">
            <v>FCCOM - On OH</v>
          </cell>
          <cell r="D37">
            <v>1.0000000000000001E-5</v>
          </cell>
          <cell r="E37">
            <v>1.0000000000000001E-5</v>
          </cell>
          <cell r="F37">
            <v>1.0000000000000001E-5</v>
          </cell>
          <cell r="G37">
            <v>1.0000000000000001E-5</v>
          </cell>
          <cell r="H37">
            <v>1.0000000000000001E-5</v>
          </cell>
          <cell r="I37">
            <v>1.0000000000000001E-5</v>
          </cell>
          <cell r="J37">
            <v>1.0000000000000001E-5</v>
          </cell>
        </row>
        <row r="38">
          <cell r="C38" t="str">
            <v>FCCOM - G&amp;A</v>
          </cell>
          <cell r="D38">
            <v>4.4000000000000002E-4</v>
          </cell>
          <cell r="E38">
            <v>4.4000000000000002E-4</v>
          </cell>
          <cell r="F38">
            <v>4.4000000000000002E-4</v>
          </cell>
          <cell r="G38">
            <v>4.4000000000000002E-4</v>
          </cell>
          <cell r="H38">
            <v>4.4000000000000002E-4</v>
          </cell>
          <cell r="I38">
            <v>4.4000000000000002E-4</v>
          </cell>
          <cell r="J38">
            <v>4.4000000000000002E-4</v>
          </cell>
        </row>
        <row r="40">
          <cell r="B40" t="str">
            <v>Indirect</v>
          </cell>
          <cell r="C40" t="str">
            <v>Description</v>
          </cell>
          <cell r="D40">
            <v>2004</v>
          </cell>
          <cell r="E40">
            <v>2005</v>
          </cell>
          <cell r="F40">
            <v>2006</v>
          </cell>
          <cell r="G40">
            <v>2007</v>
          </cell>
          <cell r="H40">
            <v>2008</v>
          </cell>
          <cell r="I40">
            <v>2009</v>
          </cell>
          <cell r="J40">
            <v>2010</v>
          </cell>
        </row>
        <row r="41">
          <cell r="B41" t="str">
            <v>Rate Schd</v>
          </cell>
          <cell r="C41" t="str">
            <v>Cost Ctr</v>
          </cell>
          <cell r="D41" t="str">
            <v>MADG</v>
          </cell>
        </row>
        <row r="42">
          <cell r="C42" t="str">
            <v>Payroll Burden</v>
          </cell>
          <cell r="D42">
            <v>0.32400000000000001</v>
          </cell>
          <cell r="E42">
            <v>0.32400000000000001</v>
          </cell>
          <cell r="F42">
            <v>0.32400000000000001</v>
          </cell>
          <cell r="G42">
            <v>0.32400000000000001</v>
          </cell>
          <cell r="H42">
            <v>0.32400000000000001</v>
          </cell>
          <cell r="I42">
            <v>0.32400000000000001</v>
          </cell>
          <cell r="J42">
            <v>0.32400000000000001</v>
          </cell>
        </row>
        <row r="43">
          <cell r="C43" t="str">
            <v>Overhead - Offsite</v>
          </cell>
          <cell r="D43">
            <v>0.17800424043319313</v>
          </cell>
          <cell r="E43">
            <v>0.17189167929569629</v>
          </cell>
          <cell r="F43">
            <v>0.173069861437636</v>
          </cell>
          <cell r="G43">
            <v>0.17414201313538186</v>
          </cell>
          <cell r="H43">
            <v>0.17511570551412675</v>
          </cell>
          <cell r="I43">
            <v>0.17511570551412675</v>
          </cell>
          <cell r="J43">
            <v>0.17511570551412675</v>
          </cell>
        </row>
        <row r="44">
          <cell r="C44" t="str">
            <v>Overhead - Onsite</v>
          </cell>
          <cell r="D44">
            <v>5.8162691790475944E-2</v>
          </cell>
          <cell r="E44">
            <v>4.6474316453454526E-2</v>
          </cell>
          <cell r="F44">
            <v>4.8278856054527759E-2</v>
          </cell>
          <cell r="G44">
            <v>5.0073005827539173E-2</v>
          </cell>
          <cell r="H44">
            <v>5.1841796143611341E-2</v>
          </cell>
          <cell r="I44">
            <v>5.1841796143611341E-2</v>
          </cell>
          <cell r="J44">
            <v>5.1841796143611341E-2</v>
          </cell>
        </row>
        <row r="45">
          <cell r="C45" t="str">
            <v>Material Handling</v>
          </cell>
          <cell r="D45">
            <v>2.1999999999999999E-2</v>
          </cell>
          <cell r="E45">
            <v>2.1999999999999999E-2</v>
          </cell>
          <cell r="F45">
            <v>2.1999999999999999E-2</v>
          </cell>
          <cell r="G45">
            <v>2.1999999999999999E-2</v>
          </cell>
          <cell r="H45">
            <v>2.1999999999999999E-2</v>
          </cell>
          <cell r="I45">
            <v>2.1999999999999999E-2</v>
          </cell>
          <cell r="J45">
            <v>2.1999999999999999E-2</v>
          </cell>
        </row>
        <row r="46">
          <cell r="C46" t="str">
            <v>G&amp;A</v>
          </cell>
          <cell r="D46">
            <v>0.21269279756057963</v>
          </cell>
          <cell r="E46">
            <v>0.20639698065493886</v>
          </cell>
          <cell r="F46">
            <v>0.20300149116721808</v>
          </cell>
          <cell r="G46">
            <v>0.19985916185040181</v>
          </cell>
          <cell r="H46">
            <v>0.19698125984268749</v>
          </cell>
          <cell r="I46">
            <v>0.19698125984268749</v>
          </cell>
          <cell r="J46">
            <v>0.19698125984268749</v>
          </cell>
        </row>
        <row r="47">
          <cell r="C47" t="str">
            <v>FCCOM - Off OH</v>
          </cell>
          <cell r="D47">
            <v>1.15E-3</v>
          </cell>
          <cell r="E47">
            <v>1.15E-3</v>
          </cell>
          <cell r="F47">
            <v>1.15E-3</v>
          </cell>
          <cell r="G47">
            <v>1.15E-3</v>
          </cell>
          <cell r="H47">
            <v>1.15E-3</v>
          </cell>
          <cell r="I47">
            <v>1.15E-3</v>
          </cell>
          <cell r="J47">
            <v>1.15E-3</v>
          </cell>
        </row>
        <row r="48">
          <cell r="C48" t="str">
            <v>FCCOM - On OH</v>
          </cell>
          <cell r="D48">
            <v>0</v>
          </cell>
          <cell r="E48">
            <v>0</v>
          </cell>
          <cell r="F48">
            <v>0</v>
          </cell>
          <cell r="G48">
            <v>0</v>
          </cell>
          <cell r="H48">
            <v>0</v>
          </cell>
          <cell r="I48">
            <v>0</v>
          </cell>
          <cell r="J48">
            <v>0</v>
          </cell>
        </row>
        <row r="49">
          <cell r="C49" t="str">
            <v>FCCOM - G&amp;A</v>
          </cell>
          <cell r="D49">
            <v>4.2999999999999999E-4</v>
          </cell>
          <cell r="E49">
            <v>4.2999999999999999E-4</v>
          </cell>
          <cell r="F49">
            <v>4.2999999999999999E-4</v>
          </cell>
          <cell r="G49">
            <v>4.2999999999999999E-4</v>
          </cell>
          <cell r="H49">
            <v>4.2999999999999999E-4</v>
          </cell>
          <cell r="I49">
            <v>4.2999999999999999E-4</v>
          </cell>
          <cell r="J49">
            <v>4.2999999999999999E-4</v>
          </cell>
        </row>
        <row r="51">
          <cell r="B51" t="str">
            <v>Fixed Fee</v>
          </cell>
          <cell r="C51" t="str">
            <v>Standard</v>
          </cell>
          <cell r="D51">
            <v>0.106</v>
          </cell>
          <cell r="E51" t="str">
            <v>A</v>
          </cell>
          <cell r="F51">
            <v>75582969.077862352</v>
          </cell>
          <cell r="G51" t="str">
            <v>Total CPFF</v>
          </cell>
          <cell r="I51">
            <v>1316250</v>
          </cell>
        </row>
        <row r="52">
          <cell r="C52" t="str">
            <v>Matl / ODC</v>
          </cell>
          <cell r="D52">
            <v>0</v>
          </cell>
          <cell r="E52" t="str">
            <v>B</v>
          </cell>
          <cell r="F52">
            <v>4.9987914612172633E-2</v>
          </cell>
          <cell r="G52" t="str">
            <v>Effective Fee</v>
          </cell>
        </row>
        <row r="53">
          <cell r="C53" t="str">
            <v>Fee On Subs</v>
          </cell>
          <cell r="D53">
            <v>0.05</v>
          </cell>
          <cell r="E53" t="str">
            <v>C</v>
          </cell>
        </row>
        <row r="55">
          <cell r="B55" t="str">
            <v>Subcontracts</v>
          </cell>
          <cell r="C55" t="str">
            <v>Name</v>
          </cell>
          <cell r="D55" t="str">
            <v>Size</v>
          </cell>
          <cell r="E55" t="str">
            <v>Fee/Profit %</v>
          </cell>
          <cell r="F55" t="str">
            <v>Esc %</v>
          </cell>
          <cell r="G55" t="str">
            <v>$ %</v>
          </cell>
          <cell r="H55" t="str">
            <v>Total $</v>
          </cell>
          <cell r="I55" t="str">
            <v>Hours</v>
          </cell>
          <cell r="J55" t="str">
            <v>% LOE</v>
          </cell>
        </row>
        <row r="56">
          <cell r="A56" t="str">
            <v>CUBIC</v>
          </cell>
          <cell r="C56" t="str">
            <v>CUBIC</v>
          </cell>
          <cell r="D56" t="str">
            <v>Large</v>
          </cell>
          <cell r="E56">
            <v>0.05</v>
          </cell>
          <cell r="F56">
            <v>3.5000000000000003E-2</v>
          </cell>
          <cell r="G56">
            <v>0.10327385964368314</v>
          </cell>
          <cell r="H56">
            <v>7805744.9399999995</v>
          </cell>
          <cell r="I56">
            <v>133020</v>
          </cell>
          <cell r="J56">
            <v>0.10105982905982906</v>
          </cell>
        </row>
        <row r="57">
          <cell r="A57" t="str">
            <v>Cynosure</v>
          </cell>
          <cell r="C57" t="str">
            <v>Cynosure</v>
          </cell>
          <cell r="D57" t="str">
            <v>SB</v>
          </cell>
          <cell r="E57">
            <v>0.05</v>
          </cell>
          <cell r="F57">
            <v>3.5000000000000003E-2</v>
          </cell>
          <cell r="G57">
            <v>4.0983774358068777E-2</v>
          </cell>
          <cell r="H57">
            <v>3097675.35</v>
          </cell>
          <cell r="I57">
            <v>72000</v>
          </cell>
          <cell r="J57">
            <v>5.4700854700854701E-2</v>
          </cell>
        </row>
        <row r="58">
          <cell r="A58" t="str">
            <v>G2</v>
          </cell>
          <cell r="C58" t="str">
            <v>G2</v>
          </cell>
          <cell r="D58" t="str">
            <v>WOSB</v>
          </cell>
          <cell r="E58">
            <v>0.05</v>
          </cell>
          <cell r="F58">
            <v>3.5000000000000003E-2</v>
          </cell>
          <cell r="G58">
            <v>9.5083038383906443E-2</v>
          </cell>
          <cell r="H58">
            <v>7186658.3499999996</v>
          </cell>
          <cell r="I58">
            <v>199800</v>
          </cell>
          <cell r="J58">
            <v>0.15179487179487181</v>
          </cell>
        </row>
        <row r="59">
          <cell r="A59" t="str">
            <v>SDS</v>
          </cell>
          <cell r="C59" t="str">
            <v>SDS</v>
          </cell>
          <cell r="D59" t="str">
            <v>VOSB</v>
          </cell>
          <cell r="E59">
            <v>0.05</v>
          </cell>
          <cell r="F59">
            <v>3.5000000000000003E-2</v>
          </cell>
          <cell r="G59">
            <v>0.11866884646672407</v>
          </cell>
          <cell r="H59">
            <v>8969343.7530000005</v>
          </cell>
          <cell r="I59">
            <v>167805</v>
          </cell>
          <cell r="J59">
            <v>0.1274871794871795</v>
          </cell>
        </row>
        <row r="60">
          <cell r="A60" t="str">
            <v>Moore Group</v>
          </cell>
          <cell r="C60" t="str">
            <v>Moore Group</v>
          </cell>
          <cell r="D60" t="str">
            <v>WOSB</v>
          </cell>
          <cell r="E60">
            <v>0.05</v>
          </cell>
          <cell r="F60">
            <v>3.5000000000000003E-2</v>
          </cell>
          <cell r="G60">
            <v>2.3952762402532527E-2</v>
          </cell>
          <cell r="H60">
            <v>1810420.9</v>
          </cell>
          <cell r="I60">
            <v>28800</v>
          </cell>
          <cell r="J60">
            <v>2.188034188034188E-2</v>
          </cell>
        </row>
        <row r="61">
          <cell r="A61" t="str">
            <v>Koam</v>
          </cell>
          <cell r="C61" t="str">
            <v>Koam</v>
          </cell>
          <cell r="D61" t="str">
            <v>SDB</v>
          </cell>
          <cell r="E61">
            <v>0.05</v>
          </cell>
          <cell r="F61">
            <v>3.5000000000000003E-2</v>
          </cell>
          <cell r="G61">
            <v>8.7960422580795866E-2</v>
          </cell>
          <cell r="H61">
            <v>6648309.8999999994</v>
          </cell>
          <cell r="I61">
            <v>180000</v>
          </cell>
          <cell r="J61">
            <v>0.13675213675213677</v>
          </cell>
        </row>
        <row r="62">
          <cell r="A62" t="str">
            <v>ETS</v>
          </cell>
          <cell r="C62" t="str">
            <v>ETS</v>
          </cell>
          <cell r="D62" t="str">
            <v>SDVOSB</v>
          </cell>
          <cell r="E62">
            <v>0.05</v>
          </cell>
          <cell r="F62">
            <v>3.5000000000000003E-2</v>
          </cell>
          <cell r="G62">
            <v>2.7910616316578062E-2</v>
          </cell>
          <cell r="H62">
            <v>2109567.25</v>
          </cell>
          <cell r="I62">
            <v>45900</v>
          </cell>
          <cell r="J62">
            <v>3.487179487179487E-2</v>
          </cell>
        </row>
        <row r="63">
          <cell r="A63" t="str">
            <v>ManPower</v>
          </cell>
          <cell r="C63" t="str">
            <v>ManPower</v>
          </cell>
          <cell r="D63" t="str">
            <v>Large</v>
          </cell>
          <cell r="E63">
            <v>0.05</v>
          </cell>
          <cell r="F63">
            <v>3.5000000000000003E-2</v>
          </cell>
          <cell r="G63">
            <v>5.6793480758581032E-2</v>
          </cell>
          <cell r="H63">
            <v>4292619.9000000004</v>
          </cell>
          <cell r="I63">
            <v>90000</v>
          </cell>
          <cell r="J63">
            <v>6.8376068376068383E-2</v>
          </cell>
        </row>
        <row r="64">
          <cell r="A64" t="str">
            <v>Consultants</v>
          </cell>
          <cell r="C64" t="str">
            <v>Consultants</v>
          </cell>
          <cell r="D64" t="str">
            <v>TBD</v>
          </cell>
          <cell r="E64">
            <v>0</v>
          </cell>
          <cell r="F64">
            <v>3.5000000000000003E-2</v>
          </cell>
          <cell r="G64">
            <v>0</v>
          </cell>
          <cell r="H64">
            <v>0</v>
          </cell>
          <cell r="I64">
            <v>0</v>
          </cell>
          <cell r="J64">
            <v>0</v>
          </cell>
        </row>
        <row r="65">
          <cell r="A65" t="str">
            <v>MT (IWA)</v>
          </cell>
          <cell r="C65" t="str">
            <v>MT (IWA)</v>
          </cell>
          <cell r="D65" t="str">
            <v>Large</v>
          </cell>
          <cell r="E65">
            <v>0</v>
          </cell>
          <cell r="F65">
            <v>2.9000000000000001E-2</v>
          </cell>
          <cell r="G65">
            <v>0</v>
          </cell>
          <cell r="H65">
            <v>0</v>
          </cell>
        </row>
        <row r="66">
          <cell r="G66">
            <v>0.39455946050860574</v>
          </cell>
          <cell r="H66">
            <v>29821975.502999999</v>
          </cell>
          <cell r="J66">
            <v>0.5274871794871796</v>
          </cell>
        </row>
        <row r="67">
          <cell r="B67" t="str">
            <v>Cat #</v>
          </cell>
          <cell r="C67" t="str">
            <v>RFP Category</v>
          </cell>
          <cell r="E67" t="str">
            <v>Hrs/Year</v>
          </cell>
          <cell r="H67">
            <v>41920340.342999995</v>
          </cell>
          <cell r="J67">
            <v>0.69692307692307698</v>
          </cell>
        </row>
        <row r="68">
          <cell r="B68">
            <v>1</v>
          </cell>
          <cell r="C68" t="str">
            <v>Program Manager</v>
          </cell>
          <cell r="E68">
            <v>2000</v>
          </cell>
          <cell r="H68" t="str">
            <v>ManTech</v>
          </cell>
          <cell r="I68">
            <v>117000</v>
          </cell>
        </row>
        <row r="69">
          <cell r="B69">
            <v>2</v>
          </cell>
          <cell r="C69" t="str">
            <v>Education Specialist</v>
          </cell>
          <cell r="E69">
            <v>3000</v>
          </cell>
          <cell r="H69" t="str">
            <v>IWA</v>
          </cell>
          <cell r="I69">
            <v>281925</v>
          </cell>
        </row>
        <row r="70">
          <cell r="B70">
            <v>3</v>
          </cell>
          <cell r="C70" t="str">
            <v>Instructional Systems Designer</v>
          </cell>
          <cell r="E70">
            <v>6000</v>
          </cell>
        </row>
        <row r="71">
          <cell r="B71">
            <v>4</v>
          </cell>
          <cell r="C71" t="str">
            <v>Master Training Specialist, Operator</v>
          </cell>
          <cell r="E71">
            <v>2000</v>
          </cell>
          <cell r="I71">
            <v>1316250</v>
          </cell>
        </row>
        <row r="72">
          <cell r="B72">
            <v>5</v>
          </cell>
          <cell r="C72" t="str">
            <v>Master Training Specialist, Maintenance</v>
          </cell>
          <cell r="E72">
            <v>2000</v>
          </cell>
        </row>
        <row r="73">
          <cell r="B73">
            <v>6</v>
          </cell>
          <cell r="C73" t="str">
            <v>Operator Training Specialist</v>
          </cell>
          <cell r="E73">
            <v>6000</v>
          </cell>
        </row>
        <row r="74">
          <cell r="B74">
            <v>7</v>
          </cell>
          <cell r="C74" t="str">
            <v>Maintenance Training Specialist</v>
          </cell>
          <cell r="E74">
            <v>6000</v>
          </cell>
        </row>
        <row r="75">
          <cell r="B75">
            <v>8</v>
          </cell>
          <cell r="C75" t="str">
            <v>Interactive Courseware Specialist</v>
          </cell>
          <cell r="E75">
            <v>6000</v>
          </cell>
        </row>
        <row r="76">
          <cell r="B76">
            <v>9</v>
          </cell>
          <cell r="C76" t="str">
            <v>Web Application Developer</v>
          </cell>
          <cell r="E76">
            <v>6000</v>
          </cell>
        </row>
        <row r="77">
          <cell r="B77">
            <v>10</v>
          </cell>
          <cell r="C77" t="str">
            <v>Database Analyst/Administrator</v>
          </cell>
          <cell r="E77">
            <v>6000</v>
          </cell>
        </row>
        <row r="78">
          <cell r="B78">
            <v>11</v>
          </cell>
          <cell r="C78" t="str">
            <v>Simulator Instructor</v>
          </cell>
          <cell r="E78">
            <v>8750</v>
          </cell>
        </row>
        <row r="79">
          <cell r="B79">
            <v>12</v>
          </cell>
          <cell r="C79" t="str">
            <v>Sr Logistics Analyst</v>
          </cell>
          <cell r="E79">
            <v>12000</v>
          </cell>
        </row>
        <row r="80">
          <cell r="B80">
            <v>13</v>
          </cell>
          <cell r="C80" t="str">
            <v>Logistics Analyst</v>
          </cell>
          <cell r="E80">
            <v>25000</v>
          </cell>
        </row>
        <row r="81">
          <cell r="B81">
            <v>14</v>
          </cell>
          <cell r="C81" t="str">
            <v>Junior Logistics Analyst</v>
          </cell>
          <cell r="E81">
            <v>14000</v>
          </cell>
        </row>
        <row r="82">
          <cell r="B82">
            <v>15</v>
          </cell>
          <cell r="C82" t="str">
            <v>Sr Systems Analyst</v>
          </cell>
          <cell r="E82">
            <v>1700</v>
          </cell>
        </row>
        <row r="83">
          <cell r="B83">
            <v>16</v>
          </cell>
          <cell r="C83" t="str">
            <v>Systems Analyst</v>
          </cell>
          <cell r="E83">
            <v>4500</v>
          </cell>
        </row>
        <row r="84">
          <cell r="B84">
            <v>17</v>
          </cell>
          <cell r="C84" t="str">
            <v>Sr Editor</v>
          </cell>
          <cell r="E84">
            <v>3000</v>
          </cell>
        </row>
        <row r="85">
          <cell r="B85">
            <v>18</v>
          </cell>
          <cell r="C85" t="str">
            <v>Editor</v>
          </cell>
          <cell r="E85">
            <v>3000</v>
          </cell>
        </row>
        <row r="86">
          <cell r="B86">
            <v>19</v>
          </cell>
          <cell r="C86" t="str">
            <v>Graphic Specialist</v>
          </cell>
          <cell r="E86">
            <v>20000</v>
          </cell>
        </row>
        <row r="87">
          <cell r="B87">
            <v>20</v>
          </cell>
          <cell r="C87" t="str">
            <v>Technical Writer/Illustrator</v>
          </cell>
          <cell r="E87">
            <v>2000</v>
          </cell>
        </row>
        <row r="88">
          <cell r="B88">
            <v>21</v>
          </cell>
          <cell r="C88" t="str">
            <v>Document Management Specialist</v>
          </cell>
          <cell r="E88">
            <v>6000</v>
          </cell>
        </row>
        <row r="89">
          <cell r="B89">
            <v>22</v>
          </cell>
          <cell r="C89" t="str">
            <v>Administrative Assistant</v>
          </cell>
          <cell r="E89">
            <v>650</v>
          </cell>
        </row>
        <row r="90">
          <cell r="B90">
            <v>23</v>
          </cell>
          <cell r="C90" t="str">
            <v>Clerk Typist</v>
          </cell>
          <cell r="E90">
            <v>650</v>
          </cell>
        </row>
        <row r="91">
          <cell r="B91">
            <v>24</v>
          </cell>
        </row>
        <row r="92">
          <cell r="B92">
            <v>25</v>
          </cell>
        </row>
        <row r="93">
          <cell r="B93">
            <v>26</v>
          </cell>
          <cell r="C93" t="str">
            <v>Category - 26</v>
          </cell>
        </row>
        <row r="94">
          <cell r="B94">
            <v>27</v>
          </cell>
          <cell r="C94" t="str">
            <v>Category - 27</v>
          </cell>
        </row>
        <row r="95">
          <cell r="B95">
            <v>28</v>
          </cell>
          <cell r="C95" t="str">
            <v>Category - 28</v>
          </cell>
        </row>
        <row r="96">
          <cell r="B96">
            <v>29</v>
          </cell>
          <cell r="C96" t="str">
            <v>Category - 29</v>
          </cell>
        </row>
        <row r="97">
          <cell r="B97">
            <v>30</v>
          </cell>
          <cell r="C97" t="str">
            <v>Category - 30</v>
          </cell>
        </row>
        <row r="98">
          <cell r="B98">
            <v>31</v>
          </cell>
          <cell r="C98" t="str">
            <v>Category - 31</v>
          </cell>
        </row>
        <row r="99">
          <cell r="B99">
            <v>32</v>
          </cell>
          <cell r="C99" t="str">
            <v>Category - 32</v>
          </cell>
        </row>
        <row r="100">
          <cell r="B100">
            <v>33</v>
          </cell>
          <cell r="C100" t="str">
            <v>Category - 33</v>
          </cell>
        </row>
        <row r="101">
          <cell r="B101">
            <v>34</v>
          </cell>
          <cell r="C101" t="str">
            <v>Category - 34</v>
          </cell>
        </row>
        <row r="102">
          <cell r="B102">
            <v>35</v>
          </cell>
          <cell r="C102" t="str">
            <v>Category - 35</v>
          </cell>
        </row>
        <row r="104">
          <cell r="B104" t="str">
            <v>Key</v>
          </cell>
          <cell r="C104" t="str">
            <v>Name</v>
          </cell>
          <cell r="D104" t="str">
            <v>Rate</v>
          </cell>
          <cell r="E104" t="str">
            <v>Category</v>
          </cell>
        </row>
        <row r="105">
          <cell r="B105" t="str">
            <v>Personnel</v>
          </cell>
        </row>
        <row r="106">
          <cell r="B106">
            <v>1</v>
          </cell>
          <cell r="C106" t="str">
            <v>Renfro, R</v>
          </cell>
          <cell r="D106">
            <v>54.33</v>
          </cell>
          <cell r="E106" t="str">
            <v>D6-5</v>
          </cell>
          <cell r="F106" t="str">
            <v>MADG</v>
          </cell>
        </row>
        <row r="107">
          <cell r="B107">
            <v>2</v>
          </cell>
          <cell r="C107" t="str">
            <v>Lausch</v>
          </cell>
          <cell r="F107" t="str">
            <v>New Hire</v>
          </cell>
        </row>
        <row r="108">
          <cell r="B108">
            <v>3</v>
          </cell>
          <cell r="C108" t="str">
            <v>Severe, J</v>
          </cell>
          <cell r="D108">
            <v>19.010000000000002</v>
          </cell>
          <cell r="E108" t="str">
            <v>T2-5</v>
          </cell>
          <cell r="F108" t="str">
            <v>MADG</v>
          </cell>
        </row>
        <row r="109">
          <cell r="B109">
            <v>4</v>
          </cell>
          <cell r="C109" t="str">
            <v>Glithero, S</v>
          </cell>
          <cell r="D109">
            <v>26.53</v>
          </cell>
          <cell r="E109" t="str">
            <v>A4-1</v>
          </cell>
          <cell r="F109" t="str">
            <v>MADG</v>
          </cell>
        </row>
        <row r="110">
          <cell r="B110">
            <v>5</v>
          </cell>
          <cell r="C110" t="str">
            <v>Tibbetts, W</v>
          </cell>
          <cell r="D110">
            <v>24.89</v>
          </cell>
          <cell r="E110" t="str">
            <v>A3-2</v>
          </cell>
          <cell r="F110" t="str">
            <v>MADG</v>
          </cell>
        </row>
        <row r="111">
          <cell r="B111">
            <v>6</v>
          </cell>
          <cell r="C111" t="str">
            <v>Bryan, S</v>
          </cell>
          <cell r="D111">
            <v>22.11</v>
          </cell>
          <cell r="E111" t="str">
            <v>D1-1</v>
          </cell>
          <cell r="F111" t="str">
            <v>MADG</v>
          </cell>
        </row>
        <row r="112">
          <cell r="B112">
            <v>7</v>
          </cell>
          <cell r="C112" t="str">
            <v>Koenig, J R</v>
          </cell>
          <cell r="D112">
            <v>29.26</v>
          </cell>
          <cell r="E112" t="str">
            <v>A3-4</v>
          </cell>
          <cell r="F112" t="str">
            <v>MSTC</v>
          </cell>
        </row>
        <row r="113">
          <cell r="B113">
            <v>8</v>
          </cell>
          <cell r="C113" t="str">
            <v>Hultman</v>
          </cell>
          <cell r="F113" t="str">
            <v>New Hire</v>
          </cell>
        </row>
        <row r="114">
          <cell r="B114">
            <v>9</v>
          </cell>
          <cell r="C114" t="str">
            <v>Smith, N</v>
          </cell>
          <cell r="D114">
            <v>20</v>
          </cell>
          <cell r="E114" t="str">
            <v>A2-3</v>
          </cell>
          <cell r="F114" t="str">
            <v>MADG</v>
          </cell>
        </row>
        <row r="115">
          <cell r="B115">
            <v>10</v>
          </cell>
          <cell r="C115" t="str">
            <v>Gehres</v>
          </cell>
          <cell r="D115">
            <v>33.659999999999997</v>
          </cell>
          <cell r="E115" t="str">
            <v>E3-4</v>
          </cell>
          <cell r="F115" t="str">
            <v>MSTC</v>
          </cell>
        </row>
        <row r="116">
          <cell r="B116">
            <v>11</v>
          </cell>
          <cell r="C116" t="str">
            <v>Crites</v>
          </cell>
          <cell r="F116" t="str">
            <v>New Hire</v>
          </cell>
        </row>
        <row r="117">
          <cell r="B117">
            <v>12</v>
          </cell>
          <cell r="C117" t="str">
            <v>Sturges, C</v>
          </cell>
          <cell r="D117">
            <v>37.26</v>
          </cell>
          <cell r="F117" t="str">
            <v>New Hire</v>
          </cell>
        </row>
        <row r="118">
          <cell r="B118">
            <v>13</v>
          </cell>
          <cell r="C118" t="str">
            <v>Dimitriu, Paul</v>
          </cell>
          <cell r="D118">
            <v>30.8</v>
          </cell>
          <cell r="F118" t="str">
            <v>Temp</v>
          </cell>
          <cell r="G118" t="str">
            <v>(Manpower Professional Services)</v>
          </cell>
        </row>
        <row r="119">
          <cell r="B119">
            <v>14</v>
          </cell>
          <cell r="C119" t="str">
            <v>Worth, Greg</v>
          </cell>
          <cell r="D119">
            <v>46.2</v>
          </cell>
          <cell r="F119" t="str">
            <v>Temp</v>
          </cell>
          <cell r="G119" t="str">
            <v>(Manpower Professional Services)</v>
          </cell>
        </row>
        <row r="120">
          <cell r="B120">
            <v>15</v>
          </cell>
          <cell r="C120" t="str">
            <v>Collins, Doug</v>
          </cell>
          <cell r="D120">
            <v>25</v>
          </cell>
          <cell r="F120" t="str">
            <v>New Hire</v>
          </cell>
        </row>
        <row r="121">
          <cell r="B121">
            <v>16</v>
          </cell>
          <cell r="C121" t="str">
            <v>Cain, John</v>
          </cell>
          <cell r="D121">
            <v>42</v>
          </cell>
          <cell r="F121" t="str">
            <v>Temp</v>
          </cell>
          <cell r="G121" t="str">
            <v>(Manpower Professional Services)</v>
          </cell>
        </row>
        <row r="122">
          <cell r="B122">
            <v>17</v>
          </cell>
          <cell r="C122" t="str">
            <v>Maxwell, Walter</v>
          </cell>
          <cell r="D122">
            <v>42</v>
          </cell>
          <cell r="F122" t="str">
            <v>Temp</v>
          </cell>
          <cell r="G122" t="str">
            <v>(Manpower Professional Services)</v>
          </cell>
        </row>
        <row r="123">
          <cell r="B123">
            <v>18</v>
          </cell>
          <cell r="C123" t="str">
            <v>Torres, Desi</v>
          </cell>
          <cell r="D123">
            <v>42</v>
          </cell>
          <cell r="F123" t="str">
            <v>Temp</v>
          </cell>
          <cell r="G123" t="str">
            <v>(Manpower Professional Services)</v>
          </cell>
        </row>
        <row r="124">
          <cell r="B124">
            <v>19</v>
          </cell>
          <cell r="C124" t="str">
            <v>Franklin, Hubert</v>
          </cell>
          <cell r="D124">
            <v>17.5</v>
          </cell>
          <cell r="E124" t="str">
            <v>A2-1</v>
          </cell>
          <cell r="F124" t="str">
            <v>MADG</v>
          </cell>
        </row>
        <row r="125">
          <cell r="B125">
            <v>20</v>
          </cell>
          <cell r="C125" t="str">
            <v>Name - 20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BOE"/>
    </sheetNames>
    <sheetDataSet>
      <sheetData sheetId="0">
        <row r="13">
          <cell r="A13">
            <v>1</v>
          </cell>
          <cell r="B13" t="str">
            <v xml:space="preserve">LAN/Wan Engineer </v>
          </cell>
          <cell r="C13" t="str">
            <v>CLIN I-1-1 (290 Days), CLIN I-1-2-1  (290 Days), and  CLIN I-1-3 (170 Days)</v>
          </cell>
          <cell r="G13">
            <v>750</v>
          </cell>
          <cell r="I13">
            <v>0</v>
          </cell>
          <cell r="K13">
            <v>750</v>
          </cell>
          <cell r="M13" t="str">
            <v>CJ6 SSG</v>
          </cell>
          <cell r="N13" t="str">
            <v>NOTES apply to all Labor Positions/Categories</v>
          </cell>
          <cell r="O13" t="str">
            <v>Based on Enclosure 1 Price Proposal to Part I, Bidding Instructions</v>
          </cell>
          <cell r="P13">
            <v>290</v>
          </cell>
          <cell r="Q13">
            <v>290</v>
          </cell>
          <cell r="R13">
            <v>170</v>
          </cell>
        </row>
        <row r="14">
          <cell r="A14">
            <v>2</v>
          </cell>
          <cell r="B14" t="str">
            <v>Functional Services Administrator</v>
          </cell>
          <cell r="C14" t="str">
            <v>CLIN I-1-1 (290 Days), CLIN I-1-2-1  (290 Days), and  CLIN I-1-3 (170 Days)</v>
          </cell>
          <cell r="G14">
            <v>750</v>
          </cell>
          <cell r="I14">
            <v>0</v>
          </cell>
          <cell r="K14">
            <v>750</v>
          </cell>
          <cell r="M14" t="str">
            <v>CJ6 SSG</v>
          </cell>
          <cell r="N14" t="str">
            <v>NOTE 1:  Work schedule is 6-days per week, 10-working hours per day with Thursday a half day and Friday off per Part III SOW, Chap 2, Para 4a, Page 44.</v>
          </cell>
          <cell r="O14" t="str">
            <v>Based on Enclosure 1 Price Proposal to Part I, Bidding Instructions</v>
          </cell>
          <cell r="P14">
            <v>290</v>
          </cell>
          <cell r="Q14">
            <v>290</v>
          </cell>
          <cell r="R14">
            <v>170</v>
          </cell>
        </row>
        <row r="15">
          <cell r="A15">
            <v>3</v>
          </cell>
          <cell r="B15" t="str">
            <v>Functional Services Administrator</v>
          </cell>
          <cell r="C15" t="str">
            <v>CLIN I-1-1 (290 Days), CLIN I-1-2-1  (290 Days), and  CLIN I-1-3 (170 Days)</v>
          </cell>
          <cell r="G15">
            <v>750</v>
          </cell>
          <cell r="I15">
            <v>0</v>
          </cell>
          <cell r="K15">
            <v>750</v>
          </cell>
          <cell r="M15" t="str">
            <v>CJ6 SSG</v>
          </cell>
          <cell r="N15" t="str">
            <v>NOTE 2:  Because of the nature of ISAF mission, consultants may be reuired to work flexible hours to resond to the exigencies of service per Part III SOW, Chap 2, Para 4b, Page 44.</v>
          </cell>
          <cell r="O15" t="str">
            <v>Based on Enclosure 1 Price Proposal to Part I, Bidding Instructions</v>
          </cell>
          <cell r="P15">
            <v>290</v>
          </cell>
          <cell r="Q15">
            <v>290</v>
          </cell>
          <cell r="R15">
            <v>170</v>
          </cell>
        </row>
        <row r="16">
          <cell r="A16">
            <v>4</v>
          </cell>
          <cell r="B16" t="str">
            <v>Functional Services Administrator</v>
          </cell>
          <cell r="C16" t="str">
            <v>CLIN I-1-1 (290 Days), CLIN I-1-2-1  (290 Days), and  CLIN I-1-3 (170 Days)</v>
          </cell>
          <cell r="G16">
            <v>750</v>
          </cell>
          <cell r="I16">
            <v>0</v>
          </cell>
          <cell r="K16">
            <v>750</v>
          </cell>
          <cell r="M16" t="str">
            <v>CJ6 SSG</v>
          </cell>
          <cell r="N16" t="str">
            <v>NOTE 3: In case of deployment outside ISAF HQ in Kabul in order to perform CIS duties (repair, maintenance, implementation, etc), the number of working hours can be higher and task oriented per Part III SOW, Chap 2, Para 4c, Page 44.</v>
          </cell>
          <cell r="O16" t="str">
            <v>Based on Enclosure 1 Price Proposal to Part I, Bidding Instructions</v>
          </cell>
          <cell r="P16">
            <v>290</v>
          </cell>
          <cell r="Q16">
            <v>290</v>
          </cell>
          <cell r="R16">
            <v>170</v>
          </cell>
        </row>
        <row r="17">
          <cell r="A17">
            <v>5</v>
          </cell>
          <cell r="B17" t="str">
            <v>Service Desk</v>
          </cell>
          <cell r="C17" t="str">
            <v>CLIN I-1-1 (290 Days), CLIN I-1-2-1  (290 Days), and  CLIN I-1-3 (170 Days)</v>
          </cell>
          <cell r="G17">
            <v>750</v>
          </cell>
          <cell r="I17">
            <v>0</v>
          </cell>
          <cell r="K17">
            <v>750</v>
          </cell>
          <cell r="M17" t="str">
            <v>CJ6 SSG</v>
          </cell>
          <cell r="N17" t="str">
            <v>NOTE 4: Under extraordinary circumstances, the contractors' personnel may be tasked by the COTR to work either in a rotary shift, day shift or night shift per Part III SOW, Chap 2, Para 4d, Page 44.</v>
          </cell>
          <cell r="O17" t="str">
            <v>Based on Enclosure 1 Price Proposal to Part I, Bidding Instructions</v>
          </cell>
          <cell r="P17">
            <v>290</v>
          </cell>
          <cell r="Q17">
            <v>290</v>
          </cell>
          <cell r="R17">
            <v>170</v>
          </cell>
        </row>
        <row r="18">
          <cell r="A18">
            <v>6</v>
          </cell>
          <cell r="B18" t="str">
            <v>Service Desk</v>
          </cell>
          <cell r="C18" t="str">
            <v>CLIN I-1-1 (290 Days), CLIN I-1-2-1  (290 Days), and  CLIN I-1-3 (170 Days)</v>
          </cell>
          <cell r="G18">
            <v>750</v>
          </cell>
          <cell r="I18">
            <v>0</v>
          </cell>
          <cell r="K18">
            <v>750</v>
          </cell>
          <cell r="M18" t="str">
            <v>CJ6 SSG</v>
          </cell>
          <cell r="N18" t="str">
            <v>NOTE 5: The extraordinary work in shift shall not give any rights for compensation to the contractor and the contract daily rate shall remain unchanged under those circumstances per Part III SOW, Chap 2, Para 4e, Page 44.</v>
          </cell>
          <cell r="O18" t="str">
            <v>Based on Enclosure 1 Price Proposal to Part I, Bidding Instructions</v>
          </cell>
          <cell r="P18">
            <v>290</v>
          </cell>
          <cell r="Q18">
            <v>290</v>
          </cell>
          <cell r="R18">
            <v>170</v>
          </cell>
        </row>
        <row r="19">
          <cell r="A19">
            <v>7</v>
          </cell>
          <cell r="B19" t="str">
            <v>CIS Training Supervisor</v>
          </cell>
          <cell r="C19" t="str">
            <v>CLIN I-1-1 (290 Days), CLIN I-1-2-1  (290 Days), and  CLIN I-1-3 (170 Days)</v>
          </cell>
          <cell r="G19">
            <v>750</v>
          </cell>
          <cell r="I19">
            <v>0</v>
          </cell>
          <cell r="K19">
            <v>750</v>
          </cell>
          <cell r="M19" t="str">
            <v>CJ6 SSG</v>
          </cell>
          <cell r="O19" t="str">
            <v>To be provided by Ryan Shaver, Segovia/Based on Enclosure 1 Price Proposal to Part I Bidding Instructions</v>
          </cell>
          <cell r="P19">
            <v>290</v>
          </cell>
          <cell r="Q19">
            <v>290</v>
          </cell>
          <cell r="R19">
            <v>170</v>
          </cell>
        </row>
        <row r="20">
          <cell r="A20">
            <v>8</v>
          </cell>
          <cell r="B20" t="str">
            <v>CIS Trainer</v>
          </cell>
          <cell r="C20" t="str">
            <v>CLIN I-1-1 (290 Days), CLIN I-1-2-1  (290 Days), and  CLIN I-1-3 (170 Days)</v>
          </cell>
          <cell r="G20">
            <v>750</v>
          </cell>
          <cell r="I20">
            <v>0</v>
          </cell>
          <cell r="K20">
            <v>750</v>
          </cell>
          <cell r="M20" t="str">
            <v>CJ6 SSG</v>
          </cell>
          <cell r="O20" t="str">
            <v>To be provided by Ryan Shaver, Segovia/Based on Enclosure 1 Price Proposal to Part I Bidding Instructions</v>
          </cell>
          <cell r="P20">
            <v>290</v>
          </cell>
          <cell r="Q20">
            <v>290</v>
          </cell>
          <cell r="R20">
            <v>170</v>
          </cell>
        </row>
        <row r="21">
          <cell r="A21">
            <v>9</v>
          </cell>
          <cell r="B21" t="str">
            <v>Radio Technician</v>
          </cell>
          <cell r="C21" t="str">
            <v>CLIN I-1-1 (290 Days), CLIN I-1-2-1  (290 Days), and  CLIN I-1-3 (170 Days)</v>
          </cell>
          <cell r="G21">
            <v>750</v>
          </cell>
          <cell r="I21">
            <v>0</v>
          </cell>
          <cell r="K21">
            <v>750</v>
          </cell>
          <cell r="M21" t="str">
            <v>CJ6 SSG</v>
          </cell>
          <cell r="O21" t="str">
            <v>To be provided by Ryan Shaver, Segovia/Based on Enclosure 1 Price Proposal to Part I Bidding Instructions</v>
          </cell>
          <cell r="P21">
            <v>290</v>
          </cell>
          <cell r="Q21">
            <v>290</v>
          </cell>
          <cell r="R21">
            <v>170</v>
          </cell>
        </row>
        <row r="22">
          <cell r="A22">
            <v>10</v>
          </cell>
          <cell r="B22" t="str">
            <v>Radio Technician</v>
          </cell>
          <cell r="C22" t="str">
            <v>CLIN I-1-1 (290 Days), CLIN I-1-2-1  (290 Days), and  CLIN I-1-3 (170 Days)</v>
          </cell>
          <cell r="G22">
            <v>750</v>
          </cell>
          <cell r="I22">
            <v>0</v>
          </cell>
          <cell r="K22">
            <v>750</v>
          </cell>
          <cell r="M22" t="str">
            <v>CJ6 SSG</v>
          </cell>
          <cell r="O22" t="str">
            <v>To be provided by Ryan Shaver, Segovia/Based on Enclosure 1 Price Proposal to Part I Bidding Instructions</v>
          </cell>
          <cell r="P22">
            <v>290</v>
          </cell>
          <cell r="Q22">
            <v>290</v>
          </cell>
          <cell r="R22">
            <v>170</v>
          </cell>
        </row>
        <row r="23">
          <cell r="A23">
            <v>11</v>
          </cell>
          <cell r="B23" t="str">
            <v>Network Administrator</v>
          </cell>
          <cell r="C23" t="str">
            <v>CLIN I-1-1 (290 Days), CLIN I-1-2-1  (290 Days), and  CLIN I-1-3 (170 Days)</v>
          </cell>
          <cell r="G23">
            <v>750</v>
          </cell>
          <cell r="M23" t="str">
            <v>CJ6 SSG</v>
          </cell>
          <cell r="N23" t="str">
            <v>NOTE 6: Per discussions with Lindy and Senior Resources Board Action Sheet pricing summary our goal is to keep all salaries under $200K-250K.</v>
          </cell>
          <cell r="O23" t="str">
            <v>Based on Enclosure 1 Price Proposal to Part I, Bidding Instructions</v>
          </cell>
          <cell r="P23">
            <v>290</v>
          </cell>
          <cell r="Q23">
            <v>290</v>
          </cell>
          <cell r="R23">
            <v>170</v>
          </cell>
        </row>
        <row r="24">
          <cell r="A24">
            <v>12</v>
          </cell>
          <cell r="B24" t="str">
            <v>System Administrator</v>
          </cell>
          <cell r="C24" t="str">
            <v>CLIN I-1-1 (290 Days), CLIN I-1-2-1  (290 Days), and  CLIN I-1-3 (170 Days)</v>
          </cell>
          <cell r="G24">
            <v>750</v>
          </cell>
          <cell r="M24" t="str">
            <v>CJ6 SSG</v>
          </cell>
          <cell r="N24" t="str">
            <v>NOTE 7: Per discussions with Lindy and Senior Resources Board Action Sheet pricing summary our goal is to come in below $12M dollars total on this contract.</v>
          </cell>
          <cell r="O24" t="str">
            <v>Based on Enclosure 1 Price Proposal to Part I, Bidding Instructions</v>
          </cell>
          <cell r="P24">
            <v>290</v>
          </cell>
          <cell r="Q24">
            <v>290</v>
          </cell>
          <cell r="R24">
            <v>170</v>
          </cell>
        </row>
        <row r="25">
          <cell r="A25">
            <v>13</v>
          </cell>
          <cell r="B25" t="str">
            <v>Configuration Manager</v>
          </cell>
          <cell r="C25" t="str">
            <v>CLIN I-1-1 (290 Days), CLIN I-1-2-1  (290 Days), and  CLIN I-1-3 (170 Days)</v>
          </cell>
          <cell r="G25">
            <v>750</v>
          </cell>
          <cell r="M25" t="str">
            <v>CJ6 OPS</v>
          </cell>
          <cell r="N25" t="str">
            <v>NOTE 8: Need to include the war insurance, medical insurance etc., for all 11-positions per Part III SOW.</v>
          </cell>
          <cell r="O25" t="str">
            <v>Based on Enclosure 1 Price Proposal to Part I, Bidding Instructions</v>
          </cell>
          <cell r="P25">
            <v>290</v>
          </cell>
          <cell r="Q25">
            <v>290</v>
          </cell>
          <cell r="R25">
            <v>170</v>
          </cell>
        </row>
        <row r="26">
          <cell r="A26">
            <v>14</v>
          </cell>
          <cell r="B26" t="str">
            <v>Hardware Technician</v>
          </cell>
          <cell r="C26" t="str">
            <v>CLIN I-1-1 (290 Days), CLIN I-1-2-1  (290 Days), and  CLIN I-1-3 (170 Days)</v>
          </cell>
          <cell r="G26">
            <v>750</v>
          </cell>
          <cell r="M26" t="str">
            <v>CJ6 OPS</v>
          </cell>
          <cell r="N26" t="str">
            <v>NOTE 9:  Janina Lee, DSG HR will be handling all the ManTech Employee selection, hiring and Contingency Hire Letters.</v>
          </cell>
          <cell r="O26" t="str">
            <v>Based on Enclosure 1 Price Proposal to Part I, Bidding Instructions</v>
          </cell>
          <cell r="P26">
            <v>290</v>
          </cell>
          <cell r="Q26">
            <v>290</v>
          </cell>
          <cell r="R26">
            <v>170</v>
          </cell>
        </row>
        <row r="27">
          <cell r="A27">
            <v>15</v>
          </cell>
          <cell r="B27" t="str">
            <v>Repair/Exchange Specialist</v>
          </cell>
          <cell r="C27" t="str">
            <v>CLIN I-1-1 (290 Days), CLIN I-1-2-1  (290 Days), and  CLIN I-1-3 (170 Days)</v>
          </cell>
          <cell r="G27">
            <v>750</v>
          </cell>
          <cell r="M27" t="str">
            <v>CJ6 OPS</v>
          </cell>
          <cell r="O27" t="str">
            <v>Based on Enclosure 1 Price Proposal to Part I, Bidding Instructions</v>
          </cell>
          <cell r="P27">
            <v>290</v>
          </cell>
          <cell r="Q27">
            <v>290</v>
          </cell>
          <cell r="R27">
            <v>170</v>
          </cell>
        </row>
        <row r="28">
          <cell r="B28" t="str">
            <v>TOTAL LABOR:</v>
          </cell>
          <cell r="G28">
            <v>7500</v>
          </cell>
          <cell r="I28">
            <v>0</v>
          </cell>
          <cell r="K28">
            <v>7500</v>
          </cell>
        </row>
        <row r="30">
          <cell r="B30" t="str">
            <v>OTHER DIRECT COSTS (ODCs)</v>
          </cell>
          <cell r="G30" t="str">
            <v xml:space="preserve">Estimated </v>
          </cell>
          <cell r="I30" t="str">
            <v xml:space="preserve">Estimated </v>
          </cell>
          <cell r="K30" t="str">
            <v>Est. Total</v>
          </cell>
          <cell r="O30" t="str">
            <v>BASIS OF ESTIMATE</v>
          </cell>
        </row>
        <row r="31">
          <cell r="B31" t="str">
            <v>Description (ie: Shipping, Postage, Equip Rental/Leasing, etc.)</v>
          </cell>
          <cell r="G31" t="str">
            <v>Units</v>
          </cell>
          <cell r="I31" t="str">
            <v>Unit Cost</v>
          </cell>
          <cell r="K31" t="str">
            <v>Cost</v>
          </cell>
          <cell r="O31" t="str">
            <v>(Description/Explanation of requirement)</v>
          </cell>
        </row>
        <row r="32">
          <cell r="B32" t="str">
            <v xml:space="preserve">ODC1:  Lodging, Meals &amp; Incidental Pre-Deployment Course Costs </v>
          </cell>
          <cell r="G32">
            <v>15</v>
          </cell>
          <cell r="I32" t="str">
            <v>275 Euro</v>
          </cell>
          <cell r="K32" t="str">
            <v>4,125.00 Euro</v>
          </cell>
          <cell r="O32" t="str">
            <v>This cost is a per individual charge for Lodging and Meals and Incidental course costs while attending the Pre-Deployment Training in Vyskov, Czech per Part III SOW, Annex D, Paragraph 1.</v>
          </cell>
        </row>
        <row r="33">
          <cell r="B33" t="str">
            <v>ODC2</v>
          </cell>
          <cell r="I33">
            <v>0</v>
          </cell>
          <cell r="K33">
            <v>0</v>
          </cell>
        </row>
        <row r="34">
          <cell r="B34" t="str">
            <v>ODC3</v>
          </cell>
          <cell r="I34">
            <v>0</v>
          </cell>
          <cell r="K34">
            <v>0</v>
          </cell>
        </row>
        <row r="35">
          <cell r="B35" t="str">
            <v>TOTAL ODCs:</v>
          </cell>
          <cell r="K35">
            <v>0</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ervice Quote"/>
    </sheetNames>
    <sheetDataSet>
      <sheetData sheetId="0">
        <row r="23">
          <cell r="E23">
            <v>499.95</v>
          </cell>
        </row>
        <row r="26">
          <cell r="E26">
            <v>359</v>
          </cell>
        </row>
        <row r="29">
          <cell r="E29">
            <v>199.95</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InputSheet"/>
      <sheetName val="Esc Code"/>
      <sheetName val="Indirect Lookup"/>
      <sheetName val="BY"/>
      <sheetName val="CPFF"/>
      <sheetName val="WBS1"/>
      <sheetName val="WBS Staffing1"/>
      <sheetName val="WBS Task Descriptions"/>
      <sheetName val="GSA - Price Analysis"/>
      <sheetName val="GSA - Submittal"/>
      <sheetName val="OY1"/>
      <sheetName val="OY2"/>
      <sheetName val="OY3"/>
      <sheetName val="OY4"/>
      <sheetName val="Pricing Summary"/>
      <sheetName val="Sub Rates"/>
      <sheetName val="Price Analysis &quot;Sub-1&quot;"/>
      <sheetName val="Indirects"/>
      <sheetName val="Sheet1"/>
      <sheetName val="Pricing Summary (2)"/>
    </sheetNames>
    <sheetDataSet>
      <sheetData sheetId="0">
        <row r="173">
          <cell r="B173">
            <v>1</v>
          </cell>
          <cell r="C173" t="str">
            <v>0001 - Sr. Analyst 1</v>
          </cell>
          <cell r="E173" t="str">
            <v>ManTech</v>
          </cell>
          <cell r="F173" t="str">
            <v>Ross,David L</v>
          </cell>
          <cell r="G173">
            <v>37.716414999999998</v>
          </cell>
        </row>
        <row r="174">
          <cell r="B174">
            <v>2</v>
          </cell>
          <cell r="C174" t="str">
            <v>0002 - Sr. Analyst 2</v>
          </cell>
          <cell r="E174" t="str">
            <v>ManTech</v>
          </cell>
          <cell r="F174" t="str">
            <v>Sosa,Arthur J</v>
          </cell>
          <cell r="G174">
            <v>37.716414999999998</v>
          </cell>
        </row>
        <row r="175">
          <cell r="B175">
            <v>3</v>
          </cell>
          <cell r="C175" t="str">
            <v>0003 - Sr. Analyst 3</v>
          </cell>
          <cell r="E175" t="str">
            <v>ManTech</v>
          </cell>
          <cell r="F175" t="str">
            <v>Thordsen,Marvin L</v>
          </cell>
          <cell r="G175">
            <v>34.287649999999999</v>
          </cell>
        </row>
        <row r="176">
          <cell r="B176">
            <v>4</v>
          </cell>
          <cell r="C176" t="str">
            <v>0004 Sr Analyst 4</v>
          </cell>
          <cell r="E176" t="str">
            <v>KFM Technologies</v>
          </cell>
          <cell r="F176" t="str">
            <v>Andrew Eden</v>
          </cell>
        </row>
        <row r="177">
          <cell r="B177">
            <v>5</v>
          </cell>
          <cell r="C177" t="str">
            <v>0005 - Sr. Analyst 5</v>
          </cell>
          <cell r="E177" t="str">
            <v>KFM Technologies</v>
          </cell>
          <cell r="F177" t="str">
            <v>Robbie Meehan</v>
          </cell>
        </row>
        <row r="178">
          <cell r="B178">
            <v>6</v>
          </cell>
          <cell r="C178" t="str">
            <v>0006 Sr. Analyst 6</v>
          </cell>
          <cell r="E178" t="str">
            <v>Consultant</v>
          </cell>
          <cell r="F178" t="str">
            <v>Staale Hansen</v>
          </cell>
        </row>
        <row r="179">
          <cell r="B179">
            <v>7</v>
          </cell>
          <cell r="C179" t="str">
            <v>0007 - Sr. Analyst 7</v>
          </cell>
          <cell r="E179" t="str">
            <v>Consultant</v>
          </cell>
          <cell r="F179" t="str">
            <v>Nigel Branston</v>
          </cell>
        </row>
      </sheetData>
      <sheetData sheetId="1" refreshError="1"/>
      <sheetData sheetId="2">
        <row r="2">
          <cell r="C2" t="str">
            <v>ESD</v>
          </cell>
          <cell r="D2" t="str">
            <v>ESD 2</v>
          </cell>
          <cell r="E2" t="str">
            <v>MTSC NT</v>
          </cell>
          <cell r="F2" t="str">
            <v>MTSC ET</v>
          </cell>
          <cell r="G2" t="str">
            <v>SYMM</v>
          </cell>
          <cell r="H2" t="str">
            <v>SERV</v>
          </cell>
          <cell r="I2" t="str">
            <v>Tech System OFF</v>
          </cell>
          <cell r="J2" t="str">
            <v>Tech</v>
          </cell>
          <cell r="K2" t="str">
            <v>MRSL</v>
          </cell>
          <cell r="L2" t="str">
            <v>IS</v>
          </cell>
          <cell r="M2" t="str">
            <v>INTL</v>
          </cell>
          <cell r="N2" t="str">
            <v>SSD</v>
          </cell>
          <cell r="O2" t="str">
            <v>IST</v>
          </cell>
          <cell r="P2" t="str">
            <v>MISSION SUPPT Tier I</v>
          </cell>
          <cell r="Q2" t="str">
            <v>MISSION SUPPT Tier II</v>
          </cell>
          <cell r="R2" t="str">
            <v>e-IC</v>
          </cell>
          <cell r="S2" t="str">
            <v>e-IC MGS</v>
          </cell>
          <cell r="T2" t="str">
            <v>SMA MAIN</v>
          </cell>
          <cell r="U2" t="str">
            <v>SMA MAIN PT</v>
          </cell>
          <cell r="V2" t="str">
            <v>SMA MAIN Special</v>
          </cell>
          <cell r="W2" t="str">
            <v>CFIAG</v>
          </cell>
          <cell r="X2" t="str">
            <v>MASI Special</v>
          </cell>
          <cell r="Y2" t="str">
            <v>MASI</v>
          </cell>
          <cell r="Z2" t="str">
            <v>MASI P/T</v>
          </cell>
          <cell r="AA2" t="str">
            <v>CFIAG P/T</v>
          </cell>
          <cell r="AB2" t="str">
            <v>Remote</v>
          </cell>
          <cell r="AC2" t="str">
            <v>COMM</v>
          </cell>
          <cell r="AD2" t="str">
            <v>ADV PRGMS</v>
          </cell>
          <cell r="AE2" t="str">
            <v>NEW</v>
          </cell>
        </row>
        <row r="3">
          <cell r="B3">
            <v>2009</v>
          </cell>
        </row>
        <row r="4">
          <cell r="A4" t="str">
            <v>2009PRB</v>
          </cell>
          <cell r="B4" t="str">
            <v>PRB</v>
          </cell>
          <cell r="C4">
            <v>0.35099999999999998</v>
          </cell>
          <cell r="D4">
            <v>0.35099999999999998</v>
          </cell>
          <cell r="E4">
            <v>0.35099999999999998</v>
          </cell>
          <cell r="F4">
            <v>0.35099999999999998</v>
          </cell>
          <cell r="G4">
            <v>0.45</v>
          </cell>
          <cell r="H4">
            <v>0.38</v>
          </cell>
          <cell r="I4">
            <v>0.44</v>
          </cell>
          <cell r="J4">
            <v>0.44</v>
          </cell>
          <cell r="K4">
            <v>0.45</v>
          </cell>
          <cell r="L4">
            <v>0.31240000000000001</v>
          </cell>
          <cell r="M4">
            <v>0.42159999999999997</v>
          </cell>
          <cell r="N4">
            <v>0.47249999999999998</v>
          </cell>
          <cell r="O4">
            <v>0.44</v>
          </cell>
          <cell r="P4">
            <v>0.44</v>
          </cell>
          <cell r="Q4">
            <v>0.35499999999999998</v>
          </cell>
          <cell r="R4">
            <v>0.44</v>
          </cell>
          <cell r="S4">
            <v>0.51219999999999999</v>
          </cell>
          <cell r="T4">
            <v>0.38750000000000001</v>
          </cell>
          <cell r="U4">
            <v>0.25</v>
          </cell>
          <cell r="V4">
            <v>0.34429999999999999</v>
          </cell>
          <cell r="W4">
            <v>0.34429999999999999</v>
          </cell>
          <cell r="X4">
            <v>0.34429999999999999</v>
          </cell>
          <cell r="Y4">
            <v>0.38750000000000001</v>
          </cell>
          <cell r="Z4">
            <v>0.25</v>
          </cell>
          <cell r="AA4">
            <v>0.25</v>
          </cell>
          <cell r="AB4">
            <v>0.32</v>
          </cell>
          <cell r="AC4">
            <v>0.34429999999999999</v>
          </cell>
          <cell r="AD4">
            <v>0.37409999999999999</v>
          </cell>
          <cell r="AE4">
            <v>0</v>
          </cell>
        </row>
        <row r="5">
          <cell r="A5" t="str">
            <v>2009Overhead - Offsite</v>
          </cell>
          <cell r="B5" t="str">
            <v>Overhead - Offsite</v>
          </cell>
          <cell r="C5">
            <v>0.17249999999999999</v>
          </cell>
          <cell r="D5">
            <v>6.5000000000000002E-2</v>
          </cell>
          <cell r="E5">
            <v>0.19500000000000001</v>
          </cell>
          <cell r="F5">
            <v>0.26500000000000001</v>
          </cell>
          <cell r="G5">
            <v>0.23</v>
          </cell>
          <cell r="H5">
            <v>0.11650000000000001</v>
          </cell>
          <cell r="I5">
            <v>0.22090000000000001</v>
          </cell>
          <cell r="J5">
            <v>0.3584</v>
          </cell>
          <cell r="K5">
            <v>0.38800000000000001</v>
          </cell>
          <cell r="L5">
            <v>0.1988</v>
          </cell>
          <cell r="M5">
            <v>0.1401</v>
          </cell>
          <cell r="N5">
            <v>0.32300000000000001</v>
          </cell>
          <cell r="O5">
            <v>0.16</v>
          </cell>
          <cell r="P5">
            <v>0.23</v>
          </cell>
          <cell r="Q5">
            <v>0.23</v>
          </cell>
          <cell r="R5">
            <v>0.22220000000000001</v>
          </cell>
          <cell r="S5" t="str">
            <v>n/a</v>
          </cell>
          <cell r="T5">
            <v>0.495</v>
          </cell>
          <cell r="U5">
            <v>0.495</v>
          </cell>
          <cell r="V5">
            <v>0.495</v>
          </cell>
          <cell r="W5">
            <v>0.495</v>
          </cell>
          <cell r="X5">
            <v>0.495</v>
          </cell>
          <cell r="Y5">
            <v>0.495</v>
          </cell>
          <cell r="Z5">
            <v>0.495</v>
          </cell>
          <cell r="AA5">
            <v>0.495</v>
          </cell>
          <cell r="AB5" t="str">
            <v>n/a</v>
          </cell>
          <cell r="AC5">
            <v>0.495</v>
          </cell>
          <cell r="AD5">
            <v>0.3</v>
          </cell>
          <cell r="AE5">
            <v>0</v>
          </cell>
        </row>
        <row r="6">
          <cell r="A6" t="str">
            <v>2009Overhead - Onsite</v>
          </cell>
          <cell r="B6" t="str">
            <v>Overhead - Onsite</v>
          </cell>
          <cell r="C6">
            <v>3.1E-2</v>
          </cell>
          <cell r="D6">
            <v>3.1E-2</v>
          </cell>
          <cell r="E6">
            <v>2.5499999999999998E-2</v>
          </cell>
          <cell r="F6">
            <v>2.5499999999999998E-2</v>
          </cell>
          <cell r="G6">
            <v>0.06</v>
          </cell>
          <cell r="H6">
            <v>1.7899999999999999E-2</v>
          </cell>
          <cell r="I6" t="str">
            <v>n/a</v>
          </cell>
          <cell r="J6">
            <v>6.1400000000000003E-2</v>
          </cell>
          <cell r="K6" t="str">
            <v>n/a</v>
          </cell>
          <cell r="L6">
            <v>2.23E-2</v>
          </cell>
          <cell r="M6" t="str">
            <v>n/a</v>
          </cell>
          <cell r="N6">
            <v>8.3699999999999997E-2</v>
          </cell>
          <cell r="O6">
            <v>0.16</v>
          </cell>
          <cell r="P6">
            <v>0.06</v>
          </cell>
          <cell r="Q6">
            <v>0.06</v>
          </cell>
          <cell r="R6">
            <v>2.6200000000000001E-2</v>
          </cell>
          <cell r="S6">
            <v>0.17499999999999999</v>
          </cell>
          <cell r="T6">
            <v>8.5000000000000006E-2</v>
          </cell>
          <cell r="U6">
            <v>8.5000000000000006E-2</v>
          </cell>
          <cell r="V6">
            <v>8.5000000000000006E-2</v>
          </cell>
          <cell r="W6">
            <v>0.1825</v>
          </cell>
          <cell r="X6">
            <v>6.5000000000000002E-2</v>
          </cell>
          <cell r="Y6">
            <v>6.5000000000000002E-2</v>
          </cell>
          <cell r="Z6">
            <v>6.5000000000000002E-2</v>
          </cell>
          <cell r="AA6">
            <v>0.1825</v>
          </cell>
          <cell r="AB6">
            <v>6.5000000000000002E-2</v>
          </cell>
          <cell r="AC6" t="str">
            <v>n/a</v>
          </cell>
          <cell r="AD6">
            <v>6.5000000000000002E-2</v>
          </cell>
          <cell r="AE6">
            <v>0</v>
          </cell>
        </row>
        <row r="7">
          <cell r="A7" t="str">
            <v>2009Material Handling</v>
          </cell>
          <cell r="B7" t="str">
            <v>Material Handling</v>
          </cell>
          <cell r="C7">
            <v>3.1E-2</v>
          </cell>
          <cell r="D7">
            <v>3.1E-2</v>
          </cell>
          <cell r="E7">
            <v>3.1E-2</v>
          </cell>
          <cell r="F7">
            <v>3.1E-2</v>
          </cell>
          <cell r="G7">
            <v>0.14000000000000001</v>
          </cell>
          <cell r="H7">
            <v>2.5000000000000001E-2</v>
          </cell>
          <cell r="I7">
            <v>4.3499999999999997E-2</v>
          </cell>
          <cell r="J7">
            <v>4.3499999999999997E-2</v>
          </cell>
          <cell r="K7">
            <v>2.5000000000000001E-2</v>
          </cell>
          <cell r="L7">
            <v>3.1699999999999999E-2</v>
          </cell>
          <cell r="M7">
            <v>3.1699999999999999E-2</v>
          </cell>
          <cell r="N7">
            <v>4.9700000000000001E-2</v>
          </cell>
          <cell r="O7">
            <v>0</v>
          </cell>
          <cell r="P7">
            <v>3.6999999999999998E-2</v>
          </cell>
          <cell r="Q7">
            <v>3.6999999999999998E-2</v>
          </cell>
          <cell r="R7">
            <v>5.7599999999999998E-2</v>
          </cell>
          <cell r="S7">
            <v>5.7599999999999998E-2</v>
          </cell>
          <cell r="T7">
            <v>4.2999999999999997E-2</v>
          </cell>
          <cell r="U7">
            <v>4.2999999999999997E-2</v>
          </cell>
          <cell r="V7">
            <v>4.2999999999999997E-2</v>
          </cell>
          <cell r="W7">
            <v>4.2999999999999997E-2</v>
          </cell>
          <cell r="X7">
            <v>4.2999999999999997E-2</v>
          </cell>
          <cell r="Y7">
            <v>4.2999999999999997E-2</v>
          </cell>
          <cell r="Z7">
            <v>4.2999999999999997E-2</v>
          </cell>
          <cell r="AA7">
            <v>4.2999999999999997E-2</v>
          </cell>
          <cell r="AB7">
            <v>4.2999999999999997E-2</v>
          </cell>
          <cell r="AC7">
            <v>4.2999999999999997E-2</v>
          </cell>
          <cell r="AD7">
            <v>0.04</v>
          </cell>
          <cell r="AE7">
            <v>0</v>
          </cell>
        </row>
        <row r="8">
          <cell r="A8" t="str">
            <v>2009G&amp;A</v>
          </cell>
          <cell r="B8" t="str">
            <v>G&amp;A</v>
          </cell>
          <cell r="C8">
            <v>9.5699999999999993E-2</v>
          </cell>
          <cell r="D8">
            <v>9.5699999999999993E-2</v>
          </cell>
          <cell r="E8">
            <v>0.125</v>
          </cell>
          <cell r="F8">
            <v>0.125</v>
          </cell>
          <cell r="G8">
            <v>0.14000000000000001</v>
          </cell>
          <cell r="H8">
            <v>9.7799999999999998E-2</v>
          </cell>
          <cell r="I8">
            <v>0.15379999999999999</v>
          </cell>
          <cell r="J8">
            <v>0.15379999999999999</v>
          </cell>
          <cell r="K8">
            <v>0.19500000000000001</v>
          </cell>
          <cell r="L8">
            <v>9.7500000000000003E-2</v>
          </cell>
          <cell r="M8">
            <v>9.7500000000000003E-2</v>
          </cell>
          <cell r="N8">
            <v>0.16</v>
          </cell>
          <cell r="O8">
            <v>0.14000000000000001</v>
          </cell>
          <cell r="P8">
            <v>0.15</v>
          </cell>
          <cell r="Q8">
            <v>0.15</v>
          </cell>
          <cell r="R8">
            <v>0.1595</v>
          </cell>
          <cell r="S8">
            <v>0.1595</v>
          </cell>
          <cell r="T8">
            <v>0.13750000000000001</v>
          </cell>
          <cell r="U8">
            <v>0.13750000000000001</v>
          </cell>
          <cell r="V8">
            <v>0.13750000000000001</v>
          </cell>
          <cell r="W8">
            <v>0.13750000000000001</v>
          </cell>
          <cell r="X8">
            <v>0.13750000000000001</v>
          </cell>
          <cell r="Y8">
            <v>0.13750000000000001</v>
          </cell>
          <cell r="Z8">
            <v>0.13750000000000001</v>
          </cell>
          <cell r="AA8">
            <v>0.13750000000000001</v>
          </cell>
          <cell r="AB8">
            <v>0.13750000000000001</v>
          </cell>
          <cell r="AC8">
            <v>0.17499999999999999</v>
          </cell>
          <cell r="AD8">
            <v>0.14149999999999999</v>
          </cell>
          <cell r="AE8">
            <v>0</v>
          </cell>
        </row>
        <row r="9">
          <cell r="B9" t="str">
            <v>Wrap - On</v>
          </cell>
          <cell r="C9">
            <v>1.5261797116999996</v>
          </cell>
          <cell r="D9">
            <v>1.5261797116999996</v>
          </cell>
          <cell r="E9">
            <v>1.5586318125000003</v>
          </cell>
          <cell r="F9">
            <v>1.5586318125000003</v>
          </cell>
          <cell r="G9">
            <v>1.7521800000000001</v>
          </cell>
          <cell r="H9">
            <v>1.5420818555999998</v>
          </cell>
          <cell r="I9" t="str">
            <v>n/a</v>
          </cell>
          <cell r="J9">
            <v>1.7634863807999996</v>
          </cell>
          <cell r="K9" t="str">
            <v>n/a</v>
          </cell>
          <cell r="L9">
            <v>1.4724790056999999</v>
          </cell>
          <cell r="M9" t="str">
            <v>n/a</v>
          </cell>
          <cell r="N9">
            <v>1.8510679699999997</v>
          </cell>
          <cell r="O9">
            <v>1.9042560000000002</v>
          </cell>
          <cell r="P9">
            <v>1.7553599999999998</v>
          </cell>
          <cell r="Q9">
            <v>1.651745</v>
          </cell>
          <cell r="R9">
            <v>1.7134256159999999</v>
          </cell>
          <cell r="S9">
            <v>2.0602401825000003</v>
          </cell>
          <cell r="T9">
            <v>1.71243515625</v>
          </cell>
          <cell r="U9">
            <v>1.542734375</v>
          </cell>
          <cell r="V9">
            <v>1.65911825625</v>
          </cell>
          <cell r="W9">
            <v>1.8082095281250001</v>
          </cell>
          <cell r="X9">
            <v>1.62853543125</v>
          </cell>
          <cell r="Y9">
            <v>1.6808695312499997</v>
          </cell>
          <cell r="Z9">
            <v>1.5142968749999997</v>
          </cell>
          <cell r="AA9">
            <v>1.6813671875</v>
          </cell>
          <cell r="AB9">
            <v>1.5990974999999998</v>
          </cell>
          <cell r="AC9" t="str">
            <v>n/a</v>
          </cell>
          <cell r="AD9">
            <v>1.6704899347499997</v>
          </cell>
          <cell r="AE9">
            <v>1</v>
          </cell>
        </row>
        <row r="10">
          <cell r="B10" t="str">
            <v>Wrap - Off</v>
          </cell>
          <cell r="C10">
            <v>1.7356408457499997</v>
          </cell>
          <cell r="D10">
            <v>1.5765095954999997</v>
          </cell>
          <cell r="E10">
            <v>1.8162506250000001</v>
          </cell>
          <cell r="F10">
            <v>1.9226418750000003</v>
          </cell>
          <cell r="G10">
            <v>2.0331900000000003</v>
          </cell>
          <cell r="H10">
            <v>1.6914573059999998</v>
          </cell>
          <cell r="I10">
            <v>2.0284911648000001</v>
          </cell>
          <cell r="J10">
            <v>2.2569435647999998</v>
          </cell>
          <cell r="K10">
            <v>2.4050570000000002</v>
          </cell>
          <cell r="L10">
            <v>1.7267023692000001</v>
          </cell>
          <cell r="M10">
            <v>1.7787908605999998</v>
          </cell>
          <cell r="N10">
            <v>2.2598162999999993</v>
          </cell>
          <cell r="O10">
            <v>1.9042560000000002</v>
          </cell>
          <cell r="P10">
            <v>2.0368799999999996</v>
          </cell>
          <cell r="Q10">
            <v>1.9166474999999998</v>
          </cell>
          <cell r="R10">
            <v>2.0406828959999999</v>
          </cell>
          <cell r="S10" t="str">
            <v>n/a</v>
          </cell>
          <cell r="T10">
            <v>2.3595304687500001</v>
          </cell>
          <cell r="U10">
            <v>2.1257031250000002</v>
          </cell>
          <cell r="V10">
            <v>2.2860661687500001</v>
          </cell>
          <cell r="W10">
            <v>2.2860661687500001</v>
          </cell>
          <cell r="X10">
            <v>2.2860661687500001</v>
          </cell>
          <cell r="Y10">
            <v>2.3595304687500001</v>
          </cell>
          <cell r="Z10">
            <v>2.1257031250000002</v>
          </cell>
          <cell r="AA10">
            <v>2.1257031250000002</v>
          </cell>
          <cell r="AB10" t="str">
            <v>n/a</v>
          </cell>
          <cell r="AC10">
            <v>2.3614309874999999</v>
          </cell>
          <cell r="AD10">
            <v>2.0390956949999999</v>
          </cell>
          <cell r="AE10">
            <v>1</v>
          </cell>
        </row>
        <row r="11">
          <cell r="B11">
            <v>2010</v>
          </cell>
        </row>
        <row r="12">
          <cell r="A12" t="str">
            <v>2010PRB</v>
          </cell>
          <cell r="B12" t="str">
            <v>PRB</v>
          </cell>
          <cell r="C12">
            <v>0.35099999999999998</v>
          </cell>
          <cell r="D12">
            <v>0.35099999999999998</v>
          </cell>
          <cell r="E12">
            <v>0.35099999999999998</v>
          </cell>
          <cell r="F12">
            <v>0.35099999999999998</v>
          </cell>
          <cell r="G12">
            <v>0.45</v>
          </cell>
          <cell r="H12">
            <v>0.38</v>
          </cell>
          <cell r="I12">
            <v>0.44</v>
          </cell>
          <cell r="J12">
            <v>0.44</v>
          </cell>
          <cell r="K12">
            <v>0.45</v>
          </cell>
          <cell r="L12">
            <v>0.31240000000000001</v>
          </cell>
          <cell r="M12">
            <v>0.42159999999999997</v>
          </cell>
          <cell r="N12">
            <v>0.47249999999999998</v>
          </cell>
          <cell r="O12">
            <v>0.43</v>
          </cell>
          <cell r="P12">
            <v>0.43</v>
          </cell>
          <cell r="Q12">
            <v>0.35499999999999998</v>
          </cell>
          <cell r="R12">
            <v>0.43</v>
          </cell>
          <cell r="S12">
            <v>0.51219999999999999</v>
          </cell>
          <cell r="T12">
            <v>0.38750000000000001</v>
          </cell>
          <cell r="U12">
            <v>0.25</v>
          </cell>
          <cell r="V12">
            <v>0.34429999999999999</v>
          </cell>
          <cell r="W12">
            <v>0.34429999999999999</v>
          </cell>
          <cell r="X12">
            <v>0.34429999999999999</v>
          </cell>
          <cell r="Y12">
            <v>0.38750000000000001</v>
          </cell>
          <cell r="Z12">
            <v>0.25</v>
          </cell>
          <cell r="AA12">
            <v>0.25</v>
          </cell>
          <cell r="AB12">
            <v>0.32</v>
          </cell>
          <cell r="AC12">
            <v>0.34429999999999999</v>
          </cell>
          <cell r="AD12">
            <v>0.37409999999999999</v>
          </cell>
          <cell r="AE12">
            <v>0</v>
          </cell>
        </row>
        <row r="13">
          <cell r="A13" t="str">
            <v>2010Overhead - Offsite</v>
          </cell>
          <cell r="B13" t="str">
            <v>Overhead - Offsite</v>
          </cell>
          <cell r="C13">
            <v>0.17249999999999999</v>
          </cell>
          <cell r="D13">
            <v>6.5000000000000002E-2</v>
          </cell>
          <cell r="E13">
            <v>0.19500000000000001</v>
          </cell>
          <cell r="F13">
            <v>0.26500000000000001</v>
          </cell>
          <cell r="G13">
            <v>0.23</v>
          </cell>
          <cell r="H13">
            <v>0.11650000000000001</v>
          </cell>
          <cell r="I13">
            <v>0.22090000000000001</v>
          </cell>
          <cell r="J13">
            <v>0.3584</v>
          </cell>
          <cell r="K13">
            <v>0.38800000000000001</v>
          </cell>
          <cell r="L13">
            <v>0.1988</v>
          </cell>
          <cell r="M13">
            <v>0.1401</v>
          </cell>
          <cell r="N13">
            <v>0.32300000000000001</v>
          </cell>
          <cell r="O13">
            <v>0.15079999999999999</v>
          </cell>
          <cell r="P13">
            <v>0.21990000000000001</v>
          </cell>
          <cell r="Q13">
            <v>0.21990000000000001</v>
          </cell>
          <cell r="R13">
            <v>0.2132</v>
          </cell>
          <cell r="S13" t="str">
            <v>n/a</v>
          </cell>
          <cell r="T13">
            <v>0.495</v>
          </cell>
          <cell r="U13">
            <v>0.495</v>
          </cell>
          <cell r="V13">
            <v>0.495</v>
          </cell>
          <cell r="W13">
            <v>0.495</v>
          </cell>
          <cell r="X13">
            <v>0.495</v>
          </cell>
          <cell r="Y13">
            <v>0.495</v>
          </cell>
          <cell r="Z13">
            <v>0.495</v>
          </cell>
          <cell r="AA13">
            <v>0.495</v>
          </cell>
          <cell r="AB13" t="str">
            <v>n/a</v>
          </cell>
          <cell r="AC13">
            <v>0.495</v>
          </cell>
          <cell r="AD13">
            <v>0.3</v>
          </cell>
          <cell r="AE13">
            <v>0</v>
          </cell>
        </row>
        <row r="14">
          <cell r="A14" t="str">
            <v>2010Overhead - Onsite</v>
          </cell>
          <cell r="B14" t="str">
            <v>Overhead - Onsite</v>
          </cell>
          <cell r="C14">
            <v>3.1E-2</v>
          </cell>
          <cell r="D14">
            <v>3.1E-2</v>
          </cell>
          <cell r="E14">
            <v>2.5499999999999998E-2</v>
          </cell>
          <cell r="F14">
            <v>2.5499999999999998E-2</v>
          </cell>
          <cell r="G14">
            <v>0.06</v>
          </cell>
          <cell r="H14">
            <v>1.7899999999999999E-2</v>
          </cell>
          <cell r="I14" t="str">
            <v>n/a</v>
          </cell>
          <cell r="J14">
            <v>6.1400000000000003E-2</v>
          </cell>
          <cell r="K14" t="str">
            <v>n/a</v>
          </cell>
          <cell r="L14">
            <v>2.23E-2</v>
          </cell>
          <cell r="M14" t="str">
            <v>n/a</v>
          </cell>
          <cell r="N14">
            <v>8.3699999999999997E-2</v>
          </cell>
          <cell r="O14">
            <v>0.15079999999999999</v>
          </cell>
          <cell r="P14">
            <v>0.05</v>
          </cell>
          <cell r="Q14">
            <v>0.05</v>
          </cell>
          <cell r="R14">
            <v>1.6500000000000001E-2</v>
          </cell>
          <cell r="S14">
            <v>0.17499999999999999</v>
          </cell>
          <cell r="T14">
            <v>8.5000000000000006E-2</v>
          </cell>
          <cell r="U14">
            <v>8.5000000000000006E-2</v>
          </cell>
          <cell r="V14">
            <v>8.5000000000000006E-2</v>
          </cell>
          <cell r="W14">
            <v>0.1825</v>
          </cell>
          <cell r="X14">
            <v>6.5000000000000002E-2</v>
          </cell>
          <cell r="Y14">
            <v>6.5000000000000002E-2</v>
          </cell>
          <cell r="Z14">
            <v>6.5000000000000002E-2</v>
          </cell>
          <cell r="AA14">
            <v>0.1825</v>
          </cell>
          <cell r="AB14">
            <v>6.5000000000000002E-2</v>
          </cell>
          <cell r="AC14" t="str">
            <v>n/a</v>
          </cell>
          <cell r="AD14">
            <v>6.5000000000000002E-2</v>
          </cell>
          <cell r="AE14">
            <v>0</v>
          </cell>
        </row>
        <row r="15">
          <cell r="A15" t="str">
            <v>2010Material Handling</v>
          </cell>
          <cell r="B15" t="str">
            <v>Material Handling</v>
          </cell>
          <cell r="C15">
            <v>3.0300000000000001E-2</v>
          </cell>
          <cell r="D15">
            <v>3.0300000000000001E-2</v>
          </cell>
          <cell r="E15">
            <v>2.98E-2</v>
          </cell>
          <cell r="F15">
            <v>2.98E-2</v>
          </cell>
          <cell r="G15">
            <v>0.13739999999999999</v>
          </cell>
          <cell r="H15">
            <v>2.4299999999999999E-2</v>
          </cell>
          <cell r="I15">
            <v>4.2999999999999997E-2</v>
          </cell>
          <cell r="J15">
            <v>4.2999999999999997E-2</v>
          </cell>
          <cell r="K15">
            <v>2.3699999999999999E-2</v>
          </cell>
          <cell r="L15">
            <v>3.0700000000000002E-2</v>
          </cell>
          <cell r="M15">
            <v>3.0700000000000002E-2</v>
          </cell>
          <cell r="N15">
            <v>4.8500000000000001E-2</v>
          </cell>
          <cell r="O15">
            <v>0</v>
          </cell>
          <cell r="P15">
            <v>3.6200000000000003E-2</v>
          </cell>
          <cell r="Q15">
            <v>3.6200000000000003E-2</v>
          </cell>
          <cell r="R15">
            <v>5.6599999999999998E-2</v>
          </cell>
          <cell r="S15">
            <v>5.6599999999999998E-2</v>
          </cell>
          <cell r="T15">
            <v>4.1799999999999997E-2</v>
          </cell>
          <cell r="U15">
            <v>4.1799999999999997E-2</v>
          </cell>
          <cell r="V15">
            <v>4.1799999999999997E-2</v>
          </cell>
          <cell r="W15">
            <v>4.1799999999999997E-2</v>
          </cell>
          <cell r="X15">
            <v>4.1799999999999997E-2</v>
          </cell>
          <cell r="Y15">
            <v>4.1799999999999997E-2</v>
          </cell>
          <cell r="Z15">
            <v>4.1799999999999997E-2</v>
          </cell>
          <cell r="AA15">
            <v>4.1799999999999997E-2</v>
          </cell>
          <cell r="AB15">
            <v>4.1799999999999997E-2</v>
          </cell>
          <cell r="AC15">
            <v>4.1799999999999997E-2</v>
          </cell>
          <cell r="AD15">
            <v>3.8800000000000001E-2</v>
          </cell>
          <cell r="AE15">
            <v>0</v>
          </cell>
        </row>
        <row r="16">
          <cell r="A16" t="str">
            <v>2010G&amp;A</v>
          </cell>
          <cell r="B16" t="str">
            <v>G&amp;A</v>
          </cell>
          <cell r="C16">
            <v>9.3100000000000002E-2</v>
          </cell>
          <cell r="D16">
            <v>9.3100000000000002E-2</v>
          </cell>
          <cell r="E16">
            <v>0.12239999999999999</v>
          </cell>
          <cell r="F16">
            <v>0.12239999999999999</v>
          </cell>
          <cell r="G16">
            <v>0.13739999999999999</v>
          </cell>
          <cell r="H16">
            <v>9.4500000000000001E-2</v>
          </cell>
          <cell r="I16">
            <v>0.15110000000000001</v>
          </cell>
          <cell r="J16">
            <v>0.15110000000000001</v>
          </cell>
          <cell r="K16">
            <v>0.19209999999999999</v>
          </cell>
          <cell r="L16">
            <v>9.4700000000000006E-2</v>
          </cell>
          <cell r="M16">
            <v>9.4700000000000006E-2</v>
          </cell>
          <cell r="N16">
            <v>0.15590000000000001</v>
          </cell>
          <cell r="O16">
            <v>0.13819999999999999</v>
          </cell>
          <cell r="P16">
            <v>0.13300000000000001</v>
          </cell>
          <cell r="Q16">
            <v>0.13300000000000001</v>
          </cell>
          <cell r="R16">
            <v>0.16039999999999999</v>
          </cell>
          <cell r="S16">
            <v>0.16039999999999999</v>
          </cell>
          <cell r="T16">
            <v>0.13469999999999999</v>
          </cell>
          <cell r="U16">
            <v>0.13469999999999999</v>
          </cell>
          <cell r="V16">
            <v>0.13469999999999999</v>
          </cell>
          <cell r="W16">
            <v>0.13469999999999999</v>
          </cell>
          <cell r="X16">
            <v>0.13469999999999999</v>
          </cell>
          <cell r="Y16">
            <v>0.13469999999999999</v>
          </cell>
          <cell r="Z16">
            <v>0.13469999999999999</v>
          </cell>
          <cell r="AA16">
            <v>0.13469999999999999</v>
          </cell>
          <cell r="AB16">
            <v>0.13469999999999999</v>
          </cell>
          <cell r="AC16">
            <v>0.17219999999999999</v>
          </cell>
          <cell r="AD16">
            <v>0.13819999999999999</v>
          </cell>
          <cell r="AE16">
            <v>0</v>
          </cell>
        </row>
        <row r="17">
          <cell r="B17" t="str">
            <v>Wrap - On</v>
          </cell>
          <cell r="C17">
            <v>1.5225582210999997</v>
          </cell>
          <cell r="D17">
            <v>1.5225582210999997</v>
          </cell>
          <cell r="E17">
            <v>1.5550296412000002</v>
          </cell>
          <cell r="F17">
            <v>1.5550296412000002</v>
          </cell>
          <cell r="G17">
            <v>1.7481837999999998</v>
          </cell>
          <cell r="H17">
            <v>1.5374463389999999</v>
          </cell>
          <cell r="I17" t="str">
            <v>n/a</v>
          </cell>
          <cell r="J17">
            <v>1.7593596575999997</v>
          </cell>
          <cell r="K17" t="str">
            <v>n/a</v>
          </cell>
          <cell r="L17">
            <v>1.4687223394439999</v>
          </cell>
          <cell r="M17" t="str">
            <v>n/a</v>
          </cell>
          <cell r="N17">
            <v>1.8445254021749995</v>
          </cell>
          <cell r="O17">
            <v>1.8730720007999997</v>
          </cell>
          <cell r="P17">
            <v>1.7011995</v>
          </cell>
          <cell r="Q17">
            <v>1.61197575</v>
          </cell>
          <cell r="R17">
            <v>1.6867516380000001</v>
          </cell>
          <cell r="S17">
            <v>2.0618393340000005</v>
          </cell>
          <cell r="T17">
            <v>1.7082199312499999</v>
          </cell>
          <cell r="U17">
            <v>1.5389368750000001</v>
          </cell>
          <cell r="V17">
            <v>1.65503427285</v>
          </cell>
          <cell r="W17">
            <v>1.8037585508250003</v>
          </cell>
          <cell r="X17">
            <v>1.62452672865</v>
          </cell>
          <cell r="Y17">
            <v>1.67673200625</v>
          </cell>
          <cell r="Z17">
            <v>1.5105693749999998</v>
          </cell>
          <cell r="AA17">
            <v>1.6772284375000002</v>
          </cell>
          <cell r="AB17">
            <v>1.59516126</v>
          </cell>
          <cell r="AC17" t="str">
            <v>n/a</v>
          </cell>
          <cell r="AD17">
            <v>1.6656606602999997</v>
          </cell>
          <cell r="AE17">
            <v>1</v>
          </cell>
        </row>
        <row r="18">
          <cell r="B18" t="str">
            <v>Wrap - Off</v>
          </cell>
          <cell r="C18">
            <v>1.7315223222499998</v>
          </cell>
          <cell r="D18">
            <v>1.5727686765</v>
          </cell>
          <cell r="E18">
            <v>1.8120530680000002</v>
          </cell>
          <cell r="F18">
            <v>1.9181984360000004</v>
          </cell>
          <cell r="G18">
            <v>2.0285528999999998</v>
          </cell>
          <cell r="H18">
            <v>1.686372765</v>
          </cell>
          <cell r="I18">
            <v>2.0237443056000002</v>
          </cell>
          <cell r="J18">
            <v>2.2516621055999999</v>
          </cell>
          <cell r="K18">
            <v>2.39922046</v>
          </cell>
          <cell r="L18">
            <v>1.7222971148640001</v>
          </cell>
          <cell r="M18">
            <v>1.7742527153519998</v>
          </cell>
          <cell r="N18">
            <v>2.2518290182499996</v>
          </cell>
          <cell r="O18">
            <v>1.8730720007999997</v>
          </cell>
          <cell r="P18">
            <v>1.976469781</v>
          </cell>
          <cell r="Q18">
            <v>1.8728087785</v>
          </cell>
          <cell r="R18">
            <v>2.0131501104000002</v>
          </cell>
          <cell r="S18" t="str">
            <v>n/a</v>
          </cell>
          <cell r="T18">
            <v>2.35372239375</v>
          </cell>
          <cell r="U18">
            <v>2.1204706250000003</v>
          </cell>
          <cell r="V18">
            <v>2.2804389289500002</v>
          </cell>
          <cell r="W18">
            <v>2.2804389289500002</v>
          </cell>
          <cell r="X18">
            <v>2.2804389289500002</v>
          </cell>
          <cell r="Y18">
            <v>2.35372239375</v>
          </cell>
          <cell r="Z18">
            <v>2.1204706250000003</v>
          </cell>
          <cell r="AA18">
            <v>2.1204706250000003</v>
          </cell>
          <cell r="AB18" t="str">
            <v>n/a</v>
          </cell>
          <cell r="AC18">
            <v>2.3558037477</v>
          </cell>
          <cell r="AD18">
            <v>2.033200806</v>
          </cell>
          <cell r="AE18">
            <v>1</v>
          </cell>
        </row>
        <row r="19">
          <cell r="B19">
            <v>2011</v>
          </cell>
        </row>
        <row r="20">
          <cell r="A20" t="str">
            <v>2011PRB</v>
          </cell>
          <cell r="B20" t="str">
            <v>PRB</v>
          </cell>
          <cell r="C20">
            <v>0.35099999999999998</v>
          </cell>
          <cell r="D20">
            <v>0.35099999999999998</v>
          </cell>
          <cell r="E20">
            <v>0.35099999999999998</v>
          </cell>
          <cell r="F20">
            <v>0.35099999999999998</v>
          </cell>
          <cell r="G20">
            <v>0.45</v>
          </cell>
          <cell r="H20">
            <v>0.38</v>
          </cell>
          <cell r="I20">
            <v>0.44</v>
          </cell>
          <cell r="J20">
            <v>0.44</v>
          </cell>
          <cell r="K20">
            <v>0.45</v>
          </cell>
          <cell r="L20">
            <v>0.31240000000000001</v>
          </cell>
          <cell r="M20">
            <v>0.42159999999999997</v>
          </cell>
          <cell r="N20">
            <v>0.47249999999999998</v>
          </cell>
          <cell r="O20">
            <v>0.43</v>
          </cell>
          <cell r="P20">
            <v>0.43</v>
          </cell>
          <cell r="Q20">
            <v>0.35499999999999998</v>
          </cell>
          <cell r="R20">
            <v>0.43</v>
          </cell>
          <cell r="S20">
            <v>0.51219999999999999</v>
          </cell>
          <cell r="T20">
            <v>0.38750000000000001</v>
          </cell>
          <cell r="U20">
            <v>0.25</v>
          </cell>
          <cell r="V20">
            <v>0.34429999999999999</v>
          </cell>
          <cell r="W20">
            <v>0.34429999999999999</v>
          </cell>
          <cell r="X20">
            <v>0.34429999999999999</v>
          </cell>
          <cell r="Y20">
            <v>0.38750000000000001</v>
          </cell>
          <cell r="Z20">
            <v>0.25</v>
          </cell>
          <cell r="AA20">
            <v>0.25</v>
          </cell>
          <cell r="AB20">
            <v>0.32</v>
          </cell>
          <cell r="AC20">
            <v>0.34429999999999999</v>
          </cell>
          <cell r="AD20">
            <v>0.37409999999999999</v>
          </cell>
          <cell r="AE20">
            <v>0</v>
          </cell>
        </row>
        <row r="21">
          <cell r="A21" t="str">
            <v>2011Overhead - Offsite</v>
          </cell>
          <cell r="B21" t="str">
            <v>Overhead - Offsite</v>
          </cell>
          <cell r="C21">
            <v>0.17249999999999999</v>
          </cell>
          <cell r="D21">
            <v>6.5000000000000002E-2</v>
          </cell>
          <cell r="E21">
            <v>0.19500000000000001</v>
          </cell>
          <cell r="F21">
            <v>0.26500000000000001</v>
          </cell>
          <cell r="G21">
            <v>0.23</v>
          </cell>
          <cell r="H21">
            <v>0.11650000000000001</v>
          </cell>
          <cell r="I21">
            <v>0.22090000000000001</v>
          </cell>
          <cell r="J21">
            <v>0.3584</v>
          </cell>
          <cell r="K21">
            <v>0.38800000000000001</v>
          </cell>
          <cell r="L21">
            <v>0.1988</v>
          </cell>
          <cell r="M21">
            <v>0.1401</v>
          </cell>
          <cell r="N21">
            <v>0.32300000000000001</v>
          </cell>
          <cell r="O21">
            <v>0.15079999999999999</v>
          </cell>
          <cell r="P21">
            <v>0.21990000000000001</v>
          </cell>
          <cell r="Q21">
            <v>0.21990000000000001</v>
          </cell>
          <cell r="R21">
            <v>0.2132</v>
          </cell>
          <cell r="S21" t="str">
            <v>n/a</v>
          </cell>
          <cell r="T21">
            <v>0.495</v>
          </cell>
          <cell r="U21">
            <v>0.495</v>
          </cell>
          <cell r="V21">
            <v>0.495</v>
          </cell>
          <cell r="W21">
            <v>0.495</v>
          </cell>
          <cell r="X21">
            <v>0.495</v>
          </cell>
          <cell r="Y21">
            <v>0.495</v>
          </cell>
          <cell r="Z21">
            <v>0.495</v>
          </cell>
          <cell r="AA21">
            <v>0.495</v>
          </cell>
          <cell r="AB21" t="str">
            <v>n/a</v>
          </cell>
          <cell r="AC21">
            <v>0.495</v>
          </cell>
          <cell r="AD21">
            <v>0.3</v>
          </cell>
          <cell r="AE21">
            <v>0</v>
          </cell>
        </row>
        <row r="22">
          <cell r="A22" t="str">
            <v>2011Overhead - Onsite</v>
          </cell>
          <cell r="B22" t="str">
            <v>Overhead - Onsite</v>
          </cell>
          <cell r="C22">
            <v>3.1E-2</v>
          </cell>
          <cell r="D22">
            <v>3.1E-2</v>
          </cell>
          <cell r="E22">
            <v>2.5499999999999998E-2</v>
          </cell>
          <cell r="F22">
            <v>2.5499999999999998E-2</v>
          </cell>
          <cell r="G22">
            <v>0.06</v>
          </cell>
          <cell r="H22">
            <v>1.7899999999999999E-2</v>
          </cell>
          <cell r="I22" t="str">
            <v>n/a</v>
          </cell>
          <cell r="J22">
            <v>6.1400000000000003E-2</v>
          </cell>
          <cell r="K22" t="str">
            <v>n/a</v>
          </cell>
          <cell r="L22">
            <v>2.23E-2</v>
          </cell>
          <cell r="M22" t="str">
            <v>n/a</v>
          </cell>
          <cell r="N22">
            <v>8.3699999999999997E-2</v>
          </cell>
          <cell r="O22">
            <v>0.15079999999999999</v>
          </cell>
          <cell r="P22">
            <v>0.05</v>
          </cell>
          <cell r="Q22">
            <v>0.05</v>
          </cell>
          <cell r="R22">
            <v>1.6500000000000001E-2</v>
          </cell>
          <cell r="S22">
            <v>0.17499999999999999</v>
          </cell>
          <cell r="T22">
            <v>8.5000000000000006E-2</v>
          </cell>
          <cell r="U22">
            <v>8.5000000000000006E-2</v>
          </cell>
          <cell r="V22">
            <v>8.5000000000000006E-2</v>
          </cell>
          <cell r="W22">
            <v>0.1825</v>
          </cell>
          <cell r="X22">
            <v>6.5000000000000002E-2</v>
          </cell>
          <cell r="Y22">
            <v>6.5000000000000002E-2</v>
          </cell>
          <cell r="Z22">
            <v>6.5000000000000002E-2</v>
          </cell>
          <cell r="AA22">
            <v>0.1825</v>
          </cell>
          <cell r="AB22">
            <v>6.5000000000000002E-2</v>
          </cell>
          <cell r="AC22" t="str">
            <v>n/a</v>
          </cell>
          <cell r="AD22">
            <v>6.5000000000000002E-2</v>
          </cell>
          <cell r="AE22">
            <v>0</v>
          </cell>
        </row>
        <row r="23">
          <cell r="A23" t="str">
            <v>2011Material Handling</v>
          </cell>
          <cell r="B23" t="str">
            <v>Material Handling</v>
          </cell>
          <cell r="C23">
            <v>2.93E-2</v>
          </cell>
          <cell r="D23">
            <v>2.93E-2</v>
          </cell>
          <cell r="E23">
            <v>2.8899999999999999E-2</v>
          </cell>
          <cell r="F23">
            <v>2.8899999999999999E-2</v>
          </cell>
          <cell r="G23">
            <v>0.13489999999999999</v>
          </cell>
          <cell r="H23">
            <v>2.3699999999999999E-2</v>
          </cell>
          <cell r="I23">
            <v>4.24E-2</v>
          </cell>
          <cell r="J23">
            <v>4.24E-2</v>
          </cell>
          <cell r="K23">
            <v>2.2700000000000001E-2</v>
          </cell>
          <cell r="L23">
            <v>2.9700000000000001E-2</v>
          </cell>
          <cell r="M23">
            <v>2.9700000000000001E-2</v>
          </cell>
          <cell r="N23">
            <v>4.7600000000000003E-2</v>
          </cell>
          <cell r="O23">
            <v>0</v>
          </cell>
          <cell r="P23">
            <v>3.5200000000000002E-2</v>
          </cell>
          <cell r="Q23">
            <v>3.5200000000000002E-2</v>
          </cell>
          <cell r="R23">
            <v>5.5599999999999997E-2</v>
          </cell>
          <cell r="S23">
            <v>5.5599999999999997E-2</v>
          </cell>
          <cell r="T23">
            <v>4.0899999999999999E-2</v>
          </cell>
          <cell r="U23">
            <v>4.0899999999999999E-2</v>
          </cell>
          <cell r="V23">
            <v>4.0899999999999999E-2</v>
          </cell>
          <cell r="W23">
            <v>4.0899999999999999E-2</v>
          </cell>
          <cell r="X23">
            <v>4.0899999999999999E-2</v>
          </cell>
          <cell r="Y23">
            <v>4.0899999999999999E-2</v>
          </cell>
          <cell r="Z23">
            <v>4.0899999999999999E-2</v>
          </cell>
          <cell r="AA23">
            <v>4.0899999999999999E-2</v>
          </cell>
          <cell r="AB23">
            <v>4.0899999999999999E-2</v>
          </cell>
          <cell r="AC23">
            <v>4.0899999999999999E-2</v>
          </cell>
          <cell r="AD23">
            <v>3.78E-2</v>
          </cell>
          <cell r="AE23">
            <v>0</v>
          </cell>
        </row>
        <row r="24">
          <cell r="A24" t="str">
            <v>2011G&amp;A</v>
          </cell>
          <cell r="B24" t="str">
            <v>G&amp;A</v>
          </cell>
          <cell r="C24">
            <v>9.0499999999999997E-2</v>
          </cell>
          <cell r="D24">
            <v>9.0499999999999997E-2</v>
          </cell>
          <cell r="E24">
            <v>0.1202</v>
          </cell>
          <cell r="F24">
            <v>0.1202</v>
          </cell>
          <cell r="G24">
            <v>0.13489999999999999</v>
          </cell>
          <cell r="H24">
            <v>9.1800000000000007E-2</v>
          </cell>
          <cell r="I24">
            <v>0.14829999999999999</v>
          </cell>
          <cell r="J24">
            <v>0.14829999999999999</v>
          </cell>
          <cell r="K24">
            <v>0.18970000000000001</v>
          </cell>
          <cell r="L24">
            <v>9.1999999999999998E-2</v>
          </cell>
          <cell r="M24">
            <v>9.1999999999999998E-2</v>
          </cell>
          <cell r="N24">
            <v>0.1527</v>
          </cell>
          <cell r="O24">
            <v>0.13589999999999999</v>
          </cell>
          <cell r="P24">
            <v>0.13100000000000001</v>
          </cell>
          <cell r="Q24">
            <v>0.13100000000000001</v>
          </cell>
          <cell r="R24">
            <v>0.15759999999999999</v>
          </cell>
          <cell r="S24">
            <v>0.15759999999999999</v>
          </cell>
          <cell r="T24">
            <v>0.1321</v>
          </cell>
          <cell r="U24">
            <v>0.1321</v>
          </cell>
          <cell r="V24">
            <v>0.1321</v>
          </cell>
          <cell r="W24">
            <v>0.1321</v>
          </cell>
          <cell r="X24">
            <v>0.1321</v>
          </cell>
          <cell r="Y24">
            <v>0.1321</v>
          </cell>
          <cell r="Z24">
            <v>0.1321</v>
          </cell>
          <cell r="AA24">
            <v>0.1321</v>
          </cell>
          <cell r="AB24">
            <v>0.1321</v>
          </cell>
          <cell r="AC24">
            <v>0.1696</v>
          </cell>
          <cell r="AD24">
            <v>0.13589999999999999</v>
          </cell>
          <cell r="AE24">
            <v>0</v>
          </cell>
        </row>
        <row r="25">
          <cell r="B25" t="str">
            <v>Wrap - On</v>
          </cell>
          <cell r="C25">
            <v>1.5189367304999999</v>
          </cell>
          <cell r="D25">
            <v>1.5189367304999999</v>
          </cell>
          <cell r="E25">
            <v>1.5519816501000003</v>
          </cell>
          <cell r="F25">
            <v>1.5519816501000003</v>
          </cell>
          <cell r="G25">
            <v>1.7443412999999999</v>
          </cell>
          <cell r="H25">
            <v>1.5336536436000001</v>
          </cell>
          <cell r="I25" t="str">
            <v>n/a</v>
          </cell>
          <cell r="J25">
            <v>1.7550800927999997</v>
          </cell>
          <cell r="K25" t="str">
            <v>n/a</v>
          </cell>
          <cell r="L25">
            <v>1.4650998398400001</v>
          </cell>
          <cell r="M25" t="str">
            <v>n/a</v>
          </cell>
          <cell r="N25">
            <v>1.8394190077749999</v>
          </cell>
          <cell r="O25">
            <v>1.8692870195999998</v>
          </cell>
          <cell r="P25">
            <v>1.6981965000000001</v>
          </cell>
          <cell r="Q25">
            <v>1.60913025</v>
          </cell>
          <cell r="R25">
            <v>1.6826815719999999</v>
          </cell>
          <cell r="S25">
            <v>2.0568641960000003</v>
          </cell>
          <cell r="T25">
            <v>1.7043057937499999</v>
          </cell>
          <cell r="U25">
            <v>1.5354106249999997</v>
          </cell>
          <cell r="V25">
            <v>1.6512420025499999</v>
          </cell>
          <cell r="W25">
            <v>1.7996255004749999</v>
          </cell>
          <cell r="X25">
            <v>1.6208043619499999</v>
          </cell>
          <cell r="Y25">
            <v>1.6728900187499995</v>
          </cell>
          <cell r="Z25">
            <v>1.5071081249999996</v>
          </cell>
          <cell r="AA25">
            <v>1.6733853125</v>
          </cell>
          <cell r="AB25">
            <v>1.5915061799999997</v>
          </cell>
          <cell r="AC25" t="str">
            <v>n/a</v>
          </cell>
          <cell r="AD25">
            <v>1.6622948023499997</v>
          </cell>
          <cell r="AE25">
            <v>1</v>
          </cell>
        </row>
        <row r="26">
          <cell r="B26" t="str">
            <v>Wrap - Off</v>
          </cell>
          <cell r="C26">
            <v>1.7274037987499999</v>
          </cell>
          <cell r="D26">
            <v>1.5690277575</v>
          </cell>
          <cell r="E26">
            <v>1.8085012890000003</v>
          </cell>
          <cell r="F26">
            <v>1.9144386030000002</v>
          </cell>
          <cell r="G26">
            <v>2.0240941499999998</v>
          </cell>
          <cell r="H26">
            <v>1.6822126860000002</v>
          </cell>
          <cell r="I26">
            <v>2.0188216367999998</v>
          </cell>
          <cell r="J26">
            <v>2.2461850368</v>
          </cell>
          <cell r="K26">
            <v>2.39439022</v>
          </cell>
          <cell r="L26">
            <v>1.7180491910400002</v>
          </cell>
          <cell r="M26">
            <v>1.76987664672</v>
          </cell>
          <cell r="N26">
            <v>2.2455950422499997</v>
          </cell>
          <cell r="O26">
            <v>1.8692870195999998</v>
          </cell>
          <cell r="P26">
            <v>1.972980867</v>
          </cell>
          <cell r="Q26">
            <v>1.8695028494999999</v>
          </cell>
          <cell r="R26">
            <v>2.0082924576000001</v>
          </cell>
          <cell r="S26" t="str">
            <v>n/a</v>
          </cell>
          <cell r="T26">
            <v>2.3483291812499996</v>
          </cell>
          <cell r="U26">
            <v>2.1156118749999999</v>
          </cell>
          <cell r="V26">
            <v>2.2752136348499996</v>
          </cell>
          <cell r="W26">
            <v>2.2752136348499996</v>
          </cell>
          <cell r="X26">
            <v>2.2752136348499996</v>
          </cell>
          <cell r="Y26">
            <v>2.3483291812499996</v>
          </cell>
          <cell r="Z26">
            <v>2.1156118749999999</v>
          </cell>
          <cell r="AA26">
            <v>2.1156118749999999</v>
          </cell>
          <cell r="AB26" t="str">
            <v>n/a</v>
          </cell>
          <cell r="AC26">
            <v>2.3505784535999998</v>
          </cell>
          <cell r="AD26">
            <v>2.0290922469999999</v>
          </cell>
          <cell r="AE26">
            <v>1</v>
          </cell>
        </row>
        <row r="27">
          <cell r="B27">
            <v>2012</v>
          </cell>
        </row>
        <row r="28">
          <cell r="A28" t="str">
            <v>2012PRB</v>
          </cell>
          <cell r="B28" t="str">
            <v>PRB</v>
          </cell>
          <cell r="C28">
            <v>0.35099999999999998</v>
          </cell>
          <cell r="D28">
            <v>0.35099999999999998</v>
          </cell>
          <cell r="E28">
            <v>0.35099999999999998</v>
          </cell>
          <cell r="F28">
            <v>0.35099999999999998</v>
          </cell>
          <cell r="G28">
            <v>0.45</v>
          </cell>
          <cell r="H28">
            <v>0.38</v>
          </cell>
          <cell r="I28">
            <v>0.44</v>
          </cell>
          <cell r="J28">
            <v>0.44</v>
          </cell>
          <cell r="K28">
            <v>0.45</v>
          </cell>
          <cell r="L28">
            <v>0.31240000000000001</v>
          </cell>
          <cell r="M28">
            <v>0.42159999999999997</v>
          </cell>
          <cell r="N28">
            <v>0.47249999999999998</v>
          </cell>
          <cell r="O28">
            <v>0.43</v>
          </cell>
          <cell r="P28">
            <v>0.43</v>
          </cell>
          <cell r="Q28">
            <v>0.35499999999999998</v>
          </cell>
          <cell r="R28">
            <v>0.43</v>
          </cell>
          <cell r="S28">
            <v>0.51219999999999999</v>
          </cell>
          <cell r="T28">
            <v>0.38750000000000001</v>
          </cell>
          <cell r="U28">
            <v>0.25</v>
          </cell>
          <cell r="V28">
            <v>0.34429999999999999</v>
          </cell>
          <cell r="W28">
            <v>0.34429999999999999</v>
          </cell>
          <cell r="X28">
            <v>0.34429999999999999</v>
          </cell>
          <cell r="Y28">
            <v>0.38750000000000001</v>
          </cell>
          <cell r="Z28">
            <v>0.25</v>
          </cell>
          <cell r="AA28">
            <v>0.25</v>
          </cell>
          <cell r="AB28">
            <v>0.32</v>
          </cell>
          <cell r="AC28">
            <v>0.34429999999999999</v>
          </cell>
          <cell r="AD28">
            <v>0.37409999999999999</v>
          </cell>
          <cell r="AE28">
            <v>0</v>
          </cell>
        </row>
        <row r="29">
          <cell r="A29" t="str">
            <v>2012Overhead - Offsite</v>
          </cell>
          <cell r="B29" t="str">
            <v>Overhead - Offsite</v>
          </cell>
          <cell r="C29">
            <v>0.17249999999999999</v>
          </cell>
          <cell r="D29">
            <v>6.5000000000000002E-2</v>
          </cell>
          <cell r="E29">
            <v>0.19500000000000001</v>
          </cell>
          <cell r="F29">
            <v>0.26500000000000001</v>
          </cell>
          <cell r="G29">
            <v>0.23</v>
          </cell>
          <cell r="H29">
            <v>0.11650000000000001</v>
          </cell>
          <cell r="I29">
            <v>0.22090000000000001</v>
          </cell>
          <cell r="J29">
            <v>0.3584</v>
          </cell>
          <cell r="K29">
            <v>0.38800000000000001</v>
          </cell>
          <cell r="L29">
            <v>0.1988</v>
          </cell>
          <cell r="M29">
            <v>0.1401</v>
          </cell>
          <cell r="N29">
            <v>0.32300000000000001</v>
          </cell>
          <cell r="O29">
            <v>0.15079999999999999</v>
          </cell>
          <cell r="P29">
            <v>0.21990000000000001</v>
          </cell>
          <cell r="Q29">
            <v>0.21990000000000001</v>
          </cell>
          <cell r="R29">
            <v>0.2132</v>
          </cell>
          <cell r="S29" t="str">
            <v>n/a</v>
          </cell>
          <cell r="T29">
            <v>0.495</v>
          </cell>
          <cell r="U29">
            <v>0.495</v>
          </cell>
          <cell r="V29">
            <v>0.495</v>
          </cell>
          <cell r="W29">
            <v>0.495</v>
          </cell>
          <cell r="X29">
            <v>0.495</v>
          </cell>
          <cell r="Y29">
            <v>0.495</v>
          </cell>
          <cell r="Z29">
            <v>0.495</v>
          </cell>
          <cell r="AA29">
            <v>0.495</v>
          </cell>
          <cell r="AB29" t="str">
            <v>n/a</v>
          </cell>
          <cell r="AC29">
            <v>0.495</v>
          </cell>
          <cell r="AD29">
            <v>0.3</v>
          </cell>
          <cell r="AE29">
            <v>0</v>
          </cell>
        </row>
        <row r="30">
          <cell r="A30" t="str">
            <v>2012Overhead - Onsite</v>
          </cell>
          <cell r="B30" t="str">
            <v>Overhead - Onsite</v>
          </cell>
          <cell r="C30">
            <v>3.1E-2</v>
          </cell>
          <cell r="D30">
            <v>3.1E-2</v>
          </cell>
          <cell r="E30">
            <v>2.5499999999999998E-2</v>
          </cell>
          <cell r="F30">
            <v>2.5499999999999998E-2</v>
          </cell>
          <cell r="G30">
            <v>0.06</v>
          </cell>
          <cell r="H30">
            <v>1.7899999999999999E-2</v>
          </cell>
          <cell r="I30" t="str">
            <v>n/a</v>
          </cell>
          <cell r="J30">
            <v>6.1400000000000003E-2</v>
          </cell>
          <cell r="K30" t="str">
            <v>n/a</v>
          </cell>
          <cell r="L30">
            <v>2.23E-2</v>
          </cell>
          <cell r="M30" t="str">
            <v>n/a</v>
          </cell>
          <cell r="N30">
            <v>8.3699999999999997E-2</v>
          </cell>
          <cell r="O30">
            <v>0.15079999999999999</v>
          </cell>
          <cell r="P30">
            <v>0.05</v>
          </cell>
          <cell r="Q30">
            <v>0.05</v>
          </cell>
          <cell r="R30">
            <v>1.6500000000000001E-2</v>
          </cell>
          <cell r="S30">
            <v>0.17499999999999999</v>
          </cell>
          <cell r="T30">
            <v>8.5000000000000006E-2</v>
          </cell>
          <cell r="U30">
            <v>8.5000000000000006E-2</v>
          </cell>
          <cell r="V30">
            <v>8.5000000000000006E-2</v>
          </cell>
          <cell r="W30">
            <v>0.1825</v>
          </cell>
          <cell r="X30">
            <v>6.5000000000000002E-2</v>
          </cell>
          <cell r="Y30">
            <v>6.5000000000000002E-2</v>
          </cell>
          <cell r="Z30">
            <v>6.5000000000000002E-2</v>
          </cell>
          <cell r="AA30">
            <v>0.1825</v>
          </cell>
          <cell r="AB30">
            <v>6.5000000000000002E-2</v>
          </cell>
          <cell r="AC30" t="str">
            <v>n/a</v>
          </cell>
          <cell r="AD30">
            <v>6.5000000000000002E-2</v>
          </cell>
          <cell r="AE30">
            <v>0</v>
          </cell>
        </row>
        <row r="31">
          <cell r="A31" t="str">
            <v>2012Material Handling</v>
          </cell>
          <cell r="B31" t="str">
            <v>Material Handling</v>
          </cell>
          <cell r="C31">
            <v>2.8400000000000002E-2</v>
          </cell>
          <cell r="D31">
            <v>2.8400000000000002E-2</v>
          </cell>
          <cell r="E31">
            <v>2.8000000000000001E-2</v>
          </cell>
          <cell r="F31">
            <v>2.8000000000000001E-2</v>
          </cell>
          <cell r="G31">
            <v>0.13250000000000001</v>
          </cell>
          <cell r="H31">
            <v>2.3099999999999999E-2</v>
          </cell>
          <cell r="I31">
            <v>4.19E-2</v>
          </cell>
          <cell r="J31">
            <v>4.19E-2</v>
          </cell>
          <cell r="K31">
            <v>2.18E-2</v>
          </cell>
          <cell r="L31">
            <v>2.8799999999999999E-2</v>
          </cell>
          <cell r="M31">
            <v>2.8799999999999999E-2</v>
          </cell>
          <cell r="N31">
            <v>4.6699999999999998E-2</v>
          </cell>
          <cell r="O31">
            <v>0</v>
          </cell>
          <cell r="P31">
            <v>3.4299999999999997E-2</v>
          </cell>
          <cell r="Q31">
            <v>3.4299999999999997E-2</v>
          </cell>
          <cell r="R31">
            <v>5.4699999999999999E-2</v>
          </cell>
          <cell r="S31">
            <v>5.4699999999999999E-2</v>
          </cell>
          <cell r="T31">
            <v>0.04</v>
          </cell>
          <cell r="U31">
            <v>0.04</v>
          </cell>
          <cell r="V31">
            <v>0.04</v>
          </cell>
          <cell r="W31">
            <v>0.04</v>
          </cell>
          <cell r="X31">
            <v>0.04</v>
          </cell>
          <cell r="Y31">
            <v>0.04</v>
          </cell>
          <cell r="Z31">
            <v>0.04</v>
          </cell>
          <cell r="AA31">
            <v>0.04</v>
          </cell>
          <cell r="AB31">
            <v>0.04</v>
          </cell>
          <cell r="AC31">
            <v>0.04</v>
          </cell>
          <cell r="AD31">
            <v>3.6799999999999999E-2</v>
          </cell>
          <cell r="AE31">
            <v>0</v>
          </cell>
        </row>
        <row r="32">
          <cell r="A32" t="str">
            <v>2012G&amp;A</v>
          </cell>
          <cell r="B32" t="str">
            <v>G&amp;A</v>
          </cell>
          <cell r="C32">
            <v>8.7999999999999995E-2</v>
          </cell>
          <cell r="D32">
            <v>8.7999999999999995E-2</v>
          </cell>
          <cell r="E32">
            <v>0.1181</v>
          </cell>
          <cell r="F32">
            <v>0.1181</v>
          </cell>
          <cell r="G32">
            <v>0.13250000000000001</v>
          </cell>
          <cell r="H32">
            <v>8.9300000000000004E-2</v>
          </cell>
          <cell r="I32">
            <v>0.1457</v>
          </cell>
          <cell r="J32">
            <v>0.1457</v>
          </cell>
          <cell r="K32">
            <v>0.18740000000000001</v>
          </cell>
          <cell r="L32">
            <v>8.9499999999999996E-2</v>
          </cell>
          <cell r="M32">
            <v>8.9499999999999996E-2</v>
          </cell>
          <cell r="N32">
            <v>0.14960000000000001</v>
          </cell>
          <cell r="O32">
            <v>0.1338</v>
          </cell>
          <cell r="P32">
            <v>0.1293</v>
          </cell>
          <cell r="Q32">
            <v>0.1293</v>
          </cell>
          <cell r="R32">
            <v>0.15509999999999999</v>
          </cell>
          <cell r="S32">
            <v>0.15509999999999999</v>
          </cell>
          <cell r="T32">
            <v>0.12970000000000001</v>
          </cell>
          <cell r="U32">
            <v>0.12970000000000001</v>
          </cell>
          <cell r="V32">
            <v>0.12970000000000001</v>
          </cell>
          <cell r="W32">
            <v>0.12970000000000001</v>
          </cell>
          <cell r="X32">
            <v>0.12970000000000001</v>
          </cell>
          <cell r="Y32">
            <v>0.12970000000000001</v>
          </cell>
          <cell r="Z32">
            <v>0.12970000000000001</v>
          </cell>
          <cell r="AA32">
            <v>0.12970000000000001</v>
          </cell>
          <cell r="AB32">
            <v>0.12970000000000001</v>
          </cell>
          <cell r="AC32">
            <v>0.1673</v>
          </cell>
          <cell r="AD32">
            <v>0.13370000000000001</v>
          </cell>
          <cell r="AE32">
            <v>0</v>
          </cell>
        </row>
        <row r="33">
          <cell r="B33" t="str">
            <v>Wrap - On</v>
          </cell>
          <cell r="C33">
            <v>1.5154545279999998</v>
          </cell>
          <cell r="D33">
            <v>1.5154545279999998</v>
          </cell>
          <cell r="E33">
            <v>1.5490722040500002</v>
          </cell>
          <cell r="F33">
            <v>1.5490722040500002</v>
          </cell>
          <cell r="G33">
            <v>1.7406524999999999</v>
          </cell>
          <cell r="H33">
            <v>1.5301418885999998</v>
          </cell>
          <cell r="I33" t="str">
            <v>n/a</v>
          </cell>
          <cell r="J33">
            <v>1.7511062111999995</v>
          </cell>
          <cell r="K33" t="str">
            <v>n/a</v>
          </cell>
          <cell r="L33">
            <v>1.4617456735399998</v>
          </cell>
          <cell r="M33" t="str">
            <v>n/a</v>
          </cell>
          <cell r="N33">
            <v>1.8344721881999997</v>
          </cell>
          <cell r="O33">
            <v>1.8658311671999996</v>
          </cell>
          <cell r="P33">
            <v>1.69564395</v>
          </cell>
          <cell r="Q33">
            <v>1.6067115749999998</v>
          </cell>
          <cell r="R33">
            <v>1.6790475844999999</v>
          </cell>
          <cell r="S33">
            <v>2.0524221085000001</v>
          </cell>
          <cell r="T33">
            <v>1.7006927437499999</v>
          </cell>
          <cell r="U33">
            <v>1.5321556249999999</v>
          </cell>
          <cell r="V33">
            <v>1.6477414453499999</v>
          </cell>
          <cell r="W33">
            <v>1.795810377075</v>
          </cell>
          <cell r="X33">
            <v>1.6173683311499998</v>
          </cell>
          <cell r="Y33">
            <v>1.6693435687499998</v>
          </cell>
          <cell r="Z33">
            <v>1.5039131249999997</v>
          </cell>
          <cell r="AA33">
            <v>1.6698378125</v>
          </cell>
          <cell r="AB33">
            <v>1.5881322599999999</v>
          </cell>
          <cell r="AC33" t="str">
            <v>n/a</v>
          </cell>
          <cell r="AD33">
            <v>1.6590752860499998</v>
          </cell>
          <cell r="AE33">
            <v>1</v>
          </cell>
        </row>
        <row r="34">
          <cell r="B34" t="str">
            <v>Wrap - Off</v>
          </cell>
          <cell r="C34">
            <v>1.7234436799999999</v>
          </cell>
          <cell r="D34">
            <v>1.5654307200000002</v>
          </cell>
          <cell r="E34">
            <v>1.8051109545000004</v>
          </cell>
          <cell r="F34">
            <v>1.9108496715000003</v>
          </cell>
          <cell r="G34">
            <v>2.01981375</v>
          </cell>
          <cell r="H34">
            <v>1.678360761</v>
          </cell>
          <cell r="I34">
            <v>2.0142505871999998</v>
          </cell>
          <cell r="J34">
            <v>2.2410991872000001</v>
          </cell>
          <cell r="K34">
            <v>2.3897612399999999</v>
          </cell>
          <cell r="L34">
            <v>1.71411592824</v>
          </cell>
          <cell r="M34">
            <v>1.7658247313199997</v>
          </cell>
          <cell r="N34">
            <v>2.2395558779999996</v>
          </cell>
          <cell r="O34">
            <v>1.8658311671999996</v>
          </cell>
          <cell r="P34">
            <v>1.9700152900999999</v>
          </cell>
          <cell r="Q34">
            <v>1.86669280985</v>
          </cell>
          <cell r="R34">
            <v>2.0039552676000003</v>
          </cell>
          <cell r="S34" t="str">
            <v>n/a</v>
          </cell>
          <cell r="T34">
            <v>2.34335083125</v>
          </cell>
          <cell r="U34">
            <v>2.1111268750000001</v>
          </cell>
          <cell r="V34">
            <v>2.2703902864500001</v>
          </cell>
          <cell r="W34">
            <v>2.2703902864500001</v>
          </cell>
          <cell r="X34">
            <v>2.2703902864500001</v>
          </cell>
          <cell r="Y34">
            <v>2.34335083125</v>
          </cell>
          <cell r="Z34">
            <v>2.1111268750000001</v>
          </cell>
          <cell r="AA34">
            <v>2.1111268750000001</v>
          </cell>
          <cell r="AB34" t="str">
            <v>n/a</v>
          </cell>
          <cell r="AC34">
            <v>2.3459560780499999</v>
          </cell>
          <cell r="AD34">
            <v>2.0251623209999998</v>
          </cell>
          <cell r="AE34">
            <v>1</v>
          </cell>
        </row>
        <row r="35">
          <cell r="B35">
            <v>2013</v>
          </cell>
        </row>
        <row r="36">
          <cell r="A36" t="str">
            <v>2013PRB</v>
          </cell>
          <cell r="B36" t="str">
            <v>PRB</v>
          </cell>
          <cell r="C36">
            <v>0.35099999999999998</v>
          </cell>
          <cell r="D36">
            <v>0.35099999999999998</v>
          </cell>
          <cell r="E36">
            <v>0.35099999999999998</v>
          </cell>
          <cell r="F36">
            <v>0.35099999999999998</v>
          </cell>
          <cell r="G36">
            <v>0.45</v>
          </cell>
          <cell r="H36">
            <v>0.38</v>
          </cell>
          <cell r="I36">
            <v>0.44</v>
          </cell>
          <cell r="J36">
            <v>0.44</v>
          </cell>
          <cell r="K36">
            <v>0.45</v>
          </cell>
          <cell r="L36">
            <v>0.31240000000000001</v>
          </cell>
          <cell r="M36">
            <v>0.42159999999999997</v>
          </cell>
          <cell r="N36">
            <v>0.47249999999999998</v>
          </cell>
          <cell r="O36">
            <v>0.43</v>
          </cell>
          <cell r="P36">
            <v>0.43</v>
          </cell>
          <cell r="Q36">
            <v>0.35499999999999998</v>
          </cell>
          <cell r="R36">
            <v>0.43</v>
          </cell>
          <cell r="S36">
            <v>0.51219999999999999</v>
          </cell>
          <cell r="T36">
            <v>0.38750000000000001</v>
          </cell>
          <cell r="U36">
            <v>0.25</v>
          </cell>
          <cell r="V36">
            <v>0.34429999999999999</v>
          </cell>
          <cell r="W36">
            <v>0.34429999999999999</v>
          </cell>
          <cell r="X36">
            <v>0.34429999999999999</v>
          </cell>
          <cell r="Y36">
            <v>0.38750000000000001</v>
          </cell>
          <cell r="Z36">
            <v>0.25</v>
          </cell>
          <cell r="AA36">
            <v>0.25</v>
          </cell>
          <cell r="AB36">
            <v>0.32</v>
          </cell>
          <cell r="AC36">
            <v>0.34429999999999999</v>
          </cell>
          <cell r="AD36">
            <v>0.37409999999999999</v>
          </cell>
          <cell r="AE36">
            <v>0</v>
          </cell>
        </row>
        <row r="37">
          <cell r="A37" t="str">
            <v>2013Overhead - Offsite</v>
          </cell>
          <cell r="B37" t="str">
            <v>Overhead - Offsite</v>
          </cell>
          <cell r="C37">
            <v>0.17249999999999999</v>
          </cell>
          <cell r="D37">
            <v>6.5000000000000002E-2</v>
          </cell>
          <cell r="E37">
            <v>0.19500000000000001</v>
          </cell>
          <cell r="F37">
            <v>0.26500000000000001</v>
          </cell>
          <cell r="G37">
            <v>0.23</v>
          </cell>
          <cell r="H37">
            <v>0.11650000000000001</v>
          </cell>
          <cell r="I37">
            <v>0.22090000000000001</v>
          </cell>
          <cell r="J37">
            <v>0.3584</v>
          </cell>
          <cell r="K37">
            <v>0.38800000000000001</v>
          </cell>
          <cell r="L37">
            <v>0.1988</v>
          </cell>
          <cell r="M37">
            <v>0.1401</v>
          </cell>
          <cell r="N37">
            <v>0.32300000000000001</v>
          </cell>
          <cell r="O37">
            <v>0.15079999999999999</v>
          </cell>
          <cell r="P37">
            <v>0.21990000000000001</v>
          </cell>
          <cell r="Q37">
            <v>0.21990000000000001</v>
          </cell>
          <cell r="R37">
            <v>0.2132</v>
          </cell>
          <cell r="S37" t="str">
            <v>n/a</v>
          </cell>
          <cell r="T37">
            <v>0.495</v>
          </cell>
          <cell r="U37">
            <v>0.495</v>
          </cell>
          <cell r="V37">
            <v>0.495</v>
          </cell>
          <cell r="W37">
            <v>0.495</v>
          </cell>
          <cell r="X37">
            <v>0.495</v>
          </cell>
          <cell r="Y37">
            <v>0.495</v>
          </cell>
          <cell r="Z37">
            <v>0.495</v>
          </cell>
          <cell r="AA37">
            <v>0.495</v>
          </cell>
          <cell r="AB37" t="str">
            <v>n/a</v>
          </cell>
          <cell r="AC37">
            <v>0.495</v>
          </cell>
          <cell r="AD37">
            <v>0.3</v>
          </cell>
          <cell r="AE37">
            <v>0</v>
          </cell>
        </row>
        <row r="38">
          <cell r="A38" t="str">
            <v>2013Overhead - Onsite</v>
          </cell>
          <cell r="B38" t="str">
            <v>Overhead - Onsite</v>
          </cell>
          <cell r="C38">
            <v>3.1E-2</v>
          </cell>
          <cell r="D38">
            <v>3.1E-2</v>
          </cell>
          <cell r="E38">
            <v>2.5499999999999998E-2</v>
          </cell>
          <cell r="F38">
            <v>2.5499999999999998E-2</v>
          </cell>
          <cell r="G38">
            <v>0.06</v>
          </cell>
          <cell r="H38">
            <v>1.7899999999999999E-2</v>
          </cell>
          <cell r="I38" t="str">
            <v>n/a</v>
          </cell>
          <cell r="J38">
            <v>6.1400000000000003E-2</v>
          </cell>
          <cell r="K38" t="str">
            <v>n/a</v>
          </cell>
          <cell r="L38">
            <v>2.23E-2</v>
          </cell>
          <cell r="M38" t="str">
            <v>n/a</v>
          </cell>
          <cell r="N38">
            <v>8.3699999999999997E-2</v>
          </cell>
          <cell r="O38">
            <v>0.15079999999999999</v>
          </cell>
          <cell r="P38">
            <v>0.05</v>
          </cell>
          <cell r="Q38">
            <v>0.05</v>
          </cell>
          <cell r="R38">
            <v>1.6500000000000001E-2</v>
          </cell>
          <cell r="S38">
            <v>0.17499999999999999</v>
          </cell>
          <cell r="T38">
            <v>8.5000000000000006E-2</v>
          </cell>
          <cell r="U38">
            <v>8.5000000000000006E-2</v>
          </cell>
          <cell r="V38">
            <v>8.5000000000000006E-2</v>
          </cell>
          <cell r="W38">
            <v>0.1825</v>
          </cell>
          <cell r="X38">
            <v>6.5000000000000002E-2</v>
          </cell>
          <cell r="Y38">
            <v>6.5000000000000002E-2</v>
          </cell>
          <cell r="Z38">
            <v>6.5000000000000002E-2</v>
          </cell>
          <cell r="AA38">
            <v>0.1825</v>
          </cell>
          <cell r="AB38">
            <v>6.5000000000000002E-2</v>
          </cell>
          <cell r="AC38" t="str">
            <v>n/a</v>
          </cell>
          <cell r="AD38">
            <v>6.5000000000000002E-2</v>
          </cell>
          <cell r="AE38">
            <v>0</v>
          </cell>
        </row>
        <row r="39">
          <cell r="A39" t="str">
            <v>2013Material Handling</v>
          </cell>
          <cell r="B39" t="str">
            <v>Material Handling</v>
          </cell>
          <cell r="C39">
            <v>2.76E-2</v>
          </cell>
          <cell r="D39">
            <v>2.76E-2</v>
          </cell>
          <cell r="E39">
            <v>2.7099999999999999E-2</v>
          </cell>
          <cell r="F39">
            <v>2.7099999999999999E-2</v>
          </cell>
          <cell r="G39">
            <v>0.13020000000000001</v>
          </cell>
          <cell r="H39">
            <v>2.2599999999999999E-2</v>
          </cell>
          <cell r="I39">
            <v>4.1300000000000003E-2</v>
          </cell>
          <cell r="J39">
            <v>4.1300000000000003E-2</v>
          </cell>
          <cell r="K39">
            <v>2.1000000000000001E-2</v>
          </cell>
          <cell r="L39">
            <v>2.8000000000000001E-2</v>
          </cell>
          <cell r="M39">
            <v>2.8000000000000001E-2</v>
          </cell>
          <cell r="N39">
            <v>4.5900000000000003E-2</v>
          </cell>
          <cell r="O39">
            <v>0</v>
          </cell>
          <cell r="P39">
            <v>3.3500000000000002E-2</v>
          </cell>
          <cell r="Q39">
            <v>3.3500000000000002E-2</v>
          </cell>
          <cell r="R39">
            <v>5.3900000000000003E-2</v>
          </cell>
          <cell r="S39">
            <v>5.3900000000000003E-2</v>
          </cell>
          <cell r="T39">
            <v>3.9100000000000003E-2</v>
          </cell>
          <cell r="U39">
            <v>3.9100000000000003E-2</v>
          </cell>
          <cell r="V39">
            <v>3.9100000000000003E-2</v>
          </cell>
          <cell r="W39">
            <v>3.9100000000000003E-2</v>
          </cell>
          <cell r="X39">
            <v>3.9100000000000003E-2</v>
          </cell>
          <cell r="Y39">
            <v>3.9100000000000003E-2</v>
          </cell>
          <cell r="Z39">
            <v>3.9100000000000003E-2</v>
          </cell>
          <cell r="AA39">
            <v>3.9100000000000003E-2</v>
          </cell>
          <cell r="AB39">
            <v>3.9100000000000003E-2</v>
          </cell>
          <cell r="AC39">
            <v>3.9100000000000003E-2</v>
          </cell>
          <cell r="AD39">
            <v>3.5900000000000001E-2</v>
          </cell>
          <cell r="AE39">
            <v>0</v>
          </cell>
        </row>
        <row r="40">
          <cell r="A40" t="str">
            <v>2013G&amp;A</v>
          </cell>
          <cell r="B40" t="str">
            <v>G&amp;A</v>
          </cell>
          <cell r="C40">
            <v>8.5699999999999998E-2</v>
          </cell>
          <cell r="D40">
            <v>8.5699999999999998E-2</v>
          </cell>
          <cell r="E40">
            <v>0.11609999999999999</v>
          </cell>
          <cell r="F40">
            <v>0.11609999999999999</v>
          </cell>
          <cell r="G40">
            <v>0.13020000000000001</v>
          </cell>
          <cell r="H40">
            <v>8.6900000000000005E-2</v>
          </cell>
          <cell r="I40">
            <v>0.14319999999999999</v>
          </cell>
          <cell r="J40">
            <v>0.14319999999999999</v>
          </cell>
          <cell r="K40">
            <v>0.18529999999999999</v>
          </cell>
          <cell r="L40">
            <v>8.7099999999999997E-2</v>
          </cell>
          <cell r="M40">
            <v>8.7099999999999997E-2</v>
          </cell>
          <cell r="N40">
            <v>0.14680000000000001</v>
          </cell>
          <cell r="O40">
            <v>0.1318</v>
          </cell>
          <cell r="P40">
            <v>0.12759999999999999</v>
          </cell>
          <cell r="Q40">
            <v>0.12759999999999999</v>
          </cell>
          <cell r="R40">
            <v>0.15260000000000001</v>
          </cell>
          <cell r="S40">
            <v>0.15260000000000001</v>
          </cell>
          <cell r="T40">
            <v>0.12740000000000001</v>
          </cell>
          <cell r="U40">
            <v>0.12740000000000001</v>
          </cell>
          <cell r="V40">
            <v>0.12740000000000001</v>
          </cell>
          <cell r="W40">
            <v>0.12740000000000001</v>
          </cell>
          <cell r="X40">
            <v>0.12740000000000001</v>
          </cell>
          <cell r="Y40">
            <v>0.12740000000000001</v>
          </cell>
          <cell r="Z40">
            <v>0.12740000000000001</v>
          </cell>
          <cell r="AA40">
            <v>0.12740000000000001</v>
          </cell>
          <cell r="AB40">
            <v>0.12740000000000001</v>
          </cell>
          <cell r="AC40">
            <v>0.16500000000000001</v>
          </cell>
          <cell r="AD40">
            <v>0.13159999999999999</v>
          </cell>
          <cell r="AE40">
            <v>0</v>
          </cell>
        </row>
        <row r="41">
          <cell r="B41" t="str">
            <v>Wrap - On</v>
          </cell>
          <cell r="C41">
            <v>1.5122509016999999</v>
          </cell>
          <cell r="D41">
            <v>1.5122509016999999</v>
          </cell>
          <cell r="E41">
            <v>1.5463013030500004</v>
          </cell>
          <cell r="F41">
            <v>1.5463013030500004</v>
          </cell>
          <cell r="G41">
            <v>1.7371174</v>
          </cell>
          <cell r="H41">
            <v>1.5267706038</v>
          </cell>
          <cell r="I41" t="str">
            <v>n/a</v>
          </cell>
          <cell r="J41">
            <v>1.7472851711999997</v>
          </cell>
          <cell r="K41" t="str">
            <v>n/a</v>
          </cell>
          <cell r="L41">
            <v>1.4585256738919998</v>
          </cell>
          <cell r="M41" t="str">
            <v>n/a</v>
          </cell>
          <cell r="N41">
            <v>1.8300040930999999</v>
          </cell>
          <cell r="O41">
            <v>1.8625398791999996</v>
          </cell>
          <cell r="P41">
            <v>1.6930913999999999</v>
          </cell>
          <cell r="Q41">
            <v>1.6042928999999999</v>
          </cell>
          <cell r="R41">
            <v>1.6754135970000001</v>
          </cell>
          <cell r="S41">
            <v>2.0479800210000003</v>
          </cell>
          <cell r="T41">
            <v>1.6972302374999999</v>
          </cell>
          <cell r="U41">
            <v>1.5290362499999999</v>
          </cell>
          <cell r="V41">
            <v>1.6443867446999998</v>
          </cell>
          <cell r="W41">
            <v>1.79215421715</v>
          </cell>
          <cell r="X41">
            <v>1.6140754683</v>
          </cell>
          <cell r="Y41">
            <v>1.6659448874999998</v>
          </cell>
          <cell r="Z41">
            <v>1.5008512499999997</v>
          </cell>
          <cell r="AA41">
            <v>1.666438125</v>
          </cell>
          <cell r="AB41">
            <v>1.5848989199999999</v>
          </cell>
          <cell r="AC41" t="str">
            <v>n/a</v>
          </cell>
          <cell r="AD41">
            <v>1.6560021113999999</v>
          </cell>
          <cell r="AE41">
            <v>1</v>
          </cell>
        </row>
        <row r="42">
          <cell r="B42" t="str">
            <v>Wrap - Off</v>
          </cell>
          <cell r="C42">
            <v>1.71980037075</v>
          </cell>
          <cell r="D42">
            <v>1.5621214455000001</v>
          </cell>
          <cell r="E42">
            <v>1.8018820645000002</v>
          </cell>
          <cell r="F42">
            <v>1.9074316415000003</v>
          </cell>
          <cell r="G42">
            <v>2.0157117000000002</v>
          </cell>
          <cell r="H42">
            <v>1.6746629129999999</v>
          </cell>
          <cell r="I42">
            <v>2.0098553472000003</v>
          </cell>
          <cell r="J42">
            <v>2.2362089472000002</v>
          </cell>
          <cell r="K42">
            <v>2.38553478</v>
          </cell>
          <cell r="L42">
            <v>1.710339995952</v>
          </cell>
          <cell r="M42">
            <v>1.7619348925359997</v>
          </cell>
          <cell r="N42">
            <v>2.2341011489999998</v>
          </cell>
          <cell r="O42">
            <v>1.8625398791999996</v>
          </cell>
          <cell r="P42">
            <v>1.9670497131999998</v>
          </cell>
          <cell r="Q42">
            <v>1.8638827701999998</v>
          </cell>
          <cell r="R42">
            <v>1.9996180776000003</v>
          </cell>
          <cell r="S42" t="str">
            <v>n/a</v>
          </cell>
          <cell r="T42">
            <v>2.3385799124999997</v>
          </cell>
          <cell r="U42">
            <v>2.10682875</v>
          </cell>
          <cell r="V42">
            <v>2.2657679108999997</v>
          </cell>
          <cell r="W42">
            <v>2.2657679108999997</v>
          </cell>
          <cell r="X42">
            <v>2.2657679108999997</v>
          </cell>
          <cell r="Y42">
            <v>2.3385799124999997</v>
          </cell>
          <cell r="Z42">
            <v>2.10682875</v>
          </cell>
          <cell r="AA42">
            <v>2.10682875</v>
          </cell>
          <cell r="AB42" t="str">
            <v>n/a</v>
          </cell>
          <cell r="AC42">
            <v>2.3413337025000001</v>
          </cell>
          <cell r="AD42">
            <v>2.0214110279999997</v>
          </cell>
          <cell r="AE42">
            <v>1</v>
          </cell>
        </row>
        <row r="43">
          <cell r="B43">
            <v>2014</v>
          </cell>
        </row>
        <row r="44">
          <cell r="A44" t="str">
            <v>2014PRB</v>
          </cell>
          <cell r="B44" t="str">
            <v>PRB</v>
          </cell>
          <cell r="C44">
            <v>0.35099999999999998</v>
          </cell>
          <cell r="D44">
            <v>0.35099999999999998</v>
          </cell>
          <cell r="E44">
            <v>0.35099999999999998</v>
          </cell>
          <cell r="F44">
            <v>0.35099999999999998</v>
          </cell>
          <cell r="G44">
            <v>0.45</v>
          </cell>
          <cell r="H44">
            <v>0.38</v>
          </cell>
          <cell r="I44">
            <v>0.44</v>
          </cell>
          <cell r="J44">
            <v>0.44</v>
          </cell>
          <cell r="K44">
            <v>0.45</v>
          </cell>
          <cell r="L44">
            <v>0.31240000000000001</v>
          </cell>
          <cell r="M44">
            <v>0.42159999999999997</v>
          </cell>
          <cell r="N44">
            <v>0.47249999999999998</v>
          </cell>
          <cell r="O44">
            <v>0.43</v>
          </cell>
          <cell r="P44">
            <v>0.43</v>
          </cell>
          <cell r="Q44">
            <v>0.35499999999999998</v>
          </cell>
          <cell r="R44">
            <v>0.43</v>
          </cell>
          <cell r="S44">
            <v>0.51219999999999999</v>
          </cell>
          <cell r="T44">
            <v>0.38750000000000001</v>
          </cell>
          <cell r="U44">
            <v>0.25</v>
          </cell>
          <cell r="V44">
            <v>0.34429999999999999</v>
          </cell>
          <cell r="W44">
            <v>0.34429999999999999</v>
          </cell>
          <cell r="X44">
            <v>0.34429999999999999</v>
          </cell>
          <cell r="Y44">
            <v>0.38750000000000001</v>
          </cell>
          <cell r="Z44">
            <v>0.25</v>
          </cell>
          <cell r="AA44">
            <v>0.25</v>
          </cell>
          <cell r="AB44">
            <v>0.32</v>
          </cell>
          <cell r="AC44">
            <v>0.34429999999999999</v>
          </cell>
          <cell r="AD44">
            <v>0.37409999999999999</v>
          </cell>
          <cell r="AE44">
            <v>0</v>
          </cell>
        </row>
        <row r="45">
          <cell r="A45" t="str">
            <v>2014Overhead - Offsite</v>
          </cell>
          <cell r="B45" t="str">
            <v>Overhead - Offsite</v>
          </cell>
          <cell r="C45">
            <v>0.17249999999999999</v>
          </cell>
          <cell r="D45">
            <v>6.5000000000000002E-2</v>
          </cell>
          <cell r="E45">
            <v>0.19500000000000001</v>
          </cell>
          <cell r="F45">
            <v>0.26500000000000001</v>
          </cell>
          <cell r="G45">
            <v>0.23</v>
          </cell>
          <cell r="H45">
            <v>0.11650000000000001</v>
          </cell>
          <cell r="I45">
            <v>0.22090000000000001</v>
          </cell>
          <cell r="J45">
            <v>0.3584</v>
          </cell>
          <cell r="K45">
            <v>0.38800000000000001</v>
          </cell>
          <cell r="L45">
            <v>0.1988</v>
          </cell>
          <cell r="M45">
            <v>0.1401</v>
          </cell>
          <cell r="N45">
            <v>0.32300000000000001</v>
          </cell>
          <cell r="O45">
            <v>0.15079999999999999</v>
          </cell>
          <cell r="P45">
            <v>0.21990000000000001</v>
          </cell>
          <cell r="Q45">
            <v>0.21990000000000001</v>
          </cell>
          <cell r="R45">
            <v>0.2132</v>
          </cell>
          <cell r="S45" t="str">
            <v>n/a</v>
          </cell>
          <cell r="T45">
            <v>0.495</v>
          </cell>
          <cell r="U45">
            <v>0.495</v>
          </cell>
          <cell r="V45">
            <v>0.495</v>
          </cell>
          <cell r="W45">
            <v>0.495</v>
          </cell>
          <cell r="X45">
            <v>0.495</v>
          </cell>
          <cell r="Y45">
            <v>0.495</v>
          </cell>
          <cell r="Z45">
            <v>0.495</v>
          </cell>
          <cell r="AA45">
            <v>0.495</v>
          </cell>
          <cell r="AB45" t="str">
            <v>n/a</v>
          </cell>
          <cell r="AC45">
            <v>0.495</v>
          </cell>
          <cell r="AD45">
            <v>0.3</v>
          </cell>
          <cell r="AE45">
            <v>0</v>
          </cell>
        </row>
        <row r="46">
          <cell r="A46" t="str">
            <v>2014Overhead - Onsite</v>
          </cell>
          <cell r="B46" t="str">
            <v>Overhead - Onsite</v>
          </cell>
          <cell r="C46">
            <v>3.1E-2</v>
          </cell>
          <cell r="D46">
            <v>3.1E-2</v>
          </cell>
          <cell r="E46">
            <v>2.5499999999999998E-2</v>
          </cell>
          <cell r="F46">
            <v>2.5499999999999998E-2</v>
          </cell>
          <cell r="G46">
            <v>0.06</v>
          </cell>
          <cell r="H46">
            <v>1.7899999999999999E-2</v>
          </cell>
          <cell r="I46" t="str">
            <v>n/a</v>
          </cell>
          <cell r="J46">
            <v>6.1400000000000003E-2</v>
          </cell>
          <cell r="K46" t="str">
            <v>n/a</v>
          </cell>
          <cell r="L46">
            <v>2.23E-2</v>
          </cell>
          <cell r="M46" t="str">
            <v>n/a</v>
          </cell>
          <cell r="N46">
            <v>8.3699999999999997E-2</v>
          </cell>
          <cell r="O46">
            <v>0.15079999999999999</v>
          </cell>
          <cell r="P46">
            <v>0.05</v>
          </cell>
          <cell r="Q46">
            <v>0.05</v>
          </cell>
          <cell r="R46">
            <v>1.6500000000000001E-2</v>
          </cell>
          <cell r="S46">
            <v>0.17499999999999999</v>
          </cell>
          <cell r="T46">
            <v>8.5000000000000006E-2</v>
          </cell>
          <cell r="U46">
            <v>8.5000000000000006E-2</v>
          </cell>
          <cell r="V46">
            <v>8.5000000000000006E-2</v>
          </cell>
          <cell r="W46">
            <v>0.1825</v>
          </cell>
          <cell r="X46">
            <v>6.5000000000000002E-2</v>
          </cell>
          <cell r="Y46">
            <v>6.5000000000000002E-2</v>
          </cell>
          <cell r="Z46">
            <v>6.5000000000000002E-2</v>
          </cell>
          <cell r="AA46">
            <v>0.1825</v>
          </cell>
          <cell r="AB46">
            <v>6.5000000000000002E-2</v>
          </cell>
          <cell r="AC46" t="str">
            <v>n/a</v>
          </cell>
          <cell r="AD46">
            <v>6.5000000000000002E-2</v>
          </cell>
          <cell r="AE46">
            <v>0</v>
          </cell>
        </row>
        <row r="47">
          <cell r="A47" t="str">
            <v>2014Material Handling</v>
          </cell>
          <cell r="B47" t="str">
            <v>Material Handling</v>
          </cell>
          <cell r="C47">
            <v>2.76E-2</v>
          </cell>
          <cell r="D47">
            <v>2.76E-2</v>
          </cell>
          <cell r="E47">
            <v>2.7099999999999999E-2</v>
          </cell>
          <cell r="F47">
            <v>2.7099999999999999E-2</v>
          </cell>
          <cell r="G47">
            <v>0.13020000000000001</v>
          </cell>
          <cell r="H47">
            <v>2.2599999999999999E-2</v>
          </cell>
          <cell r="I47">
            <v>4.1300000000000003E-2</v>
          </cell>
          <cell r="J47">
            <v>4.1300000000000003E-2</v>
          </cell>
          <cell r="K47">
            <v>2.1000000000000001E-2</v>
          </cell>
          <cell r="L47">
            <v>2.8000000000000001E-2</v>
          </cell>
          <cell r="M47">
            <v>2.8000000000000001E-2</v>
          </cell>
          <cell r="N47">
            <v>4.5900000000000003E-2</v>
          </cell>
          <cell r="O47">
            <v>0</v>
          </cell>
          <cell r="P47">
            <v>3.3500000000000002E-2</v>
          </cell>
          <cell r="Q47">
            <v>3.3500000000000002E-2</v>
          </cell>
          <cell r="R47">
            <v>5.3900000000000003E-2</v>
          </cell>
          <cell r="S47">
            <v>5.3900000000000003E-2</v>
          </cell>
          <cell r="T47">
            <v>3.9100000000000003E-2</v>
          </cell>
          <cell r="U47">
            <v>3.9100000000000003E-2</v>
          </cell>
          <cell r="V47">
            <v>3.9100000000000003E-2</v>
          </cell>
          <cell r="W47">
            <v>3.9100000000000003E-2</v>
          </cell>
          <cell r="X47">
            <v>3.9100000000000003E-2</v>
          </cell>
          <cell r="Y47">
            <v>3.9100000000000003E-2</v>
          </cell>
          <cell r="Z47">
            <v>3.9100000000000003E-2</v>
          </cell>
          <cell r="AA47">
            <v>3.9100000000000003E-2</v>
          </cell>
          <cell r="AB47">
            <v>3.9100000000000003E-2</v>
          </cell>
          <cell r="AC47">
            <v>3.9100000000000003E-2</v>
          </cell>
          <cell r="AD47">
            <v>3.5900000000000001E-2</v>
          </cell>
          <cell r="AE47">
            <v>0</v>
          </cell>
        </row>
        <row r="48">
          <cell r="A48" t="str">
            <v>2014G&amp;A</v>
          </cell>
          <cell r="B48" t="str">
            <v>G&amp;A</v>
          </cell>
          <cell r="C48">
            <v>8.5699999999999998E-2</v>
          </cell>
          <cell r="D48">
            <v>8.5699999999999998E-2</v>
          </cell>
          <cell r="E48">
            <v>0.11609999999999999</v>
          </cell>
          <cell r="F48">
            <v>0.11609999999999999</v>
          </cell>
          <cell r="G48">
            <v>0.13020000000000001</v>
          </cell>
          <cell r="H48">
            <v>8.6900000000000005E-2</v>
          </cell>
          <cell r="I48">
            <v>0.14319999999999999</v>
          </cell>
          <cell r="J48">
            <v>0.14319999999999999</v>
          </cell>
          <cell r="K48">
            <v>0.18529999999999999</v>
          </cell>
          <cell r="L48">
            <v>8.7099999999999997E-2</v>
          </cell>
          <cell r="M48">
            <v>8.7099999999999997E-2</v>
          </cell>
          <cell r="N48">
            <v>0.14680000000000001</v>
          </cell>
          <cell r="O48">
            <v>0.1318</v>
          </cell>
          <cell r="P48">
            <v>0.12759999999999999</v>
          </cell>
          <cell r="Q48">
            <v>0.12759999999999999</v>
          </cell>
          <cell r="R48">
            <v>0.15260000000000001</v>
          </cell>
          <cell r="S48">
            <v>0.15260000000000001</v>
          </cell>
          <cell r="T48">
            <v>0.12740000000000001</v>
          </cell>
          <cell r="U48">
            <v>0.12740000000000001</v>
          </cell>
          <cell r="V48">
            <v>0.12740000000000001</v>
          </cell>
          <cell r="W48">
            <v>0.12740000000000001</v>
          </cell>
          <cell r="X48">
            <v>0.12740000000000001</v>
          </cell>
          <cell r="Y48">
            <v>0.12740000000000001</v>
          </cell>
          <cell r="Z48">
            <v>0.12740000000000001</v>
          </cell>
          <cell r="AA48">
            <v>0.12740000000000001</v>
          </cell>
          <cell r="AB48">
            <v>0.12740000000000001</v>
          </cell>
          <cell r="AC48">
            <v>0.16500000000000001</v>
          </cell>
          <cell r="AD48">
            <v>0.13159999999999999</v>
          </cell>
          <cell r="AE48">
            <v>0</v>
          </cell>
        </row>
        <row r="49">
          <cell r="B49" t="str">
            <v>Wrap - On</v>
          </cell>
          <cell r="C49">
            <v>1.5122509016999999</v>
          </cell>
          <cell r="D49">
            <v>1.5122509016999999</v>
          </cell>
          <cell r="E49">
            <v>1.5463013030500004</v>
          </cell>
          <cell r="F49">
            <v>1.5463013030500004</v>
          </cell>
          <cell r="G49">
            <v>1.7371174</v>
          </cell>
          <cell r="H49">
            <v>1.5267706038</v>
          </cell>
          <cell r="I49" t="str">
            <v>n/a</v>
          </cell>
          <cell r="J49">
            <v>1.7472851711999997</v>
          </cell>
          <cell r="K49" t="str">
            <v>n/a</v>
          </cell>
          <cell r="L49">
            <v>1.4585256738919998</v>
          </cell>
          <cell r="M49" t="str">
            <v>n/a</v>
          </cell>
          <cell r="N49">
            <v>1.8300040930999999</v>
          </cell>
          <cell r="O49">
            <v>1.8625398791999996</v>
          </cell>
          <cell r="P49">
            <v>1.6930913999999999</v>
          </cell>
          <cell r="Q49">
            <v>1.6042928999999999</v>
          </cell>
          <cell r="R49">
            <v>1.6754135970000001</v>
          </cell>
          <cell r="S49">
            <v>2.0479800210000003</v>
          </cell>
          <cell r="T49">
            <v>1.6972302374999999</v>
          </cell>
          <cell r="U49">
            <v>1.5290362499999999</v>
          </cell>
          <cell r="V49">
            <v>1.6443867446999998</v>
          </cell>
          <cell r="W49">
            <v>1.79215421715</v>
          </cell>
          <cell r="X49">
            <v>1.6140754683</v>
          </cell>
          <cell r="Y49">
            <v>1.6659448874999998</v>
          </cell>
          <cell r="Z49">
            <v>1.5008512499999997</v>
          </cell>
          <cell r="AA49">
            <v>1.666438125</v>
          </cell>
          <cell r="AB49">
            <v>1.5848989199999999</v>
          </cell>
          <cell r="AC49" t="str">
            <v>n/a</v>
          </cell>
          <cell r="AD49">
            <v>1.6560021113999999</v>
          </cell>
          <cell r="AE49">
            <v>1</v>
          </cell>
        </row>
        <row r="50">
          <cell r="B50" t="str">
            <v>Wrap - Off</v>
          </cell>
          <cell r="C50">
            <v>1.71980037075</v>
          </cell>
          <cell r="D50">
            <v>1.5621214455000001</v>
          </cell>
          <cell r="E50">
            <v>1.8018820645000002</v>
          </cell>
          <cell r="F50">
            <v>1.9074316415000003</v>
          </cell>
          <cell r="G50">
            <v>2.0157117000000002</v>
          </cell>
          <cell r="H50">
            <v>1.6746629129999999</v>
          </cell>
          <cell r="I50">
            <v>2.0098553472000003</v>
          </cell>
          <cell r="J50">
            <v>2.2362089472000002</v>
          </cell>
          <cell r="K50">
            <v>2.38553478</v>
          </cell>
          <cell r="L50">
            <v>1.710339995952</v>
          </cell>
          <cell r="M50">
            <v>1.7619348925359997</v>
          </cell>
          <cell r="N50">
            <v>2.2341011489999998</v>
          </cell>
          <cell r="O50">
            <v>1.8625398791999996</v>
          </cell>
          <cell r="P50">
            <v>1.9670497131999998</v>
          </cell>
          <cell r="Q50">
            <v>1.8638827701999998</v>
          </cell>
          <cell r="R50">
            <v>1.9996180776000003</v>
          </cell>
          <cell r="S50" t="str">
            <v>n/a</v>
          </cell>
          <cell r="T50">
            <v>2.3385799124999997</v>
          </cell>
          <cell r="U50">
            <v>2.10682875</v>
          </cell>
          <cell r="V50">
            <v>2.2657679108999997</v>
          </cell>
          <cell r="W50">
            <v>2.2657679108999997</v>
          </cell>
          <cell r="X50">
            <v>2.2657679108999997</v>
          </cell>
          <cell r="Y50">
            <v>2.3385799124999997</v>
          </cell>
          <cell r="Z50">
            <v>2.10682875</v>
          </cell>
          <cell r="AA50">
            <v>2.10682875</v>
          </cell>
          <cell r="AB50" t="str">
            <v>n/a</v>
          </cell>
          <cell r="AC50">
            <v>2.3413337025000001</v>
          </cell>
          <cell r="AD50">
            <v>2.0214110279999997</v>
          </cell>
          <cell r="AE50">
            <v>1</v>
          </cell>
        </row>
        <row r="51">
          <cell r="B51">
            <v>2015</v>
          </cell>
        </row>
        <row r="52">
          <cell r="A52" t="str">
            <v>2015PRB</v>
          </cell>
          <cell r="B52" t="str">
            <v>PRB</v>
          </cell>
          <cell r="C52">
            <v>0.35099999999999998</v>
          </cell>
          <cell r="D52">
            <v>0.35099999999999998</v>
          </cell>
          <cell r="E52">
            <v>0.35099999999999998</v>
          </cell>
          <cell r="F52">
            <v>0.35099999999999998</v>
          </cell>
          <cell r="G52">
            <v>0.45</v>
          </cell>
          <cell r="H52">
            <v>0.38</v>
          </cell>
          <cell r="I52">
            <v>0.44</v>
          </cell>
          <cell r="J52">
            <v>0.44</v>
          </cell>
          <cell r="K52">
            <v>0.45</v>
          </cell>
          <cell r="L52">
            <v>0.31240000000000001</v>
          </cell>
          <cell r="M52">
            <v>0.42159999999999997</v>
          </cell>
          <cell r="N52">
            <v>0.47249999999999998</v>
          </cell>
          <cell r="O52">
            <v>0.43</v>
          </cell>
          <cell r="P52">
            <v>0.43</v>
          </cell>
          <cell r="Q52">
            <v>0.35499999999999998</v>
          </cell>
          <cell r="R52">
            <v>0.43</v>
          </cell>
          <cell r="S52">
            <v>0.51219999999999999</v>
          </cell>
          <cell r="T52">
            <v>0.38750000000000001</v>
          </cell>
          <cell r="U52">
            <v>0.25</v>
          </cell>
          <cell r="V52">
            <v>0.34429999999999999</v>
          </cell>
          <cell r="W52">
            <v>0.34429999999999999</v>
          </cell>
          <cell r="X52">
            <v>0.34429999999999999</v>
          </cell>
          <cell r="Y52">
            <v>0.38750000000000001</v>
          </cell>
          <cell r="Z52">
            <v>0.25</v>
          </cell>
          <cell r="AA52">
            <v>0.25</v>
          </cell>
          <cell r="AB52">
            <v>0.32</v>
          </cell>
          <cell r="AC52">
            <v>0.34429999999999999</v>
          </cell>
          <cell r="AD52">
            <v>0.37409999999999999</v>
          </cell>
          <cell r="AE52">
            <v>0</v>
          </cell>
        </row>
        <row r="53">
          <cell r="A53" t="str">
            <v>2015Overhead - Offsite</v>
          </cell>
          <cell r="B53" t="str">
            <v>Overhead - Offsite</v>
          </cell>
          <cell r="C53">
            <v>0.17249999999999999</v>
          </cell>
          <cell r="D53">
            <v>6.5000000000000002E-2</v>
          </cell>
          <cell r="E53">
            <v>0.19500000000000001</v>
          </cell>
          <cell r="F53">
            <v>0.26500000000000001</v>
          </cell>
          <cell r="G53">
            <v>0.23</v>
          </cell>
          <cell r="H53">
            <v>0.11650000000000001</v>
          </cell>
          <cell r="I53">
            <v>0.22090000000000001</v>
          </cell>
          <cell r="J53">
            <v>0.3584</v>
          </cell>
          <cell r="K53">
            <v>0.38800000000000001</v>
          </cell>
          <cell r="L53">
            <v>0.1988</v>
          </cell>
          <cell r="M53">
            <v>0.1401</v>
          </cell>
          <cell r="N53">
            <v>0.32300000000000001</v>
          </cell>
          <cell r="O53">
            <v>0.15079999999999999</v>
          </cell>
          <cell r="P53">
            <v>0.21990000000000001</v>
          </cell>
          <cell r="Q53">
            <v>0.21990000000000001</v>
          </cell>
          <cell r="R53">
            <v>0.2132</v>
          </cell>
          <cell r="S53" t="str">
            <v>n/a</v>
          </cell>
          <cell r="T53">
            <v>0.495</v>
          </cell>
          <cell r="U53">
            <v>0.495</v>
          </cell>
          <cell r="V53">
            <v>0.495</v>
          </cell>
          <cell r="W53">
            <v>0.495</v>
          </cell>
          <cell r="X53">
            <v>0.495</v>
          </cell>
          <cell r="Y53">
            <v>0.495</v>
          </cell>
          <cell r="Z53">
            <v>0.495</v>
          </cell>
          <cell r="AA53">
            <v>0.495</v>
          </cell>
          <cell r="AB53" t="str">
            <v>n/a</v>
          </cell>
          <cell r="AC53">
            <v>0.495</v>
          </cell>
          <cell r="AD53">
            <v>0.3</v>
          </cell>
          <cell r="AE53">
            <v>0</v>
          </cell>
        </row>
        <row r="54">
          <cell r="A54" t="str">
            <v>2015Overhead - Onsite</v>
          </cell>
          <cell r="B54" t="str">
            <v>Overhead - Onsite</v>
          </cell>
          <cell r="C54">
            <v>3.1E-2</v>
          </cell>
          <cell r="D54">
            <v>3.1E-2</v>
          </cell>
          <cell r="E54">
            <v>2.5499999999999998E-2</v>
          </cell>
          <cell r="F54">
            <v>2.5499999999999998E-2</v>
          </cell>
          <cell r="G54">
            <v>0.06</v>
          </cell>
          <cell r="H54">
            <v>1.7899999999999999E-2</v>
          </cell>
          <cell r="I54" t="str">
            <v>n/a</v>
          </cell>
          <cell r="J54">
            <v>6.1400000000000003E-2</v>
          </cell>
          <cell r="K54" t="str">
            <v>n/a</v>
          </cell>
          <cell r="L54">
            <v>2.23E-2</v>
          </cell>
          <cell r="M54" t="str">
            <v>n/a</v>
          </cell>
          <cell r="N54">
            <v>8.3699999999999997E-2</v>
          </cell>
          <cell r="O54">
            <v>0.15079999999999999</v>
          </cell>
          <cell r="P54">
            <v>0.05</v>
          </cell>
          <cell r="Q54">
            <v>0.05</v>
          </cell>
          <cell r="R54">
            <v>1.6500000000000001E-2</v>
          </cell>
          <cell r="S54">
            <v>0.17499999999999999</v>
          </cell>
          <cell r="T54">
            <v>8.5000000000000006E-2</v>
          </cell>
          <cell r="U54">
            <v>8.5000000000000006E-2</v>
          </cell>
          <cell r="V54">
            <v>8.5000000000000006E-2</v>
          </cell>
          <cell r="W54">
            <v>0.1825</v>
          </cell>
          <cell r="X54">
            <v>6.5000000000000002E-2</v>
          </cell>
          <cell r="Y54">
            <v>6.5000000000000002E-2</v>
          </cell>
          <cell r="Z54">
            <v>6.5000000000000002E-2</v>
          </cell>
          <cell r="AA54">
            <v>0.1825</v>
          </cell>
          <cell r="AB54">
            <v>6.5000000000000002E-2</v>
          </cell>
          <cell r="AC54" t="str">
            <v>n/a</v>
          </cell>
          <cell r="AD54">
            <v>6.5000000000000002E-2</v>
          </cell>
          <cell r="AE54">
            <v>0</v>
          </cell>
        </row>
        <row r="55">
          <cell r="A55" t="str">
            <v>2015Material Handling</v>
          </cell>
          <cell r="B55" t="str">
            <v>Material Handling</v>
          </cell>
          <cell r="C55">
            <v>2.76E-2</v>
          </cell>
          <cell r="D55">
            <v>2.76E-2</v>
          </cell>
          <cell r="E55">
            <v>2.7099999999999999E-2</v>
          </cell>
          <cell r="F55">
            <v>2.7099999999999999E-2</v>
          </cell>
          <cell r="G55">
            <v>0.13020000000000001</v>
          </cell>
          <cell r="H55">
            <v>2.2599999999999999E-2</v>
          </cell>
          <cell r="I55">
            <v>4.1300000000000003E-2</v>
          </cell>
          <cell r="J55">
            <v>4.1300000000000003E-2</v>
          </cell>
          <cell r="K55">
            <v>2.1000000000000001E-2</v>
          </cell>
          <cell r="L55">
            <v>2.8000000000000001E-2</v>
          </cell>
          <cell r="M55">
            <v>2.8000000000000001E-2</v>
          </cell>
          <cell r="N55">
            <v>4.5900000000000003E-2</v>
          </cell>
          <cell r="O55">
            <v>0</v>
          </cell>
          <cell r="P55">
            <v>3.3500000000000002E-2</v>
          </cell>
          <cell r="Q55">
            <v>3.3500000000000002E-2</v>
          </cell>
          <cell r="R55">
            <v>5.3900000000000003E-2</v>
          </cell>
          <cell r="S55">
            <v>5.3900000000000003E-2</v>
          </cell>
          <cell r="T55">
            <v>3.9100000000000003E-2</v>
          </cell>
          <cell r="U55">
            <v>3.9100000000000003E-2</v>
          </cell>
          <cell r="V55">
            <v>3.9100000000000003E-2</v>
          </cell>
          <cell r="W55">
            <v>3.9100000000000003E-2</v>
          </cell>
          <cell r="X55">
            <v>3.9100000000000003E-2</v>
          </cell>
          <cell r="Y55">
            <v>3.9100000000000003E-2</v>
          </cell>
          <cell r="Z55">
            <v>3.9100000000000003E-2</v>
          </cell>
          <cell r="AA55">
            <v>3.9100000000000003E-2</v>
          </cell>
          <cell r="AB55">
            <v>3.9100000000000003E-2</v>
          </cell>
          <cell r="AC55">
            <v>3.9100000000000003E-2</v>
          </cell>
          <cell r="AD55">
            <v>3.5900000000000001E-2</v>
          </cell>
          <cell r="AE55">
            <v>0</v>
          </cell>
        </row>
        <row r="56">
          <cell r="A56" t="str">
            <v>2015G&amp;A</v>
          </cell>
          <cell r="B56" t="str">
            <v>G&amp;A</v>
          </cell>
          <cell r="C56">
            <v>8.5699999999999998E-2</v>
          </cell>
          <cell r="D56">
            <v>8.5699999999999998E-2</v>
          </cell>
          <cell r="E56">
            <v>0.11609999999999999</v>
          </cell>
          <cell r="F56">
            <v>0.11609999999999999</v>
          </cell>
          <cell r="G56">
            <v>0.13020000000000001</v>
          </cell>
          <cell r="H56">
            <v>8.6900000000000005E-2</v>
          </cell>
          <cell r="I56">
            <v>0.14319999999999999</v>
          </cell>
          <cell r="J56">
            <v>0.14319999999999999</v>
          </cell>
          <cell r="K56">
            <v>0.18529999999999999</v>
          </cell>
          <cell r="L56">
            <v>8.7099999999999997E-2</v>
          </cell>
          <cell r="M56">
            <v>8.7099999999999997E-2</v>
          </cell>
          <cell r="N56">
            <v>0.14680000000000001</v>
          </cell>
          <cell r="O56">
            <v>0.1318</v>
          </cell>
          <cell r="P56">
            <v>0.12759999999999999</v>
          </cell>
          <cell r="Q56">
            <v>0.12759999999999999</v>
          </cell>
          <cell r="R56">
            <v>0.15260000000000001</v>
          </cell>
          <cell r="S56">
            <v>0.15260000000000001</v>
          </cell>
          <cell r="T56">
            <v>0.12740000000000001</v>
          </cell>
          <cell r="U56">
            <v>0.12740000000000001</v>
          </cell>
          <cell r="V56">
            <v>0.12740000000000001</v>
          </cell>
          <cell r="W56">
            <v>0.12740000000000001</v>
          </cell>
          <cell r="X56">
            <v>0.12740000000000001</v>
          </cell>
          <cell r="Y56">
            <v>0.12740000000000001</v>
          </cell>
          <cell r="Z56">
            <v>0.12740000000000001</v>
          </cell>
          <cell r="AA56">
            <v>0.12740000000000001</v>
          </cell>
          <cell r="AB56">
            <v>0.12740000000000001</v>
          </cell>
          <cell r="AC56">
            <v>0.16500000000000001</v>
          </cell>
          <cell r="AD56">
            <v>0.13159999999999999</v>
          </cell>
          <cell r="AE56">
            <v>0</v>
          </cell>
        </row>
        <row r="57">
          <cell r="B57" t="str">
            <v>Wrap - On</v>
          </cell>
          <cell r="C57">
            <v>1.5122509016999999</v>
          </cell>
          <cell r="D57">
            <v>1.5122509016999999</v>
          </cell>
          <cell r="E57">
            <v>1.5463013030500004</v>
          </cell>
          <cell r="F57">
            <v>1.5463013030500004</v>
          </cell>
          <cell r="G57">
            <v>1.7371174</v>
          </cell>
          <cell r="H57">
            <v>1.5267706038</v>
          </cell>
          <cell r="I57" t="str">
            <v>n/a</v>
          </cell>
          <cell r="J57">
            <v>1.7472851711999997</v>
          </cell>
          <cell r="K57" t="str">
            <v>n/a</v>
          </cell>
          <cell r="L57">
            <v>1.4585256738919998</v>
          </cell>
          <cell r="M57" t="str">
            <v>n/a</v>
          </cell>
          <cell r="N57">
            <v>1.8300040930999999</v>
          </cell>
          <cell r="O57">
            <v>1.8625398791999996</v>
          </cell>
          <cell r="P57">
            <v>1.6930913999999999</v>
          </cell>
          <cell r="Q57">
            <v>1.6042928999999999</v>
          </cell>
          <cell r="R57">
            <v>1.6754135970000001</v>
          </cell>
          <cell r="S57">
            <v>2.0479800210000003</v>
          </cell>
          <cell r="T57">
            <v>1.6972302374999999</v>
          </cell>
          <cell r="U57">
            <v>1.5290362499999999</v>
          </cell>
          <cell r="V57">
            <v>1.6443867446999998</v>
          </cell>
          <cell r="W57">
            <v>1.79215421715</v>
          </cell>
          <cell r="X57">
            <v>1.6140754683</v>
          </cell>
          <cell r="Y57">
            <v>1.6659448874999998</v>
          </cell>
          <cell r="Z57">
            <v>1.5008512499999997</v>
          </cell>
          <cell r="AA57">
            <v>1.666438125</v>
          </cell>
          <cell r="AB57">
            <v>1.5848989199999999</v>
          </cell>
          <cell r="AC57" t="str">
            <v>n/a</v>
          </cell>
          <cell r="AD57">
            <v>1.6560021113999999</v>
          </cell>
          <cell r="AE57">
            <v>1</v>
          </cell>
        </row>
        <row r="58">
          <cell r="B58" t="str">
            <v>Wrap - Off</v>
          </cell>
          <cell r="C58">
            <v>1.71980037075</v>
          </cell>
          <cell r="D58">
            <v>1.5621214455000001</v>
          </cell>
          <cell r="E58">
            <v>1.8018820645000002</v>
          </cell>
          <cell r="F58">
            <v>1.9074316415000003</v>
          </cell>
          <cell r="G58">
            <v>2.0157117000000002</v>
          </cell>
          <cell r="H58">
            <v>1.6746629129999999</v>
          </cell>
          <cell r="I58">
            <v>2.0098553472000003</v>
          </cell>
          <cell r="J58">
            <v>2.2362089472000002</v>
          </cell>
          <cell r="K58">
            <v>2.38553478</v>
          </cell>
          <cell r="L58">
            <v>1.710339995952</v>
          </cell>
          <cell r="M58">
            <v>1.7619348925359997</v>
          </cell>
          <cell r="N58">
            <v>2.2341011489999998</v>
          </cell>
          <cell r="O58">
            <v>1.8625398791999996</v>
          </cell>
          <cell r="P58">
            <v>1.9670497131999998</v>
          </cell>
          <cell r="Q58">
            <v>1.8638827701999998</v>
          </cell>
          <cell r="R58">
            <v>1.9996180776000003</v>
          </cell>
          <cell r="S58" t="str">
            <v>n/a</v>
          </cell>
          <cell r="T58">
            <v>2.3385799124999997</v>
          </cell>
          <cell r="U58">
            <v>2.10682875</v>
          </cell>
          <cell r="V58">
            <v>2.2657679108999997</v>
          </cell>
          <cell r="W58">
            <v>2.2657679108999997</v>
          </cell>
          <cell r="X58">
            <v>2.2657679108999997</v>
          </cell>
          <cell r="Y58">
            <v>2.3385799124999997</v>
          </cell>
          <cell r="Z58">
            <v>2.10682875</v>
          </cell>
          <cell r="AA58">
            <v>2.10682875</v>
          </cell>
          <cell r="AB58" t="str">
            <v>n/a</v>
          </cell>
          <cell r="AC58">
            <v>2.3413337025000001</v>
          </cell>
          <cell r="AD58">
            <v>2.0214110279999997</v>
          </cell>
          <cell r="AE58">
            <v>1</v>
          </cell>
        </row>
        <row r="59">
          <cell r="B59">
            <v>2016</v>
          </cell>
        </row>
        <row r="60">
          <cell r="A60" t="str">
            <v>2016PRB</v>
          </cell>
          <cell r="B60" t="str">
            <v>PRB</v>
          </cell>
          <cell r="C60">
            <v>0.35099999999999998</v>
          </cell>
          <cell r="D60">
            <v>0.35099999999999998</v>
          </cell>
          <cell r="E60">
            <v>0.35099999999999998</v>
          </cell>
          <cell r="F60">
            <v>0.35099999999999998</v>
          </cell>
          <cell r="G60">
            <v>0.45</v>
          </cell>
          <cell r="H60">
            <v>0.38</v>
          </cell>
          <cell r="I60">
            <v>0.44</v>
          </cell>
          <cell r="J60">
            <v>0.44</v>
          </cell>
          <cell r="K60">
            <v>0.45</v>
          </cell>
          <cell r="L60">
            <v>0.31240000000000001</v>
          </cell>
          <cell r="M60">
            <v>0.42159999999999997</v>
          </cell>
          <cell r="N60">
            <v>0.47249999999999998</v>
          </cell>
          <cell r="O60">
            <v>0.43</v>
          </cell>
          <cell r="P60">
            <v>0.43</v>
          </cell>
          <cell r="Q60">
            <v>0.35499999999999998</v>
          </cell>
          <cell r="R60">
            <v>0.43</v>
          </cell>
          <cell r="S60">
            <v>0.51219999999999999</v>
          </cell>
          <cell r="T60">
            <v>0.38750000000000001</v>
          </cell>
          <cell r="U60">
            <v>0.25</v>
          </cell>
          <cell r="V60">
            <v>0.34429999999999999</v>
          </cell>
          <cell r="W60">
            <v>0.34429999999999999</v>
          </cell>
          <cell r="X60">
            <v>0.34429999999999999</v>
          </cell>
          <cell r="Y60">
            <v>0.38750000000000001</v>
          </cell>
          <cell r="Z60">
            <v>0.25</v>
          </cell>
          <cell r="AA60">
            <v>0.25</v>
          </cell>
          <cell r="AB60">
            <v>0.32</v>
          </cell>
          <cell r="AC60">
            <v>0.34429999999999999</v>
          </cell>
          <cell r="AD60">
            <v>0.37409999999999999</v>
          </cell>
          <cell r="AE60">
            <v>0</v>
          </cell>
        </row>
        <row r="61">
          <cell r="A61" t="str">
            <v>2016Overhead - Offsite</v>
          </cell>
          <cell r="B61" t="str">
            <v>Overhead - Offsite</v>
          </cell>
          <cell r="C61">
            <v>0.17249999999999999</v>
          </cell>
          <cell r="D61">
            <v>6.5000000000000002E-2</v>
          </cell>
          <cell r="E61">
            <v>0.19500000000000001</v>
          </cell>
          <cell r="F61">
            <v>0.26500000000000001</v>
          </cell>
          <cell r="G61">
            <v>0.23</v>
          </cell>
          <cell r="H61">
            <v>0.11650000000000001</v>
          </cell>
          <cell r="I61">
            <v>0.22090000000000001</v>
          </cell>
          <cell r="J61">
            <v>0.3584</v>
          </cell>
          <cell r="K61">
            <v>0.38800000000000001</v>
          </cell>
          <cell r="L61">
            <v>0.1988</v>
          </cell>
          <cell r="M61">
            <v>0.1401</v>
          </cell>
          <cell r="N61">
            <v>0.32300000000000001</v>
          </cell>
          <cell r="O61">
            <v>0.15079999999999999</v>
          </cell>
          <cell r="P61">
            <v>0.21990000000000001</v>
          </cell>
          <cell r="Q61">
            <v>0.21990000000000001</v>
          </cell>
          <cell r="R61">
            <v>0.2132</v>
          </cell>
          <cell r="S61" t="str">
            <v>n/a</v>
          </cell>
          <cell r="T61">
            <v>0.495</v>
          </cell>
          <cell r="U61">
            <v>0.495</v>
          </cell>
          <cell r="V61">
            <v>0.495</v>
          </cell>
          <cell r="W61">
            <v>0.495</v>
          </cell>
          <cell r="X61">
            <v>0.495</v>
          </cell>
          <cell r="Y61">
            <v>0.495</v>
          </cell>
          <cell r="Z61">
            <v>0.495</v>
          </cell>
          <cell r="AA61">
            <v>0.495</v>
          </cell>
          <cell r="AB61" t="str">
            <v>n/a</v>
          </cell>
          <cell r="AC61">
            <v>0.495</v>
          </cell>
          <cell r="AD61">
            <v>0.3</v>
          </cell>
          <cell r="AE61">
            <v>0</v>
          </cell>
        </row>
        <row r="62">
          <cell r="A62" t="str">
            <v>2016Overhead - Onsite</v>
          </cell>
          <cell r="B62" t="str">
            <v>Overhead - Onsite</v>
          </cell>
          <cell r="C62">
            <v>3.1E-2</v>
          </cell>
          <cell r="D62">
            <v>3.1E-2</v>
          </cell>
          <cell r="E62">
            <v>2.5499999999999998E-2</v>
          </cell>
          <cell r="F62">
            <v>2.5499999999999998E-2</v>
          </cell>
          <cell r="G62">
            <v>0.06</v>
          </cell>
          <cell r="H62">
            <v>1.7899999999999999E-2</v>
          </cell>
          <cell r="I62" t="str">
            <v>n/a</v>
          </cell>
          <cell r="J62">
            <v>6.1400000000000003E-2</v>
          </cell>
          <cell r="K62" t="str">
            <v>n/a</v>
          </cell>
          <cell r="L62">
            <v>2.23E-2</v>
          </cell>
          <cell r="M62" t="str">
            <v>n/a</v>
          </cell>
          <cell r="N62">
            <v>8.3699999999999997E-2</v>
          </cell>
          <cell r="O62">
            <v>0.15079999999999999</v>
          </cell>
          <cell r="P62">
            <v>0.05</v>
          </cell>
          <cell r="Q62">
            <v>0.05</v>
          </cell>
          <cell r="R62">
            <v>1.6500000000000001E-2</v>
          </cell>
          <cell r="S62">
            <v>0.17499999999999999</v>
          </cell>
          <cell r="T62">
            <v>8.5000000000000006E-2</v>
          </cell>
          <cell r="U62">
            <v>8.5000000000000006E-2</v>
          </cell>
          <cell r="V62">
            <v>8.5000000000000006E-2</v>
          </cell>
          <cell r="W62">
            <v>0.1825</v>
          </cell>
          <cell r="X62">
            <v>6.5000000000000002E-2</v>
          </cell>
          <cell r="Y62">
            <v>6.5000000000000002E-2</v>
          </cell>
          <cell r="Z62">
            <v>6.5000000000000002E-2</v>
          </cell>
          <cell r="AA62">
            <v>0.1825</v>
          </cell>
          <cell r="AB62">
            <v>6.5000000000000002E-2</v>
          </cell>
          <cell r="AC62" t="str">
            <v>n/a</v>
          </cell>
          <cell r="AD62">
            <v>6.5000000000000002E-2</v>
          </cell>
          <cell r="AE62">
            <v>0</v>
          </cell>
        </row>
        <row r="63">
          <cell r="A63" t="str">
            <v>2016Material Handling</v>
          </cell>
          <cell r="B63" t="str">
            <v>Material Handling</v>
          </cell>
          <cell r="C63">
            <v>2.76E-2</v>
          </cell>
          <cell r="D63">
            <v>2.76E-2</v>
          </cell>
          <cell r="E63">
            <v>2.7099999999999999E-2</v>
          </cell>
          <cell r="F63">
            <v>2.7099999999999999E-2</v>
          </cell>
          <cell r="G63">
            <v>0.13020000000000001</v>
          </cell>
          <cell r="H63">
            <v>2.2599999999999999E-2</v>
          </cell>
          <cell r="I63">
            <v>4.1300000000000003E-2</v>
          </cell>
          <cell r="J63">
            <v>4.1300000000000003E-2</v>
          </cell>
          <cell r="K63">
            <v>2.1000000000000001E-2</v>
          </cell>
          <cell r="L63">
            <v>2.8000000000000001E-2</v>
          </cell>
          <cell r="M63">
            <v>2.8000000000000001E-2</v>
          </cell>
          <cell r="N63">
            <v>4.5900000000000003E-2</v>
          </cell>
          <cell r="O63">
            <v>0</v>
          </cell>
          <cell r="P63">
            <v>3.3500000000000002E-2</v>
          </cell>
          <cell r="Q63">
            <v>3.3500000000000002E-2</v>
          </cell>
          <cell r="R63">
            <v>5.3900000000000003E-2</v>
          </cell>
          <cell r="S63">
            <v>5.3900000000000003E-2</v>
          </cell>
          <cell r="T63">
            <v>3.9100000000000003E-2</v>
          </cell>
          <cell r="U63">
            <v>3.9100000000000003E-2</v>
          </cell>
          <cell r="V63">
            <v>3.9100000000000003E-2</v>
          </cell>
          <cell r="W63">
            <v>3.9100000000000003E-2</v>
          </cell>
          <cell r="X63">
            <v>3.9100000000000003E-2</v>
          </cell>
          <cell r="Y63">
            <v>3.9100000000000003E-2</v>
          </cell>
          <cell r="Z63">
            <v>3.9100000000000003E-2</v>
          </cell>
          <cell r="AA63">
            <v>3.9100000000000003E-2</v>
          </cell>
          <cell r="AB63">
            <v>3.9100000000000003E-2</v>
          </cell>
          <cell r="AC63">
            <v>3.9100000000000003E-2</v>
          </cell>
          <cell r="AD63">
            <v>3.5900000000000001E-2</v>
          </cell>
          <cell r="AE63">
            <v>0</v>
          </cell>
        </row>
        <row r="64">
          <cell r="A64" t="str">
            <v>2016G&amp;A</v>
          </cell>
          <cell r="B64" t="str">
            <v>G&amp;A</v>
          </cell>
          <cell r="C64">
            <v>8.5699999999999998E-2</v>
          </cell>
          <cell r="D64">
            <v>8.5699999999999998E-2</v>
          </cell>
          <cell r="E64">
            <v>0.11609999999999999</v>
          </cell>
          <cell r="F64">
            <v>0.11609999999999999</v>
          </cell>
          <cell r="G64">
            <v>0.13020000000000001</v>
          </cell>
          <cell r="H64">
            <v>8.6900000000000005E-2</v>
          </cell>
          <cell r="I64">
            <v>0.14319999999999999</v>
          </cell>
          <cell r="J64">
            <v>0.14319999999999999</v>
          </cell>
          <cell r="K64">
            <v>0.18529999999999999</v>
          </cell>
          <cell r="L64">
            <v>8.7099999999999997E-2</v>
          </cell>
          <cell r="M64">
            <v>8.7099999999999997E-2</v>
          </cell>
          <cell r="N64">
            <v>0.14680000000000001</v>
          </cell>
          <cell r="O64">
            <v>0.1318</v>
          </cell>
          <cell r="P64">
            <v>0.12759999999999999</v>
          </cell>
          <cell r="Q64">
            <v>0.12759999999999999</v>
          </cell>
          <cell r="R64">
            <v>0.15260000000000001</v>
          </cell>
          <cell r="S64">
            <v>0.15260000000000001</v>
          </cell>
          <cell r="T64">
            <v>0.12740000000000001</v>
          </cell>
          <cell r="U64">
            <v>0.12740000000000001</v>
          </cell>
          <cell r="V64">
            <v>0.12740000000000001</v>
          </cell>
          <cell r="W64">
            <v>0.12740000000000001</v>
          </cell>
          <cell r="X64">
            <v>0.12740000000000001</v>
          </cell>
          <cell r="Y64">
            <v>0.12740000000000001</v>
          </cell>
          <cell r="Z64">
            <v>0.12740000000000001</v>
          </cell>
          <cell r="AA64">
            <v>0.12740000000000001</v>
          </cell>
          <cell r="AB64">
            <v>0.12740000000000001</v>
          </cell>
          <cell r="AC64">
            <v>0.16500000000000001</v>
          </cell>
          <cell r="AD64">
            <v>0.13159999999999999</v>
          </cell>
          <cell r="AE64">
            <v>0</v>
          </cell>
        </row>
        <row r="65">
          <cell r="B65" t="str">
            <v>Wrap - On</v>
          </cell>
          <cell r="C65">
            <v>1.5122509016999999</v>
          </cell>
          <cell r="D65">
            <v>1.5122509016999999</v>
          </cell>
          <cell r="E65">
            <v>1.5463013030500004</v>
          </cell>
          <cell r="F65">
            <v>1.5463013030500004</v>
          </cell>
          <cell r="G65">
            <v>1.7371174</v>
          </cell>
          <cell r="H65">
            <v>1.5267706038</v>
          </cell>
          <cell r="I65" t="str">
            <v>n/a</v>
          </cell>
          <cell r="J65">
            <v>1.7472851711999997</v>
          </cell>
          <cell r="K65" t="str">
            <v>n/a</v>
          </cell>
          <cell r="L65">
            <v>1.4585256738919998</v>
          </cell>
          <cell r="M65" t="str">
            <v>n/a</v>
          </cell>
          <cell r="N65">
            <v>1.8300040930999999</v>
          </cell>
          <cell r="O65">
            <v>1.8625398791999996</v>
          </cell>
          <cell r="P65">
            <v>1.6930913999999999</v>
          </cell>
          <cell r="Q65">
            <v>1.6042928999999999</v>
          </cell>
          <cell r="R65">
            <v>1.6754135970000001</v>
          </cell>
          <cell r="S65">
            <v>2.0479800210000003</v>
          </cell>
          <cell r="T65">
            <v>1.6972302374999999</v>
          </cell>
          <cell r="U65">
            <v>1.5290362499999999</v>
          </cell>
          <cell r="V65">
            <v>1.6443867446999998</v>
          </cell>
          <cell r="W65">
            <v>1.79215421715</v>
          </cell>
          <cell r="X65">
            <v>1.6140754683</v>
          </cell>
          <cell r="Y65">
            <v>1.6659448874999998</v>
          </cell>
          <cell r="Z65">
            <v>1.5008512499999997</v>
          </cell>
          <cell r="AA65">
            <v>1.666438125</v>
          </cell>
          <cell r="AB65">
            <v>1.5848989199999999</v>
          </cell>
          <cell r="AC65" t="str">
            <v>n/a</v>
          </cell>
          <cell r="AD65">
            <v>1.6560021113999999</v>
          </cell>
          <cell r="AE65">
            <v>1</v>
          </cell>
        </row>
        <row r="66">
          <cell r="B66" t="str">
            <v>Wrap - Off</v>
          </cell>
          <cell r="C66">
            <v>1.71980037075</v>
          </cell>
          <cell r="D66">
            <v>1.5621214455000001</v>
          </cell>
          <cell r="E66">
            <v>1.8018820645000002</v>
          </cell>
          <cell r="F66">
            <v>1.9074316415000003</v>
          </cell>
          <cell r="G66">
            <v>2.0157117000000002</v>
          </cell>
          <cell r="H66">
            <v>1.6746629129999999</v>
          </cell>
          <cell r="I66">
            <v>2.0098553472000003</v>
          </cell>
          <cell r="J66">
            <v>2.2362089472000002</v>
          </cell>
          <cell r="K66">
            <v>2.38553478</v>
          </cell>
          <cell r="L66">
            <v>1.710339995952</v>
          </cell>
          <cell r="M66">
            <v>1.7619348925359997</v>
          </cell>
          <cell r="N66">
            <v>2.2341011489999998</v>
          </cell>
          <cell r="O66">
            <v>1.8625398791999996</v>
          </cell>
          <cell r="P66">
            <v>1.9670497131999998</v>
          </cell>
          <cell r="Q66">
            <v>1.8638827701999998</v>
          </cell>
          <cell r="R66">
            <v>1.9996180776000003</v>
          </cell>
          <cell r="S66" t="str">
            <v>n/a</v>
          </cell>
          <cell r="T66">
            <v>2.3385799124999997</v>
          </cell>
          <cell r="U66">
            <v>2.10682875</v>
          </cell>
          <cell r="V66">
            <v>2.2657679108999997</v>
          </cell>
          <cell r="W66">
            <v>2.2657679108999997</v>
          </cell>
          <cell r="X66">
            <v>2.2657679108999997</v>
          </cell>
          <cell r="Y66">
            <v>2.3385799124999997</v>
          </cell>
          <cell r="Z66">
            <v>2.10682875</v>
          </cell>
          <cell r="AA66">
            <v>2.10682875</v>
          </cell>
          <cell r="AB66" t="str">
            <v>n/a</v>
          </cell>
          <cell r="AC66">
            <v>2.3413337025000001</v>
          </cell>
          <cell r="AD66">
            <v>2.0214110279999997</v>
          </cell>
          <cell r="AE66">
            <v>1</v>
          </cell>
        </row>
      </sheetData>
      <sheetData sheetId="3"/>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ow r="8">
          <cell r="F8" t="str">
            <v>Base YearKFM Technologies</v>
          </cell>
          <cell r="G8" t="str">
            <v>Base YearConsultant</v>
          </cell>
          <cell r="H8" t="str">
            <v>Base YearSub 3</v>
          </cell>
          <cell r="I8" t="str">
            <v>Base YearSub 4</v>
          </cell>
          <cell r="J8" t="str">
            <v>Base YearSub 5</v>
          </cell>
          <cell r="K8" t="str">
            <v>Base YearSub 6</v>
          </cell>
          <cell r="L8" t="str">
            <v>Base YearSub 7</v>
          </cell>
          <cell r="M8" t="str">
            <v>Base YearSub 8</v>
          </cell>
          <cell r="N8" t="str">
            <v>Base YearSub 9</v>
          </cell>
          <cell r="O8" t="str">
            <v>Base YearSub 10</v>
          </cell>
          <cell r="P8" t="str">
            <v>Base YearSub 11</v>
          </cell>
          <cell r="Q8" t="str">
            <v>Base YearSub 12</v>
          </cell>
          <cell r="R8" t="str">
            <v>Base YearSub 13</v>
          </cell>
          <cell r="S8" t="str">
            <v>Base YearSub 14</v>
          </cell>
          <cell r="T8" t="str">
            <v>Base YearSub 15</v>
          </cell>
          <cell r="V8" t="str">
            <v>Option Year 1KFM Technologies</v>
          </cell>
          <cell r="W8" t="str">
            <v>Option Year 1Consultant</v>
          </cell>
          <cell r="X8" t="str">
            <v>Option Year 1Sub 3</v>
          </cell>
          <cell r="Y8" t="str">
            <v>Option Year 1Sub 4</v>
          </cell>
          <cell r="Z8" t="str">
            <v>Option Year 1Sub 5</v>
          </cell>
          <cell r="AA8" t="str">
            <v>Option Year 1Sub 6</v>
          </cell>
          <cell r="AB8" t="str">
            <v>Option Year 1Sub 7</v>
          </cell>
          <cell r="AC8" t="str">
            <v>Option Year 1Sub 8</v>
          </cell>
          <cell r="AD8" t="str">
            <v>Option Year 1Sub 9</v>
          </cell>
          <cell r="AE8" t="str">
            <v>Option Year 1Sub 10</v>
          </cell>
          <cell r="AF8" t="str">
            <v>Option Year 1Sub 11</v>
          </cell>
          <cell r="AG8" t="str">
            <v>Option Year 1Sub 12</v>
          </cell>
          <cell r="AH8" t="str">
            <v>Option Year 1Sub 13</v>
          </cell>
          <cell r="AI8" t="str">
            <v>Option Year 1Sub 14</v>
          </cell>
          <cell r="AJ8" t="str">
            <v>Option Year 1Sub 15</v>
          </cell>
          <cell r="AL8" t="str">
            <v>Option Year 2KFM Technologies</v>
          </cell>
          <cell r="AM8" t="str">
            <v>Option Year 2Consultant</v>
          </cell>
          <cell r="AN8" t="str">
            <v>Option Year 2Sub 3</v>
          </cell>
          <cell r="AO8" t="str">
            <v>Option Year 2Sub 4</v>
          </cell>
          <cell r="AP8" t="str">
            <v>Option Year 2Sub 5</v>
          </cell>
          <cell r="AQ8" t="str">
            <v>Option Year 2Sub 6</v>
          </cell>
          <cell r="AR8" t="str">
            <v>Option Year 2Sub 7</v>
          </cell>
          <cell r="AS8" t="str">
            <v>Option Year 2Sub 8</v>
          </cell>
          <cell r="AT8" t="str">
            <v>Option Year 2Sub 9</v>
          </cell>
          <cell r="AU8" t="str">
            <v>Option Year 2Sub 10</v>
          </cell>
          <cell r="AV8" t="str">
            <v>Option Year 2Sub 11</v>
          </cell>
          <cell r="AW8" t="str">
            <v>Option Year 2Sub 12</v>
          </cell>
          <cell r="AX8" t="str">
            <v>Option Year 2Sub 13</v>
          </cell>
          <cell r="AY8" t="str">
            <v>Option Year 2Sub 14</v>
          </cell>
          <cell r="AZ8" t="str">
            <v>Option Year 2Sub 15</v>
          </cell>
          <cell r="BB8" t="str">
            <v>Option Year 3KFM Technologies</v>
          </cell>
          <cell r="BC8" t="str">
            <v>Option Year 3Consultant</v>
          </cell>
          <cell r="BD8" t="str">
            <v>Option Year 3Sub 3</v>
          </cell>
          <cell r="BE8" t="str">
            <v>Option Year 3Sub 4</v>
          </cell>
          <cell r="BF8" t="str">
            <v>Option Year 3Sub 5</v>
          </cell>
          <cell r="BG8" t="str">
            <v>Option Year 3Sub 6</v>
          </cell>
          <cell r="BH8" t="str">
            <v>Option Year 3Sub 7</v>
          </cell>
          <cell r="BI8" t="str">
            <v>Option Year 3Sub 8</v>
          </cell>
          <cell r="BJ8" t="str">
            <v>Option Year 3Sub 9</v>
          </cell>
          <cell r="BK8" t="str">
            <v>Option Year 3Sub 10</v>
          </cell>
          <cell r="BL8" t="str">
            <v>Option Year 3Sub 11</v>
          </cell>
          <cell r="BM8" t="str">
            <v>Option Year 3Sub 12</v>
          </cell>
          <cell r="BN8" t="str">
            <v>Option Year 3Sub 13</v>
          </cell>
          <cell r="BO8" t="str">
            <v>Option Year 3Sub 14</v>
          </cell>
          <cell r="BP8" t="str">
            <v>Option Year 3Sub 15</v>
          </cell>
          <cell r="BR8" t="str">
            <v>Option Year 4KFM Technologies</v>
          </cell>
          <cell r="BS8" t="str">
            <v>Option Year 4Consultant</v>
          </cell>
          <cell r="BT8" t="str">
            <v>Option Year 4Sub 3</v>
          </cell>
          <cell r="BU8" t="str">
            <v>Option Year 4Sub 4</v>
          </cell>
          <cell r="BV8" t="str">
            <v>Option Year 4Sub 5</v>
          </cell>
          <cell r="BW8" t="str">
            <v>Option Year 4Sub 6</v>
          </cell>
          <cell r="BX8" t="str">
            <v>Option Year 4Sub 7</v>
          </cell>
          <cell r="BY8" t="str">
            <v>Option Year 4Sub 8</v>
          </cell>
          <cell r="BZ8" t="str">
            <v>Option Year 4Sub 9</v>
          </cell>
          <cell r="CA8" t="str">
            <v>Option Year 4Sub 10</v>
          </cell>
          <cell r="CB8" t="str">
            <v>Option Year 4Sub 11</v>
          </cell>
          <cell r="CC8" t="str">
            <v>Option Year 4Sub 12</v>
          </cell>
          <cell r="CD8" t="str">
            <v>Option Year 4Sub 13</v>
          </cell>
          <cell r="CE8" t="str">
            <v>Option Year 4Sub 14</v>
          </cell>
          <cell r="CF8" t="str">
            <v>Option Year 4Sub 15</v>
          </cell>
          <cell r="CH8" t="str">
            <v>Option Year 5KFM Technologies</v>
          </cell>
          <cell r="CI8" t="str">
            <v>Option Year 5Consultant</v>
          </cell>
          <cell r="CJ8" t="str">
            <v>Option Year 5Sub 3</v>
          </cell>
          <cell r="CK8" t="str">
            <v>Option Year 5Sub 4</v>
          </cell>
          <cell r="CL8" t="str">
            <v>Option Year 5Sub 5</v>
          </cell>
          <cell r="CM8" t="str">
            <v>Option Year 5Sub 6</v>
          </cell>
          <cell r="CN8" t="str">
            <v>Option Year 5Sub 7</v>
          </cell>
          <cell r="CO8" t="str">
            <v>Option Year 5Sub 8</v>
          </cell>
          <cell r="CP8" t="str">
            <v>Option Year 5Sub 9</v>
          </cell>
          <cell r="CQ8" t="str">
            <v>Option Year 5Sub 10</v>
          </cell>
          <cell r="CR8" t="str">
            <v>Option Year 5Sub 11</v>
          </cell>
          <cell r="CS8" t="str">
            <v>Option Year 5Sub 12</v>
          </cell>
          <cell r="CT8" t="str">
            <v>Option Year 5Sub 13</v>
          </cell>
          <cell r="CU8" t="str">
            <v>Option Year 5Sub 14</v>
          </cell>
          <cell r="CV8" t="str">
            <v>Option Year 5Sub 15</v>
          </cell>
          <cell r="CX8" t="str">
            <v>Option Year 6KFM Technologies</v>
          </cell>
          <cell r="CY8" t="str">
            <v>Option Year 6Consultant</v>
          </cell>
          <cell r="CZ8" t="str">
            <v>Option Year 6Sub 3</v>
          </cell>
          <cell r="DA8" t="str">
            <v>Option Year 6Sub 4</v>
          </cell>
          <cell r="DB8" t="str">
            <v>Option Year 6Sub 5</v>
          </cell>
          <cell r="DC8" t="str">
            <v>Option Year 6Sub 6</v>
          </cell>
          <cell r="DD8" t="str">
            <v>Option Year 6Sub 7</v>
          </cell>
          <cell r="DE8" t="str">
            <v>Option Year 6Sub 8</v>
          </cell>
          <cell r="DF8" t="str">
            <v>Option Year 6Sub 9</v>
          </cell>
          <cell r="DG8" t="str">
            <v>Option Year 6Sub 10</v>
          </cell>
          <cell r="DH8" t="str">
            <v>Option Year 6Sub 11</v>
          </cell>
          <cell r="DI8" t="str">
            <v>Option Year 6Sub 12</v>
          </cell>
          <cell r="DJ8" t="str">
            <v>Option Year 6Sub 13</v>
          </cell>
          <cell r="DK8" t="str">
            <v>Option Year 6Sub 14</v>
          </cell>
          <cell r="DL8" t="str">
            <v>Option Year 6Sub 15</v>
          </cell>
          <cell r="DN8" t="str">
            <v>Option Year 7KFM Technologies</v>
          </cell>
          <cell r="DO8" t="str">
            <v>Option Year 7Consultant</v>
          </cell>
          <cell r="DP8" t="str">
            <v>Option Year 7Sub 3</v>
          </cell>
          <cell r="DQ8" t="str">
            <v>Option Year 7Sub 4</v>
          </cell>
          <cell r="DR8" t="str">
            <v>Option Year 7Sub 5</v>
          </cell>
          <cell r="DS8" t="str">
            <v>Option Year 7Sub 6</v>
          </cell>
          <cell r="DT8" t="str">
            <v>Option Year 7Sub 7</v>
          </cell>
          <cell r="DU8" t="str">
            <v>Option Year 7Sub 8</v>
          </cell>
          <cell r="DV8" t="str">
            <v>Option Year 7Sub 9</v>
          </cell>
          <cell r="DW8" t="str">
            <v>Option Year 7Sub 10</v>
          </cell>
          <cell r="DX8" t="str">
            <v>Option Year 7Sub 11</v>
          </cell>
          <cell r="DY8" t="str">
            <v>Option Year 7Sub 12</v>
          </cell>
          <cell r="DZ8" t="str">
            <v>Option Year 7Sub 13</v>
          </cell>
          <cell r="EA8" t="str">
            <v>Option Year 7Sub 14</v>
          </cell>
          <cell r="EB8" t="str">
            <v>Option Year 7Sub 15</v>
          </cell>
          <cell r="ED8" t="str">
            <v>Option Year 8KFM Technologies</v>
          </cell>
          <cell r="EE8" t="str">
            <v>Option Year 8Consultant</v>
          </cell>
          <cell r="EF8" t="str">
            <v>Option Year 8Sub 3</v>
          </cell>
          <cell r="EG8" t="str">
            <v>Option Year 8Sub 4</v>
          </cell>
          <cell r="EH8" t="str">
            <v>Option Year 8Sub 5</v>
          </cell>
          <cell r="EI8" t="str">
            <v>Option Year 8Sub 6</v>
          </cell>
          <cell r="EJ8" t="str">
            <v>Option Year 8Sub 7</v>
          </cell>
          <cell r="EK8" t="str">
            <v>Option Year 8Sub 8</v>
          </cell>
          <cell r="EL8" t="str">
            <v>Option Year 8Sub 9</v>
          </cell>
          <cell r="EM8" t="str">
            <v>Option Year 8Sub 10</v>
          </cell>
          <cell r="EN8" t="str">
            <v>Option Year 8Sub 11</v>
          </cell>
          <cell r="EO8" t="str">
            <v>Option Year 8Sub 12</v>
          </cell>
          <cell r="EP8" t="str">
            <v>Option Year 8Sub 13</v>
          </cell>
          <cell r="EQ8" t="str">
            <v>Option Year 8Sub 14</v>
          </cell>
          <cell r="ER8" t="str">
            <v>Option Year 8Sub 15</v>
          </cell>
          <cell r="ET8" t="str">
            <v>Option Year 9KFM Technologies</v>
          </cell>
          <cell r="EU8" t="str">
            <v>Option Year 9Consultant</v>
          </cell>
          <cell r="EV8" t="str">
            <v>Option Year 9Sub 3</v>
          </cell>
          <cell r="EW8" t="str">
            <v>Option Year 9Sub 4</v>
          </cell>
          <cell r="EX8" t="str">
            <v>Option Year 9Sub 5</v>
          </cell>
          <cell r="EY8" t="str">
            <v>Option Year 9Sub 6</v>
          </cell>
          <cell r="EZ8" t="str">
            <v>Option Year 9Sub 7</v>
          </cell>
          <cell r="FA8" t="str">
            <v>Option Year 9Sub 8</v>
          </cell>
          <cell r="FB8" t="str">
            <v>Option Year 9Sub 9</v>
          </cell>
          <cell r="FC8" t="str">
            <v>Option Year 9Sub 10</v>
          </cell>
          <cell r="FD8" t="str">
            <v>Option Year 9Sub 11</v>
          </cell>
          <cell r="FE8" t="str">
            <v>Option Year 9Sub 12</v>
          </cell>
          <cell r="FF8" t="str">
            <v>Option Year 9Sub 13</v>
          </cell>
          <cell r="FG8" t="str">
            <v>Option Year 9Sub 14</v>
          </cell>
          <cell r="FH8" t="str">
            <v>Option Year 9Sub 15</v>
          </cell>
          <cell r="FJ8" t="str">
            <v>Option Year 10KFM Technologies</v>
          </cell>
          <cell r="FK8" t="str">
            <v>Option Year 10Consultant</v>
          </cell>
          <cell r="FL8" t="str">
            <v>Option Year 10Sub 3</v>
          </cell>
          <cell r="FM8" t="str">
            <v>Option Year 10Sub 4</v>
          </cell>
          <cell r="FN8" t="str">
            <v>Option Year 10Sub 5</v>
          </cell>
          <cell r="FO8" t="str">
            <v>Option Year 10Sub 6</v>
          </cell>
          <cell r="FP8" t="str">
            <v>Option Year 10Sub 7</v>
          </cell>
          <cell r="FQ8" t="str">
            <v>Option Year 10Sub 8</v>
          </cell>
          <cell r="FR8" t="str">
            <v>Option Year 10Sub 9</v>
          </cell>
          <cell r="FS8" t="str">
            <v>Option Year 10Sub 10</v>
          </cell>
          <cell r="FT8" t="str">
            <v>Option Year 10Sub 11</v>
          </cell>
          <cell r="FU8" t="str">
            <v>Option Year 10Sub 12</v>
          </cell>
          <cell r="FV8" t="str">
            <v>Option Year 10Sub 13</v>
          </cell>
          <cell r="FW8" t="str">
            <v>Option Year 10Sub 14</v>
          </cell>
          <cell r="FX8" t="str">
            <v>Option Year 10Sub 15</v>
          </cell>
          <cell r="FZ8" t="str">
            <v>Option Year 11KFM Technologies</v>
          </cell>
          <cell r="GA8" t="str">
            <v>Option Year 11Consultant</v>
          </cell>
          <cell r="GB8" t="str">
            <v>Option Year 11Sub 3</v>
          </cell>
          <cell r="GC8" t="str">
            <v>Option Year 11Sub 4</v>
          </cell>
          <cell r="GD8" t="str">
            <v>Option Year 11Sub 5</v>
          </cell>
          <cell r="GE8" t="str">
            <v>Option Year 11Sub 6</v>
          </cell>
          <cell r="GF8" t="str">
            <v>Option Year 11Sub 7</v>
          </cell>
          <cell r="GG8" t="str">
            <v>Option Year 11Sub 8</v>
          </cell>
          <cell r="GH8" t="str">
            <v>Option Year 11Sub 9</v>
          </cell>
          <cell r="GI8" t="str">
            <v>Option Year 11Sub 10</v>
          </cell>
          <cell r="GJ8" t="str">
            <v>Option Year 11Sub 11</v>
          </cell>
          <cell r="GK8" t="str">
            <v>Option Year 11Sub 12</v>
          </cell>
          <cell r="GL8" t="str">
            <v>Option Year 11Sub 13</v>
          </cell>
          <cell r="GM8" t="str">
            <v>Option Year 11Sub 14</v>
          </cell>
          <cell r="GN8" t="str">
            <v>Option Year 11Sub 15</v>
          </cell>
          <cell r="GP8" t="str">
            <v>Option Year 12KFM Technologies</v>
          </cell>
          <cell r="GQ8" t="str">
            <v>Option Year 12Consultant</v>
          </cell>
          <cell r="GR8" t="str">
            <v>Option Year 12Sub 3</v>
          </cell>
          <cell r="GS8" t="str">
            <v>Option Year 12Sub 4</v>
          </cell>
          <cell r="GT8" t="str">
            <v>Option Year 12Sub 5</v>
          </cell>
          <cell r="GU8" t="str">
            <v>Option Year 12Sub 6</v>
          </cell>
          <cell r="GV8" t="str">
            <v>Option Year 12Sub 7</v>
          </cell>
          <cell r="GW8" t="str">
            <v>Option Year 12Sub 8</v>
          </cell>
          <cell r="GX8" t="str">
            <v>Option Year 12Sub 9</v>
          </cell>
          <cell r="GY8" t="str">
            <v>Option Year 12Sub 10</v>
          </cell>
          <cell r="GZ8" t="str">
            <v>Option Year 12Sub 11</v>
          </cell>
          <cell r="HA8" t="str">
            <v>Option Year 12Sub 12</v>
          </cell>
          <cell r="HB8" t="str">
            <v>Option Year 12Sub 13</v>
          </cell>
          <cell r="HC8" t="str">
            <v>Option Year 12Sub 14</v>
          </cell>
          <cell r="HD8" t="str">
            <v>Option Year 12Sub 15</v>
          </cell>
          <cell r="HF8" t="str">
            <v>Option Year 13KFM Technologies</v>
          </cell>
          <cell r="HG8" t="str">
            <v>Option Year 13Consultant</v>
          </cell>
          <cell r="HH8" t="str">
            <v>Option Year 13Sub 3</v>
          </cell>
          <cell r="HI8" t="str">
            <v>Option Year 13Sub 4</v>
          </cell>
          <cell r="HJ8" t="str">
            <v>Option Year 13Sub 5</v>
          </cell>
          <cell r="HK8" t="str">
            <v>Option Year 13Sub 6</v>
          </cell>
          <cell r="HL8" t="str">
            <v>Option Year 13Sub 7</v>
          </cell>
          <cell r="HM8" t="str">
            <v>Option Year 13Sub 8</v>
          </cell>
          <cell r="HN8" t="str">
            <v>Option Year 13Sub 9</v>
          </cell>
          <cell r="HO8" t="str">
            <v>Option Year 13Sub 10</v>
          </cell>
          <cell r="HP8" t="str">
            <v>Option Year 13Sub 11</v>
          </cell>
          <cell r="HQ8" t="str">
            <v>Option Year 13Sub 12</v>
          </cell>
          <cell r="HR8" t="str">
            <v>Option Year 13Sub 13</v>
          </cell>
          <cell r="HS8" t="str">
            <v>Option Year 13Sub 14</v>
          </cell>
          <cell r="HT8" t="str">
            <v>Option Year 13Sub 15</v>
          </cell>
          <cell r="HV8" t="str">
            <v>Option Year 14KFM Technologies</v>
          </cell>
          <cell r="HW8" t="str">
            <v>Option Year 14Consultant</v>
          </cell>
          <cell r="HX8" t="str">
            <v>Option Year 14Sub 3</v>
          </cell>
          <cell r="HY8" t="str">
            <v>Option Year 14Sub 4</v>
          </cell>
          <cell r="HZ8" t="str">
            <v>Option Year 14Sub 5</v>
          </cell>
          <cell r="IA8" t="str">
            <v>Option Year 14Sub 6</v>
          </cell>
          <cell r="IB8" t="str">
            <v>Option Year 14Sub 7</v>
          </cell>
          <cell r="IC8" t="str">
            <v>Option Year 14Sub 8</v>
          </cell>
          <cell r="ID8" t="str">
            <v>Option Year 14Sub 9</v>
          </cell>
          <cell r="IE8" t="str">
            <v>Option Year 14Sub 10</v>
          </cell>
          <cell r="IF8" t="str">
            <v>Option Year 14Sub 11</v>
          </cell>
          <cell r="IG8" t="str">
            <v>Option Year 14Sub 12</v>
          </cell>
          <cell r="IH8" t="str">
            <v>Option Year 14Sub 13</v>
          </cell>
          <cell r="II8" t="str">
            <v>Option Year 14Sub 14</v>
          </cell>
          <cell r="IJ8" t="str">
            <v>Option Year 14Sub 15</v>
          </cell>
        </row>
      </sheetData>
      <sheetData sheetId="16" refreshError="1"/>
      <sheetData sheetId="17">
        <row r="11">
          <cell r="AL11" t="str">
            <v>LOOKUP TABLE - DO NOT DELETE</v>
          </cell>
        </row>
        <row r="12">
          <cell r="AL12" t="str">
            <v>Base YearISPRBContr/Govt</v>
          </cell>
          <cell r="AM12">
            <v>0.31240000000000001</v>
          </cell>
        </row>
        <row r="13">
          <cell r="AL13" t="str">
            <v>Base YearISOverheadContr</v>
          </cell>
          <cell r="AM13">
            <v>0.1988</v>
          </cell>
        </row>
        <row r="14">
          <cell r="AL14" t="str">
            <v>Base YearISOverheadGovt</v>
          </cell>
          <cell r="AM14">
            <v>2.23E-2</v>
          </cell>
        </row>
        <row r="15">
          <cell r="AL15" t="str">
            <v>Base YearISMHContr/Govt</v>
          </cell>
          <cell r="AM15">
            <v>3.0700000000000002E-2</v>
          </cell>
        </row>
        <row r="16">
          <cell r="AL16" t="str">
            <v>Base YearISG&amp;AContr/Govt</v>
          </cell>
          <cell r="AM16">
            <v>9.4700000000000006E-2</v>
          </cell>
        </row>
        <row r="17">
          <cell r="AL17" t="str">
            <v>Base YearISTBD1Contr/Govt</v>
          </cell>
          <cell r="AM17">
            <v>0</v>
          </cell>
        </row>
        <row r="18">
          <cell r="AL18" t="str">
            <v>Base YearISTBD2Contr/Govt</v>
          </cell>
          <cell r="AM18">
            <v>0</v>
          </cell>
        </row>
        <row r="19">
          <cell r="AL19" t="str">
            <v>Base YearISTBD3Contr/Govt</v>
          </cell>
          <cell r="AM19">
            <v>0</v>
          </cell>
        </row>
        <row r="24">
          <cell r="AL24" t="str">
            <v>Option Year 1ISPRBContr/Govt</v>
          </cell>
          <cell r="AM24">
            <v>0.31240000000000001</v>
          </cell>
        </row>
        <row r="25">
          <cell r="AL25" t="str">
            <v>Option Year 1ISOverheadContr</v>
          </cell>
          <cell r="AM25">
            <v>0.1988</v>
          </cell>
        </row>
        <row r="26">
          <cell r="AL26" t="str">
            <v>Option Year 1ISOverheadGovt</v>
          </cell>
          <cell r="AM26">
            <v>2.23E-2</v>
          </cell>
        </row>
        <row r="27">
          <cell r="AL27" t="str">
            <v>Option Year 1ISMHContr/Govt</v>
          </cell>
          <cell r="AM27">
            <v>2.9700000000000001E-2</v>
          </cell>
        </row>
        <row r="28">
          <cell r="AL28" t="str">
            <v>Option Year 1ISG&amp;AContr/Govt</v>
          </cell>
          <cell r="AM28">
            <v>9.1999999999999998E-2</v>
          </cell>
        </row>
        <row r="29">
          <cell r="AL29" t="str">
            <v>Option Year 1ISTBD1Contr/Govt</v>
          </cell>
          <cell r="AM29">
            <v>0</v>
          </cell>
        </row>
        <row r="30">
          <cell r="AL30" t="str">
            <v>Option Year 1ISTBD2Contr/Govt</v>
          </cell>
          <cell r="AM30">
            <v>0</v>
          </cell>
        </row>
        <row r="31">
          <cell r="AL31" t="str">
            <v>Option Year 1ISTBD3Contr/Govt</v>
          </cell>
          <cell r="AM31">
            <v>0</v>
          </cell>
        </row>
        <row r="36">
          <cell r="AL36" t="str">
            <v>Option Year 2ISPRBContr/Govt</v>
          </cell>
          <cell r="AM36">
            <v>0.31240000000000001</v>
          </cell>
        </row>
        <row r="37">
          <cell r="AL37" t="str">
            <v>Option Year 2ISOverheadContr</v>
          </cell>
          <cell r="AM37">
            <v>0.1988</v>
          </cell>
        </row>
        <row r="38">
          <cell r="AL38" t="str">
            <v>Option Year 2ISOverheadGovt</v>
          </cell>
          <cell r="AM38">
            <v>2.23E-2</v>
          </cell>
        </row>
        <row r="39">
          <cell r="AL39" t="str">
            <v>Option Year 2ISMHContr/Govt</v>
          </cell>
          <cell r="AM39">
            <v>2.8799999999999999E-2</v>
          </cell>
        </row>
        <row r="40">
          <cell r="AL40" t="str">
            <v>Option Year 2ISG&amp;AContr/Govt</v>
          </cell>
          <cell r="AM40">
            <v>8.9499999999999996E-2</v>
          </cell>
        </row>
        <row r="41">
          <cell r="AL41" t="str">
            <v>Option Year 2ISTBD1Contr/Govt</v>
          </cell>
          <cell r="AM41">
            <v>0</v>
          </cell>
        </row>
        <row r="42">
          <cell r="AL42" t="str">
            <v>Option Year 2ISTBD2Contr/Govt</v>
          </cell>
          <cell r="AM42">
            <v>0</v>
          </cell>
        </row>
        <row r="43">
          <cell r="AL43" t="str">
            <v>Option Year 2ISTBD3Contr/Govt</v>
          </cell>
          <cell r="AM43">
            <v>0</v>
          </cell>
        </row>
        <row r="48">
          <cell r="AL48" t="str">
            <v>Option Year 3ISPRBContr/Govt</v>
          </cell>
          <cell r="AM48">
            <v>0.31240000000000001</v>
          </cell>
        </row>
        <row r="49">
          <cell r="AL49" t="str">
            <v>Option Year 3ISOverheadContr</v>
          </cell>
          <cell r="AM49">
            <v>0.1988</v>
          </cell>
        </row>
        <row r="50">
          <cell r="AL50" t="str">
            <v>Option Year 3ISOverheadGovt</v>
          </cell>
          <cell r="AM50">
            <v>2.23E-2</v>
          </cell>
        </row>
        <row r="51">
          <cell r="AL51" t="str">
            <v>Option Year 3ISMHContr/Govt</v>
          </cell>
          <cell r="AM51">
            <v>2.8000000000000001E-2</v>
          </cell>
        </row>
        <row r="52">
          <cell r="AL52" t="str">
            <v>Option Year 3ISG&amp;AContr/Govt</v>
          </cell>
          <cell r="AM52">
            <v>8.7099999999999997E-2</v>
          </cell>
        </row>
        <row r="53">
          <cell r="AL53" t="str">
            <v>Option Year 3ISTBD1Contr/Govt</v>
          </cell>
          <cell r="AM53">
            <v>0</v>
          </cell>
        </row>
        <row r="54">
          <cell r="AL54" t="str">
            <v>Option Year 3ISTBD2Contr/Govt</v>
          </cell>
          <cell r="AM54">
            <v>0</v>
          </cell>
        </row>
        <row r="55">
          <cell r="AL55" t="str">
            <v>Option Year 3ISTBD3Contr/Govt</v>
          </cell>
          <cell r="AM55">
            <v>0</v>
          </cell>
        </row>
        <row r="60">
          <cell r="AL60" t="str">
            <v>Option Year 4ISPRBContr/Govt</v>
          </cell>
          <cell r="AM60">
            <v>0.31240000000000001</v>
          </cell>
        </row>
        <row r="61">
          <cell r="AL61" t="str">
            <v>Option Year 4ISOverheadContr</v>
          </cell>
          <cell r="AM61">
            <v>0.1988</v>
          </cell>
        </row>
        <row r="62">
          <cell r="AL62" t="str">
            <v>Option Year 4ISOverheadGovt</v>
          </cell>
          <cell r="AM62">
            <v>2.23E-2</v>
          </cell>
        </row>
        <row r="63">
          <cell r="AL63" t="str">
            <v>Option Year 4ISMHContr/Govt</v>
          </cell>
          <cell r="AM63">
            <v>2.8000000000000001E-2</v>
          </cell>
        </row>
        <row r="64">
          <cell r="AL64" t="str">
            <v>Option Year 4ISG&amp;AContr/Govt</v>
          </cell>
          <cell r="AM64">
            <v>8.7099999999999997E-2</v>
          </cell>
        </row>
        <row r="65">
          <cell r="AL65" t="str">
            <v>Option Year 4ISTBD1Contr/Govt</v>
          </cell>
          <cell r="AM65">
            <v>0</v>
          </cell>
        </row>
        <row r="66">
          <cell r="AL66" t="str">
            <v>Option Year 4ISTBD2Contr/Govt</v>
          </cell>
          <cell r="AM66">
            <v>0</v>
          </cell>
        </row>
        <row r="67">
          <cell r="AL67" t="str">
            <v>Option Year 4ISTBD3Contr/Govt</v>
          </cell>
          <cell r="AM67">
            <v>0</v>
          </cell>
        </row>
        <row r="72">
          <cell r="AL72" t="str">
            <v>Option Year 5ISPRBContr/Govt</v>
          </cell>
          <cell r="AM72">
            <v>0.31240000000000001</v>
          </cell>
        </row>
        <row r="73">
          <cell r="AL73" t="str">
            <v>Option Year 5ISOverheadContr</v>
          </cell>
          <cell r="AM73">
            <v>0.1988</v>
          </cell>
        </row>
        <row r="74">
          <cell r="AL74" t="str">
            <v>Option Year 5ISOverheadGovt</v>
          </cell>
          <cell r="AM74">
            <v>2.23E-2</v>
          </cell>
        </row>
        <row r="75">
          <cell r="AL75" t="str">
            <v>Option Year 5ISMHContr/Govt</v>
          </cell>
          <cell r="AM75">
            <v>2.8000000000000001E-2</v>
          </cell>
        </row>
        <row r="76">
          <cell r="AL76" t="str">
            <v>Option Year 5ISG&amp;AContr/Govt</v>
          </cell>
          <cell r="AM76">
            <v>8.7099999999999997E-2</v>
          </cell>
        </row>
        <row r="77">
          <cell r="AL77" t="str">
            <v>Option Year 5ISTBD1Contr/Govt</v>
          </cell>
          <cell r="AM77">
            <v>0</v>
          </cell>
        </row>
        <row r="78">
          <cell r="AL78" t="str">
            <v>Option Year 5ISTBD2Contr/Govt</v>
          </cell>
          <cell r="AM78">
            <v>0</v>
          </cell>
        </row>
        <row r="79">
          <cell r="AL79" t="str">
            <v>Option Year 5ISTBD3Contr/Govt</v>
          </cell>
          <cell r="AM79">
            <v>0</v>
          </cell>
        </row>
        <row r="84">
          <cell r="AL84" t="str">
            <v>Option Year 6ISPRBContr/Govt</v>
          </cell>
          <cell r="AM84">
            <v>0.31240000000000001</v>
          </cell>
        </row>
        <row r="85">
          <cell r="AL85" t="str">
            <v>Option Year 6ISOverheadContr</v>
          </cell>
          <cell r="AM85">
            <v>0.1988</v>
          </cell>
        </row>
        <row r="86">
          <cell r="AL86" t="str">
            <v>Option Year 6ISOverheadGovt</v>
          </cell>
          <cell r="AM86">
            <v>2.23E-2</v>
          </cell>
        </row>
        <row r="87">
          <cell r="AL87" t="str">
            <v>Option Year 6ISMHContr/Govt</v>
          </cell>
          <cell r="AM87">
            <v>2.8000000000000001E-2</v>
          </cell>
        </row>
        <row r="88">
          <cell r="AL88" t="str">
            <v>Option Year 6ISG&amp;AContr/Govt</v>
          </cell>
          <cell r="AM88">
            <v>8.7099999999999997E-2</v>
          </cell>
        </row>
        <row r="89">
          <cell r="AL89" t="str">
            <v>Option Year 6ISTBD1Contr/Govt</v>
          </cell>
          <cell r="AM89">
            <v>0</v>
          </cell>
        </row>
        <row r="90">
          <cell r="AL90" t="str">
            <v>Option Year 6ISTBD2Contr/Govt</v>
          </cell>
          <cell r="AM90">
            <v>0</v>
          </cell>
        </row>
        <row r="91">
          <cell r="AL91" t="str">
            <v>Option Year 6ISTBD3Contr/Govt</v>
          </cell>
          <cell r="AM91">
            <v>0</v>
          </cell>
        </row>
        <row r="96">
          <cell r="AL96" t="str">
            <v>Option Year 7ISPRBContr/Govt</v>
          </cell>
          <cell r="AM96">
            <v>0.31240000000000001</v>
          </cell>
        </row>
        <row r="97">
          <cell r="AL97" t="str">
            <v>Option Year 7ISOverheadContr</v>
          </cell>
          <cell r="AM97">
            <v>0.1988</v>
          </cell>
        </row>
        <row r="98">
          <cell r="AL98" t="str">
            <v>Option Year 7ISOverheadGovt</v>
          </cell>
          <cell r="AM98">
            <v>2.23E-2</v>
          </cell>
        </row>
        <row r="99">
          <cell r="AL99" t="str">
            <v>Option Year 7ISMHContr/Govt</v>
          </cell>
          <cell r="AM99">
            <v>2.8000000000000001E-2</v>
          </cell>
        </row>
        <row r="100">
          <cell r="AL100" t="str">
            <v>Option Year 7ISG&amp;AContr/Govt</v>
          </cell>
          <cell r="AM100">
            <v>8.7099999999999997E-2</v>
          </cell>
        </row>
        <row r="101">
          <cell r="AL101" t="str">
            <v>Option Year 7ISTBD1Contr/Govt</v>
          </cell>
          <cell r="AM101">
            <v>0</v>
          </cell>
        </row>
        <row r="102">
          <cell r="AL102" t="str">
            <v>Option Year 7ISTBD2Contr/Govt</v>
          </cell>
          <cell r="AM102">
            <v>0</v>
          </cell>
        </row>
        <row r="103">
          <cell r="AL103" t="str">
            <v>Option Year 7ISTBD3Contr/Govt</v>
          </cell>
          <cell r="AM103">
            <v>0</v>
          </cell>
        </row>
        <row r="108">
          <cell r="AL108" t="str">
            <v>Option Year 8ISPRBContr/Govt</v>
          </cell>
          <cell r="AM108">
            <v>0.31240000000000001</v>
          </cell>
        </row>
        <row r="109">
          <cell r="AL109" t="str">
            <v>Option Year 8ISOverheadContr</v>
          </cell>
          <cell r="AM109">
            <v>0.1988</v>
          </cell>
        </row>
        <row r="110">
          <cell r="AL110" t="str">
            <v>Option Year 8ISOverheadGovt</v>
          </cell>
          <cell r="AM110">
            <v>2.23E-2</v>
          </cell>
        </row>
        <row r="111">
          <cell r="AL111" t="str">
            <v>Option Year 8ISMHContr/Govt</v>
          </cell>
          <cell r="AM111">
            <v>2.8000000000000001E-2</v>
          </cell>
        </row>
        <row r="112">
          <cell r="AL112" t="str">
            <v>Option Year 8ISG&amp;AContr/Govt</v>
          </cell>
          <cell r="AM112">
            <v>8.7099999999999997E-2</v>
          </cell>
        </row>
        <row r="113">
          <cell r="AL113" t="str">
            <v>Option Year 8ISTBD1Contr/Govt</v>
          </cell>
          <cell r="AM113">
            <v>0</v>
          </cell>
        </row>
        <row r="114">
          <cell r="AL114" t="str">
            <v>Option Year 8ISTBD2Contr/Govt</v>
          </cell>
          <cell r="AM114">
            <v>0</v>
          </cell>
        </row>
        <row r="115">
          <cell r="AL115" t="str">
            <v>Option Year 8ISTBD3Contr/Govt</v>
          </cell>
          <cell r="AM115">
            <v>0</v>
          </cell>
        </row>
        <row r="120">
          <cell r="AL120" t="str">
            <v>Option Year 9ISPRBContr/Govt</v>
          </cell>
          <cell r="AM120">
            <v>0.31240000000000001</v>
          </cell>
        </row>
        <row r="121">
          <cell r="AL121" t="str">
            <v>Option Year 9ISOverheadContr</v>
          </cell>
          <cell r="AM121">
            <v>0.1988</v>
          </cell>
        </row>
        <row r="122">
          <cell r="AL122" t="str">
            <v>Option Year 9ISOverheadGovt</v>
          </cell>
          <cell r="AM122">
            <v>2.23E-2</v>
          </cell>
        </row>
        <row r="123">
          <cell r="AL123" t="str">
            <v>Option Year 9ISMHContr/Govt</v>
          </cell>
          <cell r="AM123">
            <v>2.8000000000000001E-2</v>
          </cell>
        </row>
        <row r="124">
          <cell r="AL124" t="str">
            <v>Option Year 9ISG&amp;AContr/Govt</v>
          </cell>
          <cell r="AM124">
            <v>8.7099999999999997E-2</v>
          </cell>
        </row>
        <row r="125">
          <cell r="AL125" t="str">
            <v>Option Year 9ISTBD1Contr/Govt</v>
          </cell>
          <cell r="AM125">
            <v>0</v>
          </cell>
        </row>
        <row r="126">
          <cell r="AL126" t="str">
            <v>Option Year 9ISTBD2Contr/Govt</v>
          </cell>
          <cell r="AM126">
            <v>0</v>
          </cell>
        </row>
        <row r="127">
          <cell r="AL127" t="str">
            <v>Option Year 9ISTBD3Contr/Govt</v>
          </cell>
          <cell r="AM127">
            <v>0</v>
          </cell>
        </row>
        <row r="132">
          <cell r="AL132" t="str">
            <v>Option Year 10ISPRBContr/Govt</v>
          </cell>
          <cell r="AM132">
            <v>0.31240000000000001</v>
          </cell>
        </row>
        <row r="133">
          <cell r="AL133" t="str">
            <v>Option Year 10ISOverheadContr</v>
          </cell>
          <cell r="AM133">
            <v>0.1988</v>
          </cell>
        </row>
        <row r="134">
          <cell r="AL134" t="str">
            <v>Option Year 10ISOverheadGovt</v>
          </cell>
          <cell r="AM134">
            <v>2.23E-2</v>
          </cell>
        </row>
        <row r="135">
          <cell r="AL135" t="str">
            <v>Option Year 10ISMHContr/Govt</v>
          </cell>
          <cell r="AM135">
            <v>2.8000000000000001E-2</v>
          </cell>
        </row>
        <row r="136">
          <cell r="AL136" t="str">
            <v>Option Year 10ISG&amp;AContr/Govt</v>
          </cell>
          <cell r="AM136">
            <v>8.7099999999999997E-2</v>
          </cell>
        </row>
        <row r="137">
          <cell r="AL137" t="str">
            <v>Option Year 10ISTBD1Contr/Govt</v>
          </cell>
          <cell r="AM137">
            <v>0</v>
          </cell>
        </row>
        <row r="138">
          <cell r="AL138" t="str">
            <v>Option Year 10ISTBD2Contr/Govt</v>
          </cell>
          <cell r="AM138">
            <v>0</v>
          </cell>
        </row>
        <row r="139">
          <cell r="AL139" t="str">
            <v>Option Year 10ISTBD3Contr/Govt</v>
          </cell>
          <cell r="AM139">
            <v>0</v>
          </cell>
        </row>
        <row r="144">
          <cell r="AL144" t="str">
            <v>Option Year 11ISPRBContr/Govt</v>
          </cell>
          <cell r="AM144">
            <v>0.31240000000000001</v>
          </cell>
        </row>
        <row r="145">
          <cell r="AL145" t="str">
            <v>Option Year 11ISOverheadContr</v>
          </cell>
          <cell r="AM145">
            <v>0.1988</v>
          </cell>
        </row>
        <row r="146">
          <cell r="AL146" t="str">
            <v>Option Year 11ISOverheadGovt</v>
          </cell>
          <cell r="AM146">
            <v>2.23E-2</v>
          </cell>
        </row>
        <row r="147">
          <cell r="AL147" t="str">
            <v>Option Year 11ISMHContr/Govt</v>
          </cell>
          <cell r="AM147">
            <v>2.8000000000000001E-2</v>
          </cell>
        </row>
        <row r="148">
          <cell r="AL148" t="str">
            <v>Option Year 11ISG&amp;AContr/Govt</v>
          </cell>
          <cell r="AM148">
            <v>8.7099999999999997E-2</v>
          </cell>
        </row>
        <row r="149">
          <cell r="AL149" t="str">
            <v>Option Year 11ISTBD1Contr/Govt</v>
          </cell>
          <cell r="AM149">
            <v>0</v>
          </cell>
        </row>
        <row r="150">
          <cell r="AL150" t="str">
            <v>Option Year 11ISTBD2Contr/Govt</v>
          </cell>
          <cell r="AM150">
            <v>0</v>
          </cell>
        </row>
        <row r="151">
          <cell r="AL151" t="str">
            <v>Option Year 11ISTBD3Contr/Govt</v>
          </cell>
          <cell r="AM151">
            <v>0</v>
          </cell>
        </row>
        <row r="156">
          <cell r="AL156" t="str">
            <v>Option Year 12ISPRBContr/Govt</v>
          </cell>
          <cell r="AM156">
            <v>0.31240000000000001</v>
          </cell>
        </row>
        <row r="157">
          <cell r="AL157" t="str">
            <v>Option Year 12ISOverheadContr</v>
          </cell>
          <cell r="AM157">
            <v>0.1988</v>
          </cell>
        </row>
        <row r="158">
          <cell r="AL158" t="str">
            <v>Option Year 12ISOverheadGovt</v>
          </cell>
          <cell r="AM158">
            <v>2.23E-2</v>
          </cell>
        </row>
        <row r="159">
          <cell r="AL159" t="str">
            <v>Option Year 12ISMHContr/Govt</v>
          </cell>
          <cell r="AM159">
            <v>2.8000000000000001E-2</v>
          </cell>
        </row>
        <row r="160">
          <cell r="AL160" t="str">
            <v>Option Year 12ISG&amp;AContr/Govt</v>
          </cell>
          <cell r="AM160">
            <v>8.7099999999999997E-2</v>
          </cell>
        </row>
        <row r="161">
          <cell r="AL161" t="str">
            <v>Option Year 12ISTBD1Contr/Govt</v>
          </cell>
          <cell r="AM161">
            <v>0</v>
          </cell>
        </row>
        <row r="162">
          <cell r="AL162" t="str">
            <v>Option Year 12ISTBD2Contr/Govt</v>
          </cell>
          <cell r="AM162">
            <v>0</v>
          </cell>
        </row>
        <row r="163">
          <cell r="AL163" t="str">
            <v>Option Year 12ISTBD3Contr/Govt</v>
          </cell>
          <cell r="AM163">
            <v>0</v>
          </cell>
        </row>
        <row r="168">
          <cell r="AL168" t="str">
            <v>Option Year 13ISPRBContr/Govt</v>
          </cell>
          <cell r="AM168" t="e">
            <v>#DIV/0!</v>
          </cell>
        </row>
        <row r="169">
          <cell r="AL169" t="str">
            <v>Option Year 13ISOverheadContr</v>
          </cell>
          <cell r="AM169" t="e">
            <v>#DIV/0!</v>
          </cell>
        </row>
        <row r="170">
          <cell r="AL170" t="str">
            <v>Option Year 13ISOverheadGovt</v>
          </cell>
          <cell r="AM170" t="e">
            <v>#DIV/0!</v>
          </cell>
        </row>
        <row r="171">
          <cell r="AL171" t="str">
            <v>Option Year 13ISMHContr/Govt</v>
          </cell>
          <cell r="AM171" t="e">
            <v>#DIV/0!</v>
          </cell>
        </row>
        <row r="172">
          <cell r="AL172" t="str">
            <v>Option Year 13ISG&amp;AContr/Govt</v>
          </cell>
          <cell r="AM172" t="e">
            <v>#DIV/0!</v>
          </cell>
        </row>
        <row r="173">
          <cell r="AL173" t="str">
            <v>Option Year 13ISTBD1Contr/Govt</v>
          </cell>
          <cell r="AM173" t="e">
            <v>#DIV/0!</v>
          </cell>
        </row>
        <row r="174">
          <cell r="AL174" t="str">
            <v>Option Year 13ISTBD2Contr/Govt</v>
          </cell>
          <cell r="AM174" t="e">
            <v>#DIV/0!</v>
          </cell>
        </row>
        <row r="175">
          <cell r="AL175" t="str">
            <v>Option Year 13ISTBD3Contr/Govt</v>
          </cell>
          <cell r="AM175" t="e">
            <v>#DIV/0!</v>
          </cell>
        </row>
        <row r="180">
          <cell r="AL180" t="str">
            <v>Option Year 14ISPRBContr/Govt</v>
          </cell>
          <cell r="AM180" t="e">
            <v>#DIV/0!</v>
          </cell>
        </row>
        <row r="181">
          <cell r="AL181" t="str">
            <v>Option Year 14ISOverheadContr</v>
          </cell>
          <cell r="AM181" t="e">
            <v>#DIV/0!</v>
          </cell>
        </row>
        <row r="182">
          <cell r="AL182" t="str">
            <v>Option Year 14ISOverheadGovt</v>
          </cell>
          <cell r="AM182" t="e">
            <v>#DIV/0!</v>
          </cell>
        </row>
        <row r="183">
          <cell r="AL183" t="str">
            <v>Option Year 14ISMHContr/Govt</v>
          </cell>
          <cell r="AM183" t="e">
            <v>#DIV/0!</v>
          </cell>
        </row>
        <row r="184">
          <cell r="AL184" t="str">
            <v>Option Year 14ISG&amp;AContr/Govt</v>
          </cell>
          <cell r="AM184" t="e">
            <v>#DIV/0!</v>
          </cell>
        </row>
        <row r="185">
          <cell r="AL185" t="str">
            <v>Option Year 14ISTBD1Contr/Govt</v>
          </cell>
          <cell r="AM185" t="e">
            <v>#DIV/0!</v>
          </cell>
        </row>
        <row r="186">
          <cell r="AL186" t="str">
            <v>Option Year 14ISTBD2Contr/Govt</v>
          </cell>
          <cell r="AM186" t="e">
            <v>#DIV/0!</v>
          </cell>
        </row>
        <row r="187">
          <cell r="AL187" t="str">
            <v>Option Year 14ISTBD3Contr/Govt</v>
          </cell>
          <cell r="AM187" t="e">
            <v>#DIV/0!</v>
          </cell>
        </row>
        <row r="193">
          <cell r="AL193" t="str">
            <v>LOOKUP TABLE - DO NOT DELETE</v>
          </cell>
        </row>
        <row r="194">
          <cell r="AL194" t="str">
            <v>Base YearESDPRBContr/Govt</v>
          </cell>
          <cell r="AM194">
            <v>0.35099999999999998</v>
          </cell>
        </row>
        <row r="195">
          <cell r="AL195" t="str">
            <v>Base YearESDOverheadContr</v>
          </cell>
          <cell r="AM195">
            <v>0.17249999999999999</v>
          </cell>
        </row>
        <row r="196">
          <cell r="AL196" t="str">
            <v>Base YearESDOverheadGovt</v>
          </cell>
          <cell r="AM196">
            <v>3.1E-2</v>
          </cell>
        </row>
        <row r="197">
          <cell r="AL197" t="str">
            <v>Base YearESDMHContr/Govt</v>
          </cell>
          <cell r="AM197">
            <v>3.0300000000000001E-2</v>
          </cell>
        </row>
        <row r="198">
          <cell r="AL198" t="str">
            <v>Base YearESDG&amp;AContr/Govt</v>
          </cell>
          <cell r="AM198">
            <v>9.3100000000000002E-2</v>
          </cell>
        </row>
        <row r="199">
          <cell r="AL199" t="str">
            <v>Base YearESDTBD1Contr/Govt</v>
          </cell>
          <cell r="AM199">
            <v>0</v>
          </cell>
        </row>
        <row r="200">
          <cell r="AL200" t="str">
            <v>Base YearESDTBD2Contr/Govt</v>
          </cell>
          <cell r="AM200">
            <v>0</v>
          </cell>
        </row>
        <row r="201">
          <cell r="AL201" t="str">
            <v>Base YearESDTBD3Contr/Govt</v>
          </cell>
          <cell r="AM201">
            <v>0</v>
          </cell>
        </row>
        <row r="206">
          <cell r="AL206" t="str">
            <v>Option Year 1ESDPRBContr/Govt</v>
          </cell>
          <cell r="AM206">
            <v>0.35099999999999998</v>
          </cell>
        </row>
        <row r="207">
          <cell r="AL207" t="str">
            <v>Option Year 1ESDOverheadContr</v>
          </cell>
          <cell r="AM207">
            <v>0.17249999999999999</v>
          </cell>
        </row>
        <row r="208">
          <cell r="AL208" t="str">
            <v>Option Year 1ESDOverheadGovt</v>
          </cell>
          <cell r="AM208">
            <v>3.1E-2</v>
          </cell>
        </row>
        <row r="209">
          <cell r="AL209" t="str">
            <v>Option Year 1ESDMHContr/Govt</v>
          </cell>
          <cell r="AM209">
            <v>2.93E-2</v>
          </cell>
        </row>
        <row r="210">
          <cell r="AL210" t="str">
            <v>Option Year 1ESDG&amp;AContr/Govt</v>
          </cell>
          <cell r="AM210">
            <v>9.0499999999999997E-2</v>
          </cell>
        </row>
        <row r="211">
          <cell r="AL211" t="str">
            <v>Option Year 1ESDTBD1Contr/Govt</v>
          </cell>
          <cell r="AM211">
            <v>0</v>
          </cell>
        </row>
        <row r="212">
          <cell r="AL212" t="str">
            <v>Option Year 1ESDTBD2Contr/Govt</v>
          </cell>
          <cell r="AM212">
            <v>0</v>
          </cell>
        </row>
        <row r="213">
          <cell r="AL213" t="str">
            <v>Option Year 1ESDTBD3Contr/Govt</v>
          </cell>
          <cell r="AM213">
            <v>0</v>
          </cell>
        </row>
        <row r="218">
          <cell r="AL218" t="str">
            <v>Option Year 2ESDPRBContr/Govt</v>
          </cell>
          <cell r="AM218">
            <v>0.35099999999999998</v>
          </cell>
        </row>
        <row r="219">
          <cell r="AL219" t="str">
            <v>Option Year 2ESDOverheadContr</v>
          </cell>
          <cell r="AM219">
            <v>0.17249999999999999</v>
          </cell>
        </row>
        <row r="220">
          <cell r="AL220" t="str">
            <v>Option Year 2ESDOverheadGovt</v>
          </cell>
          <cell r="AM220">
            <v>3.1E-2</v>
          </cell>
        </row>
        <row r="221">
          <cell r="AL221" t="str">
            <v>Option Year 2ESDMHContr/Govt</v>
          </cell>
          <cell r="AM221">
            <v>2.8400000000000002E-2</v>
          </cell>
        </row>
        <row r="222">
          <cell r="AL222" t="str">
            <v>Option Year 2ESDG&amp;AContr/Govt</v>
          </cell>
          <cell r="AM222">
            <v>8.7999999999999995E-2</v>
          </cell>
        </row>
        <row r="223">
          <cell r="AL223" t="str">
            <v>Option Year 2ESDTBD1Contr/Govt</v>
          </cell>
          <cell r="AM223">
            <v>0</v>
          </cell>
        </row>
        <row r="224">
          <cell r="AL224" t="str">
            <v>Option Year 2ESDTBD2Contr/Govt</v>
          </cell>
          <cell r="AM224">
            <v>0</v>
          </cell>
        </row>
        <row r="225">
          <cell r="AL225" t="str">
            <v>Option Year 2ESDTBD3Contr/Govt</v>
          </cell>
          <cell r="AM225">
            <v>0</v>
          </cell>
        </row>
        <row r="230">
          <cell r="AL230" t="str">
            <v>Option Year 3ESDPRBContr/Govt</v>
          </cell>
          <cell r="AM230">
            <v>0.35099999999999998</v>
          </cell>
        </row>
        <row r="231">
          <cell r="AL231" t="str">
            <v>Option Year 3ESDOverheadContr</v>
          </cell>
          <cell r="AM231">
            <v>0.17249999999999999</v>
          </cell>
        </row>
        <row r="232">
          <cell r="AL232" t="str">
            <v>Option Year 3ESDOverheadGovt</v>
          </cell>
          <cell r="AM232">
            <v>3.1E-2</v>
          </cell>
        </row>
        <row r="233">
          <cell r="AL233" t="str">
            <v>Option Year 3ESDMHContr/Govt</v>
          </cell>
          <cell r="AM233">
            <v>2.76E-2</v>
          </cell>
        </row>
        <row r="234">
          <cell r="AL234" t="str">
            <v>Option Year 3ESDG&amp;AContr/Govt</v>
          </cell>
          <cell r="AM234">
            <v>8.5699999999999998E-2</v>
          </cell>
        </row>
        <row r="235">
          <cell r="AL235" t="str">
            <v>Option Year 3ESDTBD1Contr/Govt</v>
          </cell>
          <cell r="AM235">
            <v>0</v>
          </cell>
        </row>
        <row r="236">
          <cell r="AL236" t="str">
            <v>Option Year 3ESDTBD2Contr/Govt</v>
          </cell>
          <cell r="AM236">
            <v>0</v>
          </cell>
        </row>
        <row r="237">
          <cell r="AL237" t="str">
            <v>Option Year 3ESDTBD3Contr/Govt</v>
          </cell>
          <cell r="AM237">
            <v>0</v>
          </cell>
        </row>
        <row r="242">
          <cell r="AL242" t="str">
            <v>Option Year 4ESDPRBContr/Govt</v>
          </cell>
          <cell r="AM242">
            <v>0.35099999999999998</v>
          </cell>
        </row>
        <row r="243">
          <cell r="AL243" t="str">
            <v>Option Year 4ESDOverheadContr</v>
          </cell>
          <cell r="AM243">
            <v>0.17249999999999999</v>
          </cell>
        </row>
        <row r="244">
          <cell r="AL244" t="str">
            <v>Option Year 4ESDOverheadGovt</v>
          </cell>
          <cell r="AM244">
            <v>3.1E-2</v>
          </cell>
        </row>
        <row r="245">
          <cell r="AL245" t="str">
            <v>Option Year 4ESDMHContr/Govt</v>
          </cell>
          <cell r="AM245">
            <v>2.76E-2</v>
          </cell>
        </row>
        <row r="246">
          <cell r="AL246" t="str">
            <v>Option Year 4ESDG&amp;AContr/Govt</v>
          </cell>
          <cell r="AM246">
            <v>8.5699999999999998E-2</v>
          </cell>
        </row>
        <row r="247">
          <cell r="AL247" t="str">
            <v>Option Year 4ESDTBD1Contr/Govt</v>
          </cell>
          <cell r="AM247">
            <v>0</v>
          </cell>
        </row>
        <row r="248">
          <cell r="AL248" t="str">
            <v>Option Year 4ESDTBD2Contr/Govt</v>
          </cell>
          <cell r="AM248">
            <v>0</v>
          </cell>
        </row>
        <row r="249">
          <cell r="AL249" t="str">
            <v>Option Year 4ESDTBD3Contr/Govt</v>
          </cell>
          <cell r="AM249">
            <v>0</v>
          </cell>
        </row>
        <row r="254">
          <cell r="AL254" t="str">
            <v>Option Year 5ESDPRBContr/Govt</v>
          </cell>
          <cell r="AM254">
            <v>0.35099999999999998</v>
          </cell>
        </row>
        <row r="255">
          <cell r="AL255" t="str">
            <v>Option Year 5ESDOverheadContr</v>
          </cell>
          <cell r="AM255">
            <v>0.17249999999999999</v>
          </cell>
        </row>
        <row r="256">
          <cell r="AL256" t="str">
            <v>Option Year 5ESDOverheadGovt</v>
          </cell>
          <cell r="AM256">
            <v>3.1E-2</v>
          </cell>
        </row>
        <row r="257">
          <cell r="AL257" t="str">
            <v>Option Year 5ESDMHContr/Govt</v>
          </cell>
          <cell r="AM257">
            <v>2.76E-2</v>
          </cell>
        </row>
        <row r="258">
          <cell r="AL258" t="str">
            <v>Option Year 5ESDG&amp;AContr/Govt</v>
          </cell>
          <cell r="AM258">
            <v>8.5699999999999998E-2</v>
          </cell>
        </row>
        <row r="259">
          <cell r="AL259" t="str">
            <v>Option Year 5ESDTBD1Contr/Govt</v>
          </cell>
          <cell r="AM259">
            <v>0</v>
          </cell>
        </row>
        <row r="260">
          <cell r="AL260" t="str">
            <v>Option Year 5ESDTBD2Contr/Govt</v>
          </cell>
          <cell r="AM260">
            <v>0</v>
          </cell>
        </row>
        <row r="261">
          <cell r="AL261" t="str">
            <v>Option Year 5ESDTBD3Contr/Govt</v>
          </cell>
          <cell r="AM261">
            <v>0</v>
          </cell>
        </row>
        <row r="266">
          <cell r="AL266" t="str">
            <v>Option Year 6ESDPRBContr/Govt</v>
          </cell>
          <cell r="AM266">
            <v>0.35099999999999998</v>
          </cell>
        </row>
        <row r="267">
          <cell r="AL267" t="str">
            <v>Option Year 6ESDOverheadContr</v>
          </cell>
          <cell r="AM267">
            <v>0.17249999999999999</v>
          </cell>
        </row>
        <row r="268">
          <cell r="AL268" t="str">
            <v>Option Year 6ESDOverheadGovt</v>
          </cell>
          <cell r="AM268">
            <v>3.1E-2</v>
          </cell>
        </row>
        <row r="269">
          <cell r="AL269" t="str">
            <v>Option Year 6ESDMHContr/Govt</v>
          </cell>
          <cell r="AM269">
            <v>2.76E-2</v>
          </cell>
        </row>
        <row r="270">
          <cell r="AL270" t="str">
            <v>Option Year 6ESDG&amp;AContr/Govt</v>
          </cell>
          <cell r="AM270">
            <v>8.5699999999999998E-2</v>
          </cell>
        </row>
        <row r="271">
          <cell r="AL271" t="str">
            <v>Option Year 6ESDTBD1Contr/Govt</v>
          </cell>
          <cell r="AM271">
            <v>0</v>
          </cell>
        </row>
        <row r="272">
          <cell r="AL272" t="str">
            <v>Option Year 6ESDTBD2Contr/Govt</v>
          </cell>
          <cell r="AM272">
            <v>0</v>
          </cell>
        </row>
        <row r="273">
          <cell r="AL273" t="str">
            <v>Option Year 6ESDTBD3Contr/Govt</v>
          </cell>
          <cell r="AM273">
            <v>0</v>
          </cell>
        </row>
        <row r="278">
          <cell r="AL278" t="str">
            <v>Option Year 7ESDPRBContr/Govt</v>
          </cell>
          <cell r="AM278">
            <v>0</v>
          </cell>
        </row>
        <row r="279">
          <cell r="AL279" t="str">
            <v>Option Year 7ESDOverheadContr</v>
          </cell>
          <cell r="AM279">
            <v>0</v>
          </cell>
        </row>
        <row r="280">
          <cell r="AL280" t="str">
            <v>Option Year 7ESDOverheadGovt</v>
          </cell>
          <cell r="AM280">
            <v>0</v>
          </cell>
        </row>
        <row r="281">
          <cell r="AL281" t="str">
            <v>Option Year 7ESDMHContr/Govt</v>
          </cell>
          <cell r="AM281">
            <v>0</v>
          </cell>
        </row>
        <row r="282">
          <cell r="AL282" t="str">
            <v>Option Year 7ESDG&amp;AContr/Govt</v>
          </cell>
          <cell r="AM282">
            <v>0</v>
          </cell>
        </row>
        <row r="283">
          <cell r="AL283" t="str">
            <v>Option Year 7ESDTBD1Contr/Govt</v>
          </cell>
          <cell r="AM283">
            <v>0</v>
          </cell>
        </row>
        <row r="284">
          <cell r="AL284" t="str">
            <v>Option Year 7ESDTBD2Contr/Govt</v>
          </cell>
          <cell r="AM284">
            <v>0</v>
          </cell>
        </row>
        <row r="285">
          <cell r="AL285" t="str">
            <v>Option Year 7ESDTBD3Contr/Govt</v>
          </cell>
          <cell r="AM285">
            <v>0</v>
          </cell>
        </row>
        <row r="290">
          <cell r="AL290" t="str">
            <v>Option Year 8ESDPRBContr/Govt</v>
          </cell>
          <cell r="AM290">
            <v>0</v>
          </cell>
        </row>
        <row r="291">
          <cell r="AL291" t="str">
            <v>Option Year 8ESDOverheadContr</v>
          </cell>
          <cell r="AM291">
            <v>0</v>
          </cell>
        </row>
        <row r="292">
          <cell r="AL292" t="str">
            <v>Option Year 8ESDOverheadGovt</v>
          </cell>
          <cell r="AM292">
            <v>0</v>
          </cell>
        </row>
        <row r="293">
          <cell r="AL293" t="str">
            <v>Option Year 8ESDMHContr/Govt</v>
          </cell>
          <cell r="AM293">
            <v>0</v>
          </cell>
        </row>
        <row r="294">
          <cell r="AL294" t="str">
            <v>Option Year 8ESDG&amp;AContr/Govt</v>
          </cell>
          <cell r="AM294">
            <v>0</v>
          </cell>
        </row>
        <row r="295">
          <cell r="AL295" t="str">
            <v>Option Year 8ESDTBD1Contr/Govt</v>
          </cell>
          <cell r="AM295">
            <v>0</v>
          </cell>
        </row>
        <row r="296">
          <cell r="AL296" t="str">
            <v>Option Year 8ESDTBD2Contr/Govt</v>
          </cell>
          <cell r="AM296">
            <v>0</v>
          </cell>
        </row>
        <row r="297">
          <cell r="AL297" t="str">
            <v>Option Year 8ESDTBD3Contr/Govt</v>
          </cell>
          <cell r="AM297">
            <v>0</v>
          </cell>
        </row>
        <row r="302">
          <cell r="AL302" t="str">
            <v>Option Year 9ESDPRBContr/Govt</v>
          </cell>
          <cell r="AM302">
            <v>0</v>
          </cell>
        </row>
        <row r="303">
          <cell r="AL303" t="str">
            <v>Option Year 9ESDOverheadContr</v>
          </cell>
          <cell r="AM303">
            <v>0</v>
          </cell>
        </row>
        <row r="304">
          <cell r="AL304" t="str">
            <v>Option Year 9ESDOverheadGovt</v>
          </cell>
          <cell r="AM304">
            <v>0</v>
          </cell>
        </row>
        <row r="305">
          <cell r="AL305" t="str">
            <v>Option Year 9ESDMHContr/Govt</v>
          </cell>
          <cell r="AM305">
            <v>0</v>
          </cell>
        </row>
        <row r="306">
          <cell r="AL306" t="str">
            <v>Option Year 9ESDG&amp;AContr/Govt</v>
          </cell>
          <cell r="AM306">
            <v>0</v>
          </cell>
        </row>
        <row r="307">
          <cell r="AL307" t="str">
            <v>Option Year 9ESDTBD1Contr/Govt</v>
          </cell>
          <cell r="AM307">
            <v>0</v>
          </cell>
        </row>
        <row r="308">
          <cell r="AL308" t="str">
            <v>Option Year 9ESDTBD2Contr/Govt</v>
          </cell>
          <cell r="AM308">
            <v>0</v>
          </cell>
        </row>
        <row r="309">
          <cell r="AL309" t="str">
            <v>Option Year 9ESDTBD3Contr/Govt</v>
          </cell>
          <cell r="AM309">
            <v>0</v>
          </cell>
        </row>
        <row r="314">
          <cell r="AL314" t="str">
            <v>Option Year 10ESDPRBContr/Govt</v>
          </cell>
          <cell r="AM314">
            <v>0</v>
          </cell>
        </row>
        <row r="315">
          <cell r="AL315" t="str">
            <v>Option Year 10ESDOverheadContr</v>
          </cell>
          <cell r="AM315">
            <v>0</v>
          </cell>
        </row>
        <row r="316">
          <cell r="AL316" t="str">
            <v>Option Year 10ESDOverheadGovt</v>
          </cell>
          <cell r="AM316">
            <v>0</v>
          </cell>
        </row>
        <row r="317">
          <cell r="AL317" t="str">
            <v>Option Year 10ESDMHContr/Govt</v>
          </cell>
          <cell r="AM317">
            <v>0</v>
          </cell>
        </row>
        <row r="318">
          <cell r="AL318" t="str">
            <v>Option Year 10ESDG&amp;AContr/Govt</v>
          </cell>
          <cell r="AM318">
            <v>0</v>
          </cell>
        </row>
        <row r="319">
          <cell r="AL319" t="str">
            <v>Option Year 10ESDTBD1Contr/Govt</v>
          </cell>
          <cell r="AM319">
            <v>0</v>
          </cell>
        </row>
        <row r="320">
          <cell r="AL320" t="str">
            <v>Option Year 10ESDTBD2Contr/Govt</v>
          </cell>
          <cell r="AM320">
            <v>0</v>
          </cell>
        </row>
        <row r="321">
          <cell r="AL321" t="str">
            <v>Option Year 10ESDTBD3Contr/Govt</v>
          </cell>
          <cell r="AM321">
            <v>0</v>
          </cell>
        </row>
        <row r="326">
          <cell r="AL326" t="str">
            <v>Option Year 11ESDPRBContr/Govt</v>
          </cell>
          <cell r="AM326">
            <v>0</v>
          </cell>
        </row>
        <row r="327">
          <cell r="AL327" t="str">
            <v>Option Year 11ESDOverheadContr</v>
          </cell>
          <cell r="AM327">
            <v>0</v>
          </cell>
        </row>
        <row r="328">
          <cell r="AL328" t="str">
            <v>Option Year 11ESDOverheadGovt</v>
          </cell>
          <cell r="AM328">
            <v>0</v>
          </cell>
        </row>
        <row r="329">
          <cell r="AL329" t="str">
            <v>Option Year 11ESDMHContr/Govt</v>
          </cell>
          <cell r="AM329">
            <v>0</v>
          </cell>
        </row>
        <row r="330">
          <cell r="AL330" t="str">
            <v>Option Year 11ESDG&amp;AContr/Govt</v>
          </cell>
          <cell r="AM330">
            <v>0</v>
          </cell>
        </row>
        <row r="331">
          <cell r="AL331" t="str">
            <v>Option Year 11ESDTBD1Contr/Govt</v>
          </cell>
          <cell r="AM331">
            <v>0</v>
          </cell>
        </row>
        <row r="332">
          <cell r="AL332" t="str">
            <v>Option Year 11ESDTBD2Contr/Govt</v>
          </cell>
          <cell r="AM332">
            <v>0</v>
          </cell>
        </row>
        <row r="333">
          <cell r="AL333" t="str">
            <v>Option Year 11ESDTBD3Contr/Govt</v>
          </cell>
          <cell r="AM333">
            <v>0</v>
          </cell>
        </row>
        <row r="338">
          <cell r="AL338" t="str">
            <v>Option Year 12ESDPRBContr/Govt</v>
          </cell>
          <cell r="AM338">
            <v>0</v>
          </cell>
        </row>
        <row r="339">
          <cell r="AL339" t="str">
            <v>Option Year 12ESDOverheadContr</v>
          </cell>
          <cell r="AM339">
            <v>0</v>
          </cell>
        </row>
        <row r="340">
          <cell r="AL340" t="str">
            <v>Option Year 12ESDOverheadGovt</v>
          </cell>
          <cell r="AM340">
            <v>0</v>
          </cell>
        </row>
        <row r="341">
          <cell r="AL341" t="str">
            <v>Option Year 12ESDMHContr/Govt</v>
          </cell>
          <cell r="AM341">
            <v>0</v>
          </cell>
        </row>
        <row r="342">
          <cell r="AL342" t="str">
            <v>Option Year 12ESDG&amp;AContr/Govt</v>
          </cell>
          <cell r="AM342">
            <v>0</v>
          </cell>
        </row>
        <row r="343">
          <cell r="AL343" t="str">
            <v>Option Year 12ESDTBD1Contr/Govt</v>
          </cell>
          <cell r="AM343">
            <v>0</v>
          </cell>
        </row>
        <row r="344">
          <cell r="AL344" t="str">
            <v>Option Year 12ESDTBD2Contr/Govt</v>
          </cell>
          <cell r="AM344">
            <v>0</v>
          </cell>
        </row>
        <row r="345">
          <cell r="AL345" t="str">
            <v>Option Year 12ESDTBD3Contr/Govt</v>
          </cell>
          <cell r="AM345">
            <v>0</v>
          </cell>
        </row>
        <row r="350">
          <cell r="AL350" t="str">
            <v>Option Year 13ESDPRBContr/Govt</v>
          </cell>
          <cell r="AM350" t="e">
            <v>#DIV/0!</v>
          </cell>
        </row>
        <row r="351">
          <cell r="AL351" t="str">
            <v>Option Year 13ESDOverheadContr</v>
          </cell>
          <cell r="AM351" t="e">
            <v>#DIV/0!</v>
          </cell>
        </row>
        <row r="352">
          <cell r="AL352" t="str">
            <v>Option Year 13ESDOverheadGovt</v>
          </cell>
          <cell r="AM352" t="e">
            <v>#DIV/0!</v>
          </cell>
        </row>
        <row r="353">
          <cell r="AL353" t="str">
            <v>Option Year 13ESDMHContr/Govt</v>
          </cell>
          <cell r="AM353" t="e">
            <v>#DIV/0!</v>
          </cell>
        </row>
        <row r="354">
          <cell r="AL354" t="str">
            <v>Option Year 13ESDG&amp;AContr/Govt</v>
          </cell>
          <cell r="AM354" t="e">
            <v>#DIV/0!</v>
          </cell>
        </row>
        <row r="355">
          <cell r="AL355" t="str">
            <v>Option Year 13ESDTBD1Contr/Govt</v>
          </cell>
          <cell r="AM355" t="e">
            <v>#DIV/0!</v>
          </cell>
        </row>
        <row r="356">
          <cell r="AL356" t="str">
            <v>Option Year 13ESDTBD2Contr/Govt</v>
          </cell>
          <cell r="AM356" t="e">
            <v>#DIV/0!</v>
          </cell>
        </row>
        <row r="357">
          <cell r="AL357" t="str">
            <v>Option Year 13ESDTBD3Contr/Govt</v>
          </cell>
          <cell r="AM357" t="e">
            <v>#DIV/0!</v>
          </cell>
        </row>
        <row r="362">
          <cell r="AL362" t="str">
            <v>Option Year 14ESDPRBContr/Govt</v>
          </cell>
          <cell r="AM362" t="e">
            <v>#DIV/0!</v>
          </cell>
        </row>
        <row r="363">
          <cell r="AL363" t="str">
            <v>Option Year 14ESDOverheadContr</v>
          </cell>
          <cell r="AM363" t="e">
            <v>#DIV/0!</v>
          </cell>
        </row>
        <row r="364">
          <cell r="AL364" t="str">
            <v>Option Year 14ESDOverheadGovt</v>
          </cell>
          <cell r="AM364" t="e">
            <v>#DIV/0!</v>
          </cell>
        </row>
        <row r="365">
          <cell r="AL365" t="str">
            <v>Option Year 14ESDMHContr/Govt</v>
          </cell>
          <cell r="AM365" t="e">
            <v>#DIV/0!</v>
          </cell>
        </row>
        <row r="366">
          <cell r="AL366" t="str">
            <v>Option Year 14ESDG&amp;AContr/Govt</v>
          </cell>
          <cell r="AM366" t="e">
            <v>#DIV/0!</v>
          </cell>
        </row>
        <row r="367">
          <cell r="AL367" t="str">
            <v>Option Year 14ESDTBD1Contr/Govt</v>
          </cell>
          <cell r="AM367" t="e">
            <v>#DIV/0!</v>
          </cell>
        </row>
        <row r="368">
          <cell r="AL368" t="str">
            <v>Option Year 14ESDTBD2Contr/Govt</v>
          </cell>
          <cell r="AM368" t="e">
            <v>#DIV/0!</v>
          </cell>
        </row>
        <row r="369">
          <cell r="AL369" t="str">
            <v>Option Year 14ESDTBD3Contr/Govt</v>
          </cell>
          <cell r="AM369" t="e">
            <v>#DIV/0!</v>
          </cell>
        </row>
        <row r="375">
          <cell r="AL375" t="str">
            <v>LOOKUP TABLE - DO NOT DELETE</v>
          </cell>
        </row>
        <row r="376">
          <cell r="AL376" t="str">
            <v>Base YearESDPRBContr/Govt</v>
          </cell>
          <cell r="AM376">
            <v>0.35099999999999998</v>
          </cell>
        </row>
        <row r="377">
          <cell r="AL377" t="str">
            <v>Base YearESDOverheadContr</v>
          </cell>
          <cell r="AM377">
            <v>0.17249999999999999</v>
          </cell>
        </row>
        <row r="378">
          <cell r="AL378" t="str">
            <v>Base YearESDOverheadGovt</v>
          </cell>
          <cell r="AM378">
            <v>3.1E-2</v>
          </cell>
        </row>
        <row r="379">
          <cell r="AL379" t="str">
            <v>Base YearESDMHContr/Govt</v>
          </cell>
          <cell r="AM379">
            <v>3.0300000000000001E-2</v>
          </cell>
        </row>
        <row r="380">
          <cell r="AL380" t="str">
            <v>Base YearESDG&amp;AContr/Govt</v>
          </cell>
          <cell r="AM380">
            <v>9.3100000000000002E-2</v>
          </cell>
        </row>
        <row r="381">
          <cell r="AL381" t="str">
            <v>Base YearESDTBD1Contr/Govt</v>
          </cell>
          <cell r="AM381">
            <v>0</v>
          </cell>
        </row>
        <row r="382">
          <cell r="AL382" t="str">
            <v>Base YearESDTBD2Contr/Govt</v>
          </cell>
          <cell r="AM382">
            <v>0</v>
          </cell>
        </row>
        <row r="383">
          <cell r="AL383" t="str">
            <v>Base YearESDTBD3Contr/Govt</v>
          </cell>
          <cell r="AM383">
            <v>0</v>
          </cell>
        </row>
        <row r="388">
          <cell r="AL388" t="str">
            <v>Option Year 1ESDPRBContr/Govt</v>
          </cell>
          <cell r="AM388">
            <v>0.35099999999999998</v>
          </cell>
        </row>
        <row r="389">
          <cell r="AL389" t="str">
            <v>Option Year 1ESDOverheadContr</v>
          </cell>
          <cell r="AM389">
            <v>0.17249999999999999</v>
          </cell>
        </row>
        <row r="390">
          <cell r="AL390" t="str">
            <v>Option Year 1ESDOverheadGovt</v>
          </cell>
          <cell r="AM390">
            <v>3.1E-2</v>
          </cell>
        </row>
        <row r="391">
          <cell r="AL391" t="str">
            <v>Option Year 1ESDMHContr/Govt</v>
          </cell>
          <cell r="AM391">
            <v>2.93E-2</v>
          </cell>
        </row>
        <row r="392">
          <cell r="AL392" t="str">
            <v>Option Year 1ESDG&amp;AContr/Govt</v>
          </cell>
          <cell r="AM392">
            <v>9.0499999999999997E-2</v>
          </cell>
        </row>
        <row r="393">
          <cell r="AL393" t="str">
            <v>Option Year 1ESDTBD1Contr/Govt</v>
          </cell>
          <cell r="AM393">
            <v>0</v>
          </cell>
        </row>
        <row r="394">
          <cell r="AL394" t="str">
            <v>Option Year 1ESDTBD2Contr/Govt</v>
          </cell>
          <cell r="AM394">
            <v>0</v>
          </cell>
        </row>
        <row r="395">
          <cell r="AL395" t="str">
            <v>Option Year 1ESDTBD3Contr/Govt</v>
          </cell>
          <cell r="AM395">
            <v>0</v>
          </cell>
        </row>
        <row r="400">
          <cell r="AL400" t="str">
            <v>Option Year 2ESDPRBContr/Govt</v>
          </cell>
          <cell r="AM400">
            <v>0.35099999999999998</v>
          </cell>
        </row>
        <row r="401">
          <cell r="AL401" t="str">
            <v>Option Year 2ESDOverheadContr</v>
          </cell>
          <cell r="AM401">
            <v>0.17249999999999999</v>
          </cell>
        </row>
        <row r="402">
          <cell r="AL402" t="str">
            <v>Option Year 2ESDOverheadGovt</v>
          </cell>
          <cell r="AM402">
            <v>3.1E-2</v>
          </cell>
        </row>
        <row r="403">
          <cell r="AL403" t="str">
            <v>Option Year 2ESDMHContr/Govt</v>
          </cell>
          <cell r="AM403">
            <v>2.8400000000000002E-2</v>
          </cell>
        </row>
        <row r="404">
          <cell r="AL404" t="str">
            <v>Option Year 2ESDG&amp;AContr/Govt</v>
          </cell>
          <cell r="AM404">
            <v>8.7999999999999995E-2</v>
          </cell>
        </row>
        <row r="405">
          <cell r="AL405" t="str">
            <v>Option Year 2ESDTBD1Contr/Govt</v>
          </cell>
          <cell r="AM405">
            <v>0</v>
          </cell>
        </row>
        <row r="406">
          <cell r="AL406" t="str">
            <v>Option Year 2ESDTBD2Contr/Govt</v>
          </cell>
          <cell r="AM406">
            <v>0</v>
          </cell>
        </row>
        <row r="407">
          <cell r="AL407" t="str">
            <v>Option Year 2ESDTBD3Contr/Govt</v>
          </cell>
          <cell r="AM407">
            <v>0</v>
          </cell>
        </row>
        <row r="412">
          <cell r="AL412" t="str">
            <v>Option Year 3ESDPRBContr/Govt</v>
          </cell>
          <cell r="AM412">
            <v>0.35099999999999998</v>
          </cell>
        </row>
        <row r="413">
          <cell r="AL413" t="str">
            <v>Option Year 3ESDOverheadContr</v>
          </cell>
          <cell r="AM413">
            <v>0.17249999999999999</v>
          </cell>
        </row>
        <row r="414">
          <cell r="AL414" t="str">
            <v>Option Year 3ESDOverheadGovt</v>
          </cell>
          <cell r="AM414">
            <v>3.1E-2</v>
          </cell>
        </row>
        <row r="415">
          <cell r="AL415" t="str">
            <v>Option Year 3ESDMHContr/Govt</v>
          </cell>
          <cell r="AM415">
            <v>2.76E-2</v>
          </cell>
        </row>
        <row r="416">
          <cell r="AL416" t="str">
            <v>Option Year 3ESDG&amp;AContr/Govt</v>
          </cell>
          <cell r="AM416">
            <v>8.5699999999999998E-2</v>
          </cell>
        </row>
        <row r="417">
          <cell r="AL417" t="str">
            <v>Option Year 3ESDTBD1Contr/Govt</v>
          </cell>
          <cell r="AM417">
            <v>0</v>
          </cell>
        </row>
        <row r="418">
          <cell r="AL418" t="str">
            <v>Option Year 3ESDTBD2Contr/Govt</v>
          </cell>
          <cell r="AM418">
            <v>0</v>
          </cell>
        </row>
        <row r="419">
          <cell r="AL419" t="str">
            <v>Option Year 3ESDTBD3Contr/Govt</v>
          </cell>
          <cell r="AM419">
            <v>0</v>
          </cell>
        </row>
        <row r="424">
          <cell r="AL424" t="str">
            <v>Option Year 4ESDPRBContr/Govt</v>
          </cell>
          <cell r="AM424">
            <v>0.35099999999999998</v>
          </cell>
        </row>
        <row r="425">
          <cell r="AL425" t="str">
            <v>Option Year 4ESDOverheadContr</v>
          </cell>
          <cell r="AM425">
            <v>0.17249999999999999</v>
          </cell>
        </row>
        <row r="426">
          <cell r="AL426" t="str">
            <v>Option Year 4ESDOverheadGovt</v>
          </cell>
          <cell r="AM426">
            <v>3.1E-2</v>
          </cell>
        </row>
        <row r="427">
          <cell r="AL427" t="str">
            <v>Option Year 4ESDMHContr/Govt</v>
          </cell>
          <cell r="AM427">
            <v>2.76E-2</v>
          </cell>
        </row>
        <row r="428">
          <cell r="AL428" t="str">
            <v>Option Year 4ESDG&amp;AContr/Govt</v>
          </cell>
          <cell r="AM428">
            <v>8.5699999999999998E-2</v>
          </cell>
        </row>
        <row r="429">
          <cell r="AL429" t="str">
            <v>Option Year 4ESDTBD1Contr/Govt</v>
          </cell>
          <cell r="AM429">
            <v>0</v>
          </cell>
        </row>
        <row r="430">
          <cell r="AL430" t="str">
            <v>Option Year 4ESDTBD2Contr/Govt</v>
          </cell>
          <cell r="AM430">
            <v>0</v>
          </cell>
        </row>
        <row r="431">
          <cell r="AL431" t="str">
            <v>Option Year 4ESDTBD3Contr/Govt</v>
          </cell>
          <cell r="AM431">
            <v>0</v>
          </cell>
        </row>
        <row r="436">
          <cell r="AL436" t="str">
            <v>Option Year 5ESDPRBContr/Govt</v>
          </cell>
          <cell r="AM436">
            <v>0.35099999999999998</v>
          </cell>
        </row>
        <row r="437">
          <cell r="AL437" t="str">
            <v>Option Year 5ESDOverheadContr</v>
          </cell>
          <cell r="AM437">
            <v>0.17249999999999999</v>
          </cell>
        </row>
        <row r="438">
          <cell r="AL438" t="str">
            <v>Option Year 5ESDOverheadGovt</v>
          </cell>
          <cell r="AM438">
            <v>3.1E-2</v>
          </cell>
        </row>
        <row r="439">
          <cell r="AL439" t="str">
            <v>Option Year 5ESDMHContr/Govt</v>
          </cell>
          <cell r="AM439">
            <v>2.76E-2</v>
          </cell>
        </row>
        <row r="440">
          <cell r="AL440" t="str">
            <v>Option Year 5ESDG&amp;AContr/Govt</v>
          </cell>
          <cell r="AM440">
            <v>8.5699999999999998E-2</v>
          </cell>
        </row>
        <row r="441">
          <cell r="AL441" t="str">
            <v>Option Year 5ESDTBD1Contr/Govt</v>
          </cell>
          <cell r="AM441">
            <v>0</v>
          </cell>
        </row>
        <row r="442">
          <cell r="AL442" t="str">
            <v>Option Year 5ESDTBD2Contr/Govt</v>
          </cell>
          <cell r="AM442">
            <v>0</v>
          </cell>
        </row>
        <row r="443">
          <cell r="AL443" t="str">
            <v>Option Year 5ESDTBD3Contr/Govt</v>
          </cell>
          <cell r="AM443">
            <v>0</v>
          </cell>
        </row>
        <row r="448">
          <cell r="AL448" t="str">
            <v>Option Year 6ESDPRBContr/Govt</v>
          </cell>
          <cell r="AM448">
            <v>0.35099999999999998</v>
          </cell>
        </row>
        <row r="449">
          <cell r="AL449" t="str">
            <v>Option Year 6ESDOverheadContr</v>
          </cell>
          <cell r="AM449">
            <v>0.17249999999999999</v>
          </cell>
        </row>
        <row r="450">
          <cell r="AL450" t="str">
            <v>Option Year 6ESDOverheadGovt</v>
          </cell>
          <cell r="AM450">
            <v>3.1E-2</v>
          </cell>
        </row>
        <row r="451">
          <cell r="AL451" t="str">
            <v>Option Year 6ESDMHContr/Govt</v>
          </cell>
          <cell r="AM451">
            <v>2.76E-2</v>
          </cell>
        </row>
        <row r="452">
          <cell r="AL452" t="str">
            <v>Option Year 6ESDG&amp;AContr/Govt</v>
          </cell>
          <cell r="AM452">
            <v>8.5699999999999998E-2</v>
          </cell>
        </row>
        <row r="453">
          <cell r="AL453" t="str">
            <v>Option Year 6ESDTBD1Contr/Govt</v>
          </cell>
          <cell r="AM453">
            <v>0</v>
          </cell>
        </row>
        <row r="454">
          <cell r="AL454" t="str">
            <v>Option Year 6ESDTBD2Contr/Govt</v>
          </cell>
          <cell r="AM454">
            <v>0</v>
          </cell>
        </row>
        <row r="455">
          <cell r="AL455" t="str">
            <v>Option Year 6ESDTBD3Contr/Govt</v>
          </cell>
          <cell r="AM455">
            <v>0</v>
          </cell>
        </row>
        <row r="460">
          <cell r="AL460" t="str">
            <v>Option Year 7ESDPRBContr/Govt</v>
          </cell>
          <cell r="AM460">
            <v>0</v>
          </cell>
        </row>
        <row r="461">
          <cell r="AL461" t="str">
            <v>Option Year 7ESDOverheadContr</v>
          </cell>
          <cell r="AM461">
            <v>0</v>
          </cell>
        </row>
        <row r="462">
          <cell r="AL462" t="str">
            <v>Option Year 7ESDOverheadGovt</v>
          </cell>
          <cell r="AM462">
            <v>0</v>
          </cell>
        </row>
        <row r="463">
          <cell r="AL463" t="str">
            <v>Option Year 7ESDMHContr/Govt</v>
          </cell>
          <cell r="AM463">
            <v>0</v>
          </cell>
        </row>
        <row r="464">
          <cell r="AL464" t="str">
            <v>Option Year 7ESDG&amp;AContr/Govt</v>
          </cell>
          <cell r="AM464">
            <v>0</v>
          </cell>
        </row>
        <row r="465">
          <cell r="AL465" t="str">
            <v>Option Year 7ESDTBD1Contr/Govt</v>
          </cell>
          <cell r="AM465">
            <v>0</v>
          </cell>
        </row>
        <row r="466">
          <cell r="AL466" t="str">
            <v>Option Year 7ESDTBD2Contr/Govt</v>
          </cell>
          <cell r="AM466">
            <v>0</v>
          </cell>
        </row>
        <row r="467">
          <cell r="AL467" t="str">
            <v>Option Year 7ESDTBD3Contr/Govt</v>
          </cell>
          <cell r="AM467">
            <v>0</v>
          </cell>
        </row>
        <row r="472">
          <cell r="AL472" t="str">
            <v>Option Year 8ESDPRBContr/Govt</v>
          </cell>
          <cell r="AM472">
            <v>0</v>
          </cell>
        </row>
        <row r="473">
          <cell r="AL473" t="str">
            <v>Option Year 8ESDOverheadContr</v>
          </cell>
          <cell r="AM473">
            <v>0</v>
          </cell>
        </row>
        <row r="474">
          <cell r="AL474" t="str">
            <v>Option Year 8ESDOverheadGovt</v>
          </cell>
          <cell r="AM474">
            <v>0</v>
          </cell>
        </row>
        <row r="475">
          <cell r="AL475" t="str">
            <v>Option Year 8ESDMHContr/Govt</v>
          </cell>
          <cell r="AM475">
            <v>0</v>
          </cell>
        </row>
        <row r="476">
          <cell r="AL476" t="str">
            <v>Option Year 8ESDG&amp;AContr/Govt</v>
          </cell>
          <cell r="AM476">
            <v>0</v>
          </cell>
        </row>
        <row r="477">
          <cell r="AL477" t="str">
            <v>Option Year 8ESDTBD1Contr/Govt</v>
          </cell>
          <cell r="AM477">
            <v>0</v>
          </cell>
        </row>
        <row r="478">
          <cell r="AL478" t="str">
            <v>Option Year 8ESDTBD2Contr/Govt</v>
          </cell>
          <cell r="AM478">
            <v>0</v>
          </cell>
        </row>
        <row r="479">
          <cell r="AL479" t="str">
            <v>Option Year 8ESDTBD3Contr/Govt</v>
          </cell>
          <cell r="AM479">
            <v>0</v>
          </cell>
        </row>
        <row r="484">
          <cell r="AL484" t="str">
            <v>Option Year 9ESDPRBContr/Govt</v>
          </cell>
          <cell r="AM484">
            <v>0</v>
          </cell>
        </row>
        <row r="485">
          <cell r="AL485" t="str">
            <v>Option Year 9ESDOverheadContr</v>
          </cell>
          <cell r="AM485">
            <v>0</v>
          </cell>
        </row>
        <row r="486">
          <cell r="AL486" t="str">
            <v>Option Year 9ESDOverheadGovt</v>
          </cell>
          <cell r="AM486">
            <v>0</v>
          </cell>
        </row>
        <row r="487">
          <cell r="AL487" t="str">
            <v>Option Year 9ESDMHContr/Govt</v>
          </cell>
          <cell r="AM487">
            <v>0</v>
          </cell>
        </row>
        <row r="488">
          <cell r="AL488" t="str">
            <v>Option Year 9ESDG&amp;AContr/Govt</v>
          </cell>
          <cell r="AM488">
            <v>0</v>
          </cell>
        </row>
        <row r="489">
          <cell r="AL489" t="str">
            <v>Option Year 9ESDTBD1Contr/Govt</v>
          </cell>
          <cell r="AM489">
            <v>0</v>
          </cell>
        </row>
        <row r="490">
          <cell r="AL490" t="str">
            <v>Option Year 9ESDTBD2Contr/Govt</v>
          </cell>
          <cell r="AM490">
            <v>0</v>
          </cell>
        </row>
        <row r="491">
          <cell r="AL491" t="str">
            <v>Option Year 9ESDTBD3Contr/Govt</v>
          </cell>
          <cell r="AM491">
            <v>0</v>
          </cell>
        </row>
        <row r="496">
          <cell r="AL496" t="str">
            <v>Option Year 10ESDPRBContr/Govt</v>
          </cell>
          <cell r="AM496">
            <v>0</v>
          </cell>
        </row>
        <row r="497">
          <cell r="AL497" t="str">
            <v>Option Year 10ESDOverheadContr</v>
          </cell>
          <cell r="AM497">
            <v>0</v>
          </cell>
        </row>
        <row r="498">
          <cell r="AL498" t="str">
            <v>Option Year 10ESDOverheadGovt</v>
          </cell>
          <cell r="AM498">
            <v>0</v>
          </cell>
        </row>
        <row r="499">
          <cell r="AL499" t="str">
            <v>Option Year 10ESDMHContr/Govt</v>
          </cell>
          <cell r="AM499">
            <v>0</v>
          </cell>
        </row>
        <row r="500">
          <cell r="AL500" t="str">
            <v>Option Year 10ESDG&amp;AContr/Govt</v>
          </cell>
          <cell r="AM500">
            <v>0</v>
          </cell>
        </row>
        <row r="501">
          <cell r="AL501" t="str">
            <v>Option Year 10ESDTBD1Contr/Govt</v>
          </cell>
          <cell r="AM501">
            <v>0</v>
          </cell>
        </row>
        <row r="502">
          <cell r="AL502" t="str">
            <v>Option Year 10ESDTBD2Contr/Govt</v>
          </cell>
          <cell r="AM502">
            <v>0</v>
          </cell>
        </row>
        <row r="503">
          <cell r="AL503" t="str">
            <v>Option Year 10ESDTBD3Contr/Govt</v>
          </cell>
          <cell r="AM503">
            <v>0</v>
          </cell>
        </row>
        <row r="508">
          <cell r="AL508" t="str">
            <v>Option Year 11ESDPRBContr/Govt</v>
          </cell>
          <cell r="AM508">
            <v>0</v>
          </cell>
        </row>
        <row r="509">
          <cell r="AL509" t="str">
            <v>Option Year 11ESDOverheadContr</v>
          </cell>
          <cell r="AM509">
            <v>0</v>
          </cell>
        </row>
        <row r="510">
          <cell r="AL510" t="str">
            <v>Option Year 11ESDOverheadGovt</v>
          </cell>
          <cell r="AM510">
            <v>0</v>
          </cell>
        </row>
        <row r="511">
          <cell r="AL511" t="str">
            <v>Option Year 11ESDMHContr/Govt</v>
          </cell>
          <cell r="AM511">
            <v>0</v>
          </cell>
        </row>
        <row r="512">
          <cell r="AL512" t="str">
            <v>Option Year 11ESDG&amp;AContr/Govt</v>
          </cell>
          <cell r="AM512">
            <v>0</v>
          </cell>
        </row>
        <row r="513">
          <cell r="AL513" t="str">
            <v>Option Year 11ESDTBD1Contr/Govt</v>
          </cell>
          <cell r="AM513">
            <v>0</v>
          </cell>
        </row>
        <row r="514">
          <cell r="AL514" t="str">
            <v>Option Year 11ESDTBD2Contr/Govt</v>
          </cell>
          <cell r="AM514">
            <v>0</v>
          </cell>
        </row>
        <row r="515">
          <cell r="AL515" t="str">
            <v>Option Year 11ESDTBD3Contr/Govt</v>
          </cell>
          <cell r="AM515">
            <v>0</v>
          </cell>
        </row>
        <row r="520">
          <cell r="AL520" t="str">
            <v>Option Year 12ESDPRBContr/Govt</v>
          </cell>
          <cell r="AM520">
            <v>0</v>
          </cell>
        </row>
        <row r="521">
          <cell r="AL521" t="str">
            <v>Option Year 12ESDOverheadContr</v>
          </cell>
          <cell r="AM521">
            <v>0</v>
          </cell>
        </row>
        <row r="522">
          <cell r="AL522" t="str">
            <v>Option Year 12ESDOverheadGovt</v>
          </cell>
          <cell r="AM522">
            <v>0</v>
          </cell>
        </row>
        <row r="523">
          <cell r="AL523" t="str">
            <v>Option Year 12ESDMHContr/Govt</v>
          </cell>
          <cell r="AM523">
            <v>0</v>
          </cell>
        </row>
        <row r="524">
          <cell r="AL524" t="str">
            <v>Option Year 12ESDG&amp;AContr/Govt</v>
          </cell>
          <cell r="AM524">
            <v>0</v>
          </cell>
        </row>
        <row r="525">
          <cell r="AL525" t="str">
            <v>Option Year 12ESDTBD1Contr/Govt</v>
          </cell>
          <cell r="AM525">
            <v>0</v>
          </cell>
        </row>
        <row r="526">
          <cell r="AL526" t="str">
            <v>Option Year 12ESDTBD2Contr/Govt</v>
          </cell>
          <cell r="AM526">
            <v>0</v>
          </cell>
        </row>
        <row r="527">
          <cell r="AL527" t="str">
            <v>Option Year 12ESDTBD3Contr/Govt</v>
          </cell>
          <cell r="AM527">
            <v>0</v>
          </cell>
        </row>
        <row r="532">
          <cell r="AL532" t="str">
            <v>Option Year 13ESDPRBContr/Govt</v>
          </cell>
          <cell r="AM532" t="e">
            <v>#DIV/0!</v>
          </cell>
        </row>
        <row r="533">
          <cell r="AL533" t="str">
            <v>Option Year 13ESDOverheadContr</v>
          </cell>
          <cell r="AM533" t="e">
            <v>#DIV/0!</v>
          </cell>
        </row>
        <row r="534">
          <cell r="AL534" t="str">
            <v>Option Year 13ESDOverheadGovt</v>
          </cell>
          <cell r="AM534" t="e">
            <v>#DIV/0!</v>
          </cell>
        </row>
        <row r="535">
          <cell r="AL535" t="str">
            <v>Option Year 13ESDMHContr/Govt</v>
          </cell>
          <cell r="AM535" t="e">
            <v>#DIV/0!</v>
          </cell>
        </row>
        <row r="536">
          <cell r="AL536" t="str">
            <v>Option Year 13ESDG&amp;AContr/Govt</v>
          </cell>
          <cell r="AM536" t="e">
            <v>#DIV/0!</v>
          </cell>
        </row>
        <row r="537">
          <cell r="AL537" t="str">
            <v>Option Year 13ESDTBD1Contr/Govt</v>
          </cell>
          <cell r="AM537" t="e">
            <v>#DIV/0!</v>
          </cell>
        </row>
        <row r="538">
          <cell r="AL538" t="str">
            <v>Option Year 13ESDTBD2Contr/Govt</v>
          </cell>
          <cell r="AM538" t="e">
            <v>#DIV/0!</v>
          </cell>
        </row>
        <row r="539">
          <cell r="AL539" t="str">
            <v>Option Year 13ESDTBD3Contr/Govt</v>
          </cell>
          <cell r="AM539" t="e">
            <v>#DIV/0!</v>
          </cell>
        </row>
        <row r="544">
          <cell r="AL544" t="str">
            <v>Option Year 14ESDPRBContr/Govt</v>
          </cell>
          <cell r="AM544" t="e">
            <v>#DIV/0!</v>
          </cell>
        </row>
        <row r="545">
          <cell r="AL545" t="str">
            <v>Option Year 14ESDOverheadContr</v>
          </cell>
          <cell r="AM545" t="e">
            <v>#DIV/0!</v>
          </cell>
        </row>
        <row r="546">
          <cell r="AL546" t="str">
            <v>Option Year 14ESDOverheadGovt</v>
          </cell>
          <cell r="AM546" t="e">
            <v>#DIV/0!</v>
          </cell>
        </row>
        <row r="547">
          <cell r="AL547" t="str">
            <v>Option Year 14ESDMHContr/Govt</v>
          </cell>
          <cell r="AM547" t="e">
            <v>#DIV/0!</v>
          </cell>
        </row>
        <row r="548">
          <cell r="AL548" t="str">
            <v>Option Year 14ESDG&amp;AContr/Govt</v>
          </cell>
          <cell r="AM548" t="e">
            <v>#DIV/0!</v>
          </cell>
        </row>
        <row r="549">
          <cell r="AL549" t="str">
            <v>Option Year 14ESDTBD1Contr/Govt</v>
          </cell>
          <cell r="AM549" t="e">
            <v>#DIV/0!</v>
          </cell>
        </row>
        <row r="550">
          <cell r="AL550" t="str">
            <v>Option Year 14ESDTBD2Contr/Govt</v>
          </cell>
          <cell r="AM550" t="e">
            <v>#DIV/0!</v>
          </cell>
        </row>
        <row r="551">
          <cell r="AL551" t="str">
            <v>Option Year 14ESDTBD3Contr/Govt</v>
          </cell>
          <cell r="AM551" t="e">
            <v>#DIV/0!</v>
          </cell>
        </row>
      </sheetData>
      <sheetData sheetId="18"/>
      <sheetData sheetId="19"/>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s>
    <sheetDataSet>
      <sheetData sheetId="0">
        <row r="3">
          <cell r="B3" t="str">
            <v>Johnson,Tara E</v>
          </cell>
          <cell r="C3">
            <v>41.49</v>
          </cell>
        </row>
        <row r="4">
          <cell r="B4" t="str">
            <v>Wright,Belvis P</v>
          </cell>
          <cell r="C4">
            <v>35.950000000000003</v>
          </cell>
        </row>
        <row r="5">
          <cell r="B5" t="str">
            <v>Grello,Kyle F</v>
          </cell>
          <cell r="C5">
            <v>34.15</v>
          </cell>
        </row>
        <row r="6">
          <cell r="B6" t="str">
            <v>Weiss,Jonathan D</v>
          </cell>
          <cell r="C6">
            <v>74.88</v>
          </cell>
        </row>
        <row r="7">
          <cell r="B7" t="str">
            <v>Johnstone,Donald G</v>
          </cell>
          <cell r="C7">
            <v>55.67</v>
          </cell>
        </row>
        <row r="8">
          <cell r="B8" t="str">
            <v>Fitzgerald,Lawrence R</v>
          </cell>
          <cell r="C8">
            <v>18.5</v>
          </cell>
        </row>
        <row r="9">
          <cell r="B9" t="str">
            <v>Coxon Jr.,Peter W</v>
          </cell>
          <cell r="C9">
            <v>23</v>
          </cell>
        </row>
        <row r="10">
          <cell r="B10" t="str">
            <v>Schaffer,Sarah R</v>
          </cell>
          <cell r="C10">
            <v>28.3</v>
          </cell>
        </row>
        <row r="11">
          <cell r="B11" t="str">
            <v>Haynes,Paul J</v>
          </cell>
          <cell r="C11">
            <v>22.81</v>
          </cell>
        </row>
        <row r="12">
          <cell r="B12" t="str">
            <v>Davis,Zelda M</v>
          </cell>
          <cell r="C12">
            <v>39.380000000000003</v>
          </cell>
        </row>
        <row r="13">
          <cell r="B13" t="str">
            <v>Torres,Jesus A</v>
          </cell>
          <cell r="C13">
            <v>31.27</v>
          </cell>
        </row>
        <row r="14">
          <cell r="B14" t="str">
            <v>Krechko,Raymond</v>
          </cell>
          <cell r="C14">
            <v>34.58</v>
          </cell>
        </row>
        <row r="15">
          <cell r="B15" t="str">
            <v>Woznock,Eugene</v>
          </cell>
          <cell r="C15">
            <v>41</v>
          </cell>
        </row>
        <row r="16">
          <cell r="B16" t="str">
            <v>McCarty,Jon D</v>
          </cell>
          <cell r="C16">
            <v>48.18</v>
          </cell>
        </row>
        <row r="17">
          <cell r="B17" t="str">
            <v>Dzielski,Dale G.</v>
          </cell>
          <cell r="C17">
            <v>47.33</v>
          </cell>
        </row>
        <row r="18">
          <cell r="B18" t="str">
            <v>Romanak,Andrew J</v>
          </cell>
          <cell r="C18">
            <v>32.47</v>
          </cell>
        </row>
        <row r="19">
          <cell r="B19" t="str">
            <v>Renfro,Ronald E</v>
          </cell>
          <cell r="C19">
            <v>74.099999999999994</v>
          </cell>
        </row>
        <row r="20">
          <cell r="B20" t="str">
            <v>Merrill,Daniel A</v>
          </cell>
          <cell r="C20">
            <v>67.94</v>
          </cell>
        </row>
        <row r="21">
          <cell r="B21" t="str">
            <v>Pawless,Clifford W</v>
          </cell>
          <cell r="C21">
            <v>35.07</v>
          </cell>
        </row>
        <row r="22">
          <cell r="B22" t="str">
            <v>Neal,Kevin D</v>
          </cell>
          <cell r="C22">
            <v>32.979999999999997</v>
          </cell>
        </row>
        <row r="23">
          <cell r="B23" t="str">
            <v>Mahoney,Michael E</v>
          </cell>
          <cell r="C23">
            <v>16.3</v>
          </cell>
        </row>
        <row r="24">
          <cell r="B24" t="str">
            <v>Clodfelter,Thomas E</v>
          </cell>
          <cell r="C24">
            <v>25.83</v>
          </cell>
        </row>
        <row r="25">
          <cell r="B25" t="str">
            <v>Johnson,Stacie A</v>
          </cell>
          <cell r="C25">
            <v>30.51</v>
          </cell>
        </row>
        <row r="26">
          <cell r="B26" t="str">
            <v>Cherry,John M</v>
          </cell>
          <cell r="C26">
            <v>103.98</v>
          </cell>
        </row>
        <row r="27">
          <cell r="B27" t="str">
            <v>Kmak,Randal H</v>
          </cell>
          <cell r="C27">
            <v>36.47</v>
          </cell>
        </row>
        <row r="28">
          <cell r="B28" t="str">
            <v>Wiggs,Michael K</v>
          </cell>
          <cell r="C28">
            <v>21.31</v>
          </cell>
        </row>
        <row r="29">
          <cell r="B29" t="str">
            <v>Scott,Michael J</v>
          </cell>
          <cell r="C29">
            <v>33.770000000000003</v>
          </cell>
        </row>
        <row r="30">
          <cell r="B30" t="str">
            <v>Jackson,Jahyouth J</v>
          </cell>
          <cell r="C30">
            <v>18.21</v>
          </cell>
        </row>
        <row r="31">
          <cell r="B31" t="str">
            <v>Vuolo,John F</v>
          </cell>
          <cell r="C31">
            <v>42.13</v>
          </cell>
        </row>
        <row r="32">
          <cell r="B32" t="str">
            <v>Rovitti,Paul J</v>
          </cell>
          <cell r="C32">
            <v>78.83</v>
          </cell>
        </row>
        <row r="33">
          <cell r="B33" t="str">
            <v>Rauf,Imtiaz</v>
          </cell>
          <cell r="C33">
            <v>35.93</v>
          </cell>
        </row>
        <row r="34">
          <cell r="B34" t="str">
            <v>Roberson Jr.,James C</v>
          </cell>
          <cell r="C34">
            <v>30.59</v>
          </cell>
        </row>
        <row r="35">
          <cell r="B35" t="str">
            <v>Kressin,Jodi</v>
          </cell>
          <cell r="C35">
            <v>39.880000000000003</v>
          </cell>
        </row>
        <row r="36">
          <cell r="B36" t="str">
            <v>Reinitz,Michael S</v>
          </cell>
          <cell r="C36">
            <v>34.08</v>
          </cell>
        </row>
        <row r="37">
          <cell r="B37" t="str">
            <v>Chrisman,Mary E</v>
          </cell>
          <cell r="C37">
            <v>60.51</v>
          </cell>
        </row>
        <row r="38">
          <cell r="B38" t="str">
            <v>Chadwick,Barbara E</v>
          </cell>
          <cell r="C38">
            <v>13.3</v>
          </cell>
        </row>
        <row r="39">
          <cell r="B39" t="str">
            <v>Cook,Cary S</v>
          </cell>
          <cell r="C39">
            <v>22.41</v>
          </cell>
        </row>
        <row r="40">
          <cell r="B40" t="str">
            <v>Alexander,Robert L</v>
          </cell>
          <cell r="C40">
            <v>30.61</v>
          </cell>
        </row>
        <row r="41">
          <cell r="B41" t="str">
            <v>Pischera-Nesbitt,Dianna L</v>
          </cell>
          <cell r="C41">
            <v>38.75</v>
          </cell>
        </row>
        <row r="42">
          <cell r="B42" t="str">
            <v>Barger,Rebecca M</v>
          </cell>
          <cell r="C42">
            <v>31.17</v>
          </cell>
        </row>
        <row r="43">
          <cell r="B43" t="str">
            <v>Dion,Shirley K</v>
          </cell>
          <cell r="C43">
            <v>59.354399999999998</v>
          </cell>
        </row>
        <row r="44">
          <cell r="B44" t="str">
            <v>Morgan,Michele R</v>
          </cell>
          <cell r="C44">
            <v>29.4526</v>
          </cell>
        </row>
        <row r="45">
          <cell r="B45" t="str">
            <v>Stickle,Richard W</v>
          </cell>
          <cell r="C45">
            <v>49.358899999999998</v>
          </cell>
        </row>
        <row r="46">
          <cell r="B46" t="str">
            <v>Lopez Jr.,Jose R</v>
          </cell>
          <cell r="C46">
            <v>32.06</v>
          </cell>
        </row>
        <row r="47">
          <cell r="B47" t="str">
            <v>Hughes,Cardy</v>
          </cell>
          <cell r="C47">
            <v>39.119999999999997</v>
          </cell>
        </row>
        <row r="48">
          <cell r="B48" t="str">
            <v>Palitto,Carolyn N</v>
          </cell>
          <cell r="C48">
            <v>51.75</v>
          </cell>
        </row>
        <row r="49">
          <cell r="B49" t="str">
            <v>Winger,Jeffrey D</v>
          </cell>
          <cell r="C49">
            <v>23.1</v>
          </cell>
        </row>
        <row r="50">
          <cell r="B50" t="str">
            <v>Woltering,Samuel L</v>
          </cell>
          <cell r="C50">
            <v>39.520000000000003</v>
          </cell>
        </row>
        <row r="51">
          <cell r="B51" t="str">
            <v>Snavely,Judith L</v>
          </cell>
          <cell r="C51">
            <v>20.69</v>
          </cell>
        </row>
        <row r="52">
          <cell r="B52" t="str">
            <v>Mathias,Ryan P</v>
          </cell>
          <cell r="C52">
            <v>25</v>
          </cell>
        </row>
        <row r="53">
          <cell r="B53" t="str">
            <v>Jemiola,James M</v>
          </cell>
          <cell r="C53">
            <v>61.689799999999998</v>
          </cell>
        </row>
        <row r="54">
          <cell r="B54" t="str">
            <v>Handy,Nicholas E</v>
          </cell>
          <cell r="C54">
            <v>48.08</v>
          </cell>
        </row>
        <row r="55">
          <cell r="B55" t="str">
            <v>Groseclose,Daniel A</v>
          </cell>
          <cell r="C55">
            <v>30.21</v>
          </cell>
        </row>
        <row r="56">
          <cell r="B56" t="str">
            <v>Copes,Shonnica C</v>
          </cell>
          <cell r="C56">
            <v>17.510000000000002</v>
          </cell>
        </row>
        <row r="57">
          <cell r="B57" t="str">
            <v>Fry,Jason T</v>
          </cell>
          <cell r="C57">
            <v>52.45</v>
          </cell>
        </row>
        <row r="58">
          <cell r="B58" t="str">
            <v>Reyes,Bonita B</v>
          </cell>
          <cell r="C58">
            <v>20.71</v>
          </cell>
        </row>
        <row r="59">
          <cell r="B59" t="str">
            <v>Serrano,Hector M</v>
          </cell>
          <cell r="C59">
            <v>45.2</v>
          </cell>
        </row>
        <row r="60">
          <cell r="B60" t="str">
            <v>Abdale,John M.</v>
          </cell>
          <cell r="C60">
            <v>60.4</v>
          </cell>
        </row>
        <row r="61">
          <cell r="B61" t="str">
            <v>Baker,Jeremy R</v>
          </cell>
          <cell r="C61">
            <v>31.83</v>
          </cell>
        </row>
        <row r="62">
          <cell r="B62" t="str">
            <v>Rice Sr,Robert B</v>
          </cell>
          <cell r="C62">
            <v>26.76</v>
          </cell>
        </row>
        <row r="63">
          <cell r="B63" t="str">
            <v>Barnhill,James D</v>
          </cell>
          <cell r="C63">
            <v>28.62</v>
          </cell>
        </row>
        <row r="64">
          <cell r="B64" t="str">
            <v>Hamilton,Selena S</v>
          </cell>
          <cell r="C64">
            <v>20</v>
          </cell>
        </row>
        <row r="65">
          <cell r="B65" t="str">
            <v>Harper,David W</v>
          </cell>
          <cell r="C65">
            <v>34.83</v>
          </cell>
        </row>
        <row r="66">
          <cell r="B66" t="str">
            <v>Mitchell,Gwendolyn R</v>
          </cell>
          <cell r="C66">
            <v>38.47</v>
          </cell>
        </row>
        <row r="67">
          <cell r="B67" t="str">
            <v>Hollis,Katina L</v>
          </cell>
          <cell r="C67">
            <v>42</v>
          </cell>
        </row>
        <row r="68">
          <cell r="B68" t="str">
            <v>O'Connell,Todd S.</v>
          </cell>
          <cell r="C68">
            <v>68.55</v>
          </cell>
        </row>
        <row r="69">
          <cell r="B69" t="str">
            <v>Wenige III,John</v>
          </cell>
          <cell r="C69">
            <v>27.89</v>
          </cell>
        </row>
        <row r="70">
          <cell r="B70" t="str">
            <v>Roberts,Hilary E</v>
          </cell>
          <cell r="C70">
            <v>77.45</v>
          </cell>
        </row>
        <row r="71">
          <cell r="B71" t="str">
            <v>Gatlin,Romona D</v>
          </cell>
          <cell r="C71">
            <v>26.65</v>
          </cell>
        </row>
        <row r="72">
          <cell r="B72" t="str">
            <v>Bates,Kevin K</v>
          </cell>
          <cell r="C72">
            <v>39.409999999999997</v>
          </cell>
        </row>
        <row r="73">
          <cell r="B73" t="str">
            <v>Medina,Lee R</v>
          </cell>
          <cell r="C73">
            <v>38.72</v>
          </cell>
        </row>
        <row r="74">
          <cell r="B74" t="str">
            <v>Allburn,James N</v>
          </cell>
          <cell r="C74">
            <v>146.63461599999999</v>
          </cell>
        </row>
        <row r="75">
          <cell r="B75" t="str">
            <v>Abela,Alice J</v>
          </cell>
          <cell r="C75">
            <v>25.0579</v>
          </cell>
        </row>
        <row r="76">
          <cell r="B76" t="str">
            <v>Pierpoint,Joseph C</v>
          </cell>
          <cell r="C76">
            <v>40.01</v>
          </cell>
        </row>
        <row r="77">
          <cell r="B77" t="str">
            <v>Estes,David W</v>
          </cell>
          <cell r="C77">
            <v>21.63</v>
          </cell>
        </row>
        <row r="78">
          <cell r="B78" t="str">
            <v>Abel,Brian M</v>
          </cell>
          <cell r="C78">
            <v>41.007399999999997</v>
          </cell>
        </row>
        <row r="79">
          <cell r="B79" t="str">
            <v>Walker,Tamika J</v>
          </cell>
          <cell r="C79">
            <v>22</v>
          </cell>
        </row>
        <row r="80">
          <cell r="B80" t="str">
            <v>Bruhns,Paul J</v>
          </cell>
          <cell r="C80">
            <v>69.97</v>
          </cell>
        </row>
        <row r="81">
          <cell r="B81" t="str">
            <v>VanHart,Mary Ann</v>
          </cell>
          <cell r="C81">
            <v>43.9</v>
          </cell>
        </row>
        <row r="82">
          <cell r="B82" t="str">
            <v>Woodings,Matt H</v>
          </cell>
          <cell r="C82">
            <v>53.512999999999998</v>
          </cell>
        </row>
        <row r="83">
          <cell r="B83" t="str">
            <v>Dill,Sharon A</v>
          </cell>
          <cell r="C83">
            <v>37.801400000000001</v>
          </cell>
        </row>
        <row r="84">
          <cell r="B84" t="str">
            <v>Sheppard,John P</v>
          </cell>
          <cell r="C84">
            <v>58.56</v>
          </cell>
        </row>
        <row r="85">
          <cell r="B85" t="str">
            <v>Martin,Lindy E</v>
          </cell>
          <cell r="C85">
            <v>108.5</v>
          </cell>
        </row>
        <row r="86">
          <cell r="B86" t="str">
            <v>Hunter,Dale H.</v>
          </cell>
          <cell r="C86">
            <v>14.48</v>
          </cell>
        </row>
        <row r="87">
          <cell r="B87" t="str">
            <v>Beauregard,James R.</v>
          </cell>
          <cell r="C87">
            <v>33.19</v>
          </cell>
        </row>
        <row r="88">
          <cell r="B88" t="str">
            <v>Reynolds,Craig A</v>
          </cell>
          <cell r="C88">
            <v>19.25</v>
          </cell>
        </row>
        <row r="89">
          <cell r="B89" t="str">
            <v>Burns,Antoine</v>
          </cell>
          <cell r="C89">
            <v>22</v>
          </cell>
        </row>
        <row r="90">
          <cell r="B90" t="str">
            <v>Abraham,Darian J</v>
          </cell>
          <cell r="C90">
            <v>15.64</v>
          </cell>
        </row>
        <row r="91">
          <cell r="B91" t="str">
            <v>Hill,Peggy J</v>
          </cell>
          <cell r="C91">
            <v>21.07</v>
          </cell>
        </row>
        <row r="92">
          <cell r="B92" t="str">
            <v>Yelmgren,Kevin</v>
          </cell>
          <cell r="C92">
            <v>70.180000000000007</v>
          </cell>
        </row>
        <row r="93">
          <cell r="B93" t="str">
            <v>Wiggin,Katie A</v>
          </cell>
          <cell r="C93">
            <v>24.22</v>
          </cell>
        </row>
        <row r="94">
          <cell r="B94" t="str">
            <v>Crosby,Andrea R</v>
          </cell>
          <cell r="C94">
            <v>19.48</v>
          </cell>
        </row>
        <row r="95">
          <cell r="B95" t="str">
            <v>Ortega,Jesus R</v>
          </cell>
          <cell r="C95">
            <v>15.43</v>
          </cell>
        </row>
        <row r="96">
          <cell r="B96" t="str">
            <v>Deal,Victor T</v>
          </cell>
          <cell r="C96">
            <v>51.26</v>
          </cell>
        </row>
        <row r="97">
          <cell r="B97" t="str">
            <v>Chong,Luther H</v>
          </cell>
          <cell r="C97">
            <v>59.21</v>
          </cell>
        </row>
        <row r="98">
          <cell r="B98" t="str">
            <v>Jaszczak,Casmier</v>
          </cell>
          <cell r="C98">
            <v>58.503700000000002</v>
          </cell>
        </row>
        <row r="99">
          <cell r="B99" t="str">
            <v>Mazzei-Williams,Timothy L</v>
          </cell>
          <cell r="C99">
            <v>60.05</v>
          </cell>
        </row>
        <row r="100">
          <cell r="B100" t="str">
            <v>Jenkins,Sean J</v>
          </cell>
          <cell r="C100">
            <v>21.42</v>
          </cell>
        </row>
        <row r="101">
          <cell r="B101" t="str">
            <v>Stewart,Matthew C.</v>
          </cell>
          <cell r="C101">
            <v>69.94</v>
          </cell>
        </row>
        <row r="102">
          <cell r="B102" t="str">
            <v>Taylor,Maura</v>
          </cell>
          <cell r="C102">
            <v>39.25</v>
          </cell>
        </row>
        <row r="103">
          <cell r="B103" t="str">
            <v>Laue,Greg P</v>
          </cell>
          <cell r="C103">
            <v>61.81</v>
          </cell>
        </row>
        <row r="104">
          <cell r="B104" t="str">
            <v>Boswell,Eduardo K</v>
          </cell>
          <cell r="C104">
            <v>21.63</v>
          </cell>
        </row>
        <row r="105">
          <cell r="B105" t="str">
            <v>Harrell,Matthew C.</v>
          </cell>
          <cell r="C105">
            <v>33.22</v>
          </cell>
        </row>
        <row r="106">
          <cell r="B106" t="str">
            <v>Santos Jr,Manuel J</v>
          </cell>
          <cell r="C106">
            <v>53.49</v>
          </cell>
        </row>
        <row r="107">
          <cell r="B107" t="str">
            <v>Scott,James C</v>
          </cell>
          <cell r="C107">
            <v>20.48</v>
          </cell>
        </row>
        <row r="108">
          <cell r="B108" t="str">
            <v>Redondo,Richard E</v>
          </cell>
          <cell r="C108">
            <v>21.65</v>
          </cell>
        </row>
        <row r="109">
          <cell r="B109" t="str">
            <v>Barksdale,Robert L.</v>
          </cell>
          <cell r="C109">
            <v>54.09</v>
          </cell>
        </row>
        <row r="110">
          <cell r="B110" t="str">
            <v>Adkins,Kevin S</v>
          </cell>
          <cell r="C110">
            <v>20.2</v>
          </cell>
        </row>
        <row r="111">
          <cell r="B111" t="str">
            <v>Ford Sr.,Antoine L</v>
          </cell>
          <cell r="C111">
            <v>31.2</v>
          </cell>
        </row>
        <row r="112">
          <cell r="B112" t="str">
            <v>Grace,Teresa</v>
          </cell>
          <cell r="C112">
            <v>26.15</v>
          </cell>
        </row>
        <row r="113">
          <cell r="B113" t="str">
            <v>Dumas,Charles J</v>
          </cell>
          <cell r="C113">
            <v>63.06</v>
          </cell>
        </row>
        <row r="114">
          <cell r="B114" t="str">
            <v>Majors,Sonya M</v>
          </cell>
          <cell r="C114">
            <v>35.24</v>
          </cell>
        </row>
        <row r="115">
          <cell r="B115" t="str">
            <v>Torres,Lysandra M</v>
          </cell>
          <cell r="C115">
            <v>26.5</v>
          </cell>
        </row>
        <row r="116">
          <cell r="B116" t="str">
            <v>Cabrera-Mobley,Kirsis A</v>
          </cell>
          <cell r="C116">
            <v>28.98</v>
          </cell>
        </row>
        <row r="117">
          <cell r="B117" t="str">
            <v>Rhodes Jr.,Barron D</v>
          </cell>
          <cell r="C117">
            <v>32.69</v>
          </cell>
        </row>
        <row r="118">
          <cell r="B118" t="str">
            <v>White,Stephen I</v>
          </cell>
          <cell r="C118">
            <v>17.78</v>
          </cell>
        </row>
        <row r="119">
          <cell r="B119" t="str">
            <v>Landers,Ronald Vincent</v>
          </cell>
          <cell r="C119">
            <v>29.67</v>
          </cell>
        </row>
        <row r="120">
          <cell r="B120" t="str">
            <v>Foell,Darwin G</v>
          </cell>
          <cell r="C120">
            <v>47.773099999999999</v>
          </cell>
        </row>
        <row r="121">
          <cell r="B121" t="str">
            <v>Marrero,Jose</v>
          </cell>
          <cell r="C121">
            <v>25.24</v>
          </cell>
        </row>
        <row r="122">
          <cell r="B122" t="str">
            <v>Frances Nee,Eileen N</v>
          </cell>
          <cell r="C122">
            <v>46.49</v>
          </cell>
        </row>
        <row r="123">
          <cell r="B123" t="str">
            <v>Cardello,Jeffrey F</v>
          </cell>
          <cell r="C123">
            <v>45.19</v>
          </cell>
        </row>
        <row r="124">
          <cell r="B124" t="str">
            <v>Noel,Anna C</v>
          </cell>
          <cell r="C124">
            <v>32.700000000000003</v>
          </cell>
        </row>
        <row r="125">
          <cell r="B125" t="str">
            <v>Barrett,Nathaniel I</v>
          </cell>
          <cell r="C125">
            <v>51.89</v>
          </cell>
        </row>
        <row r="126">
          <cell r="B126" t="str">
            <v>Brenneman,Ryan M</v>
          </cell>
          <cell r="C126">
            <v>20.37</v>
          </cell>
        </row>
        <row r="127">
          <cell r="B127" t="str">
            <v>Porterfield,Gary M</v>
          </cell>
          <cell r="C127">
            <v>15.74</v>
          </cell>
        </row>
        <row r="128">
          <cell r="B128" t="str">
            <v>Hart,Gregory A</v>
          </cell>
          <cell r="C128">
            <v>26.98</v>
          </cell>
        </row>
        <row r="129">
          <cell r="B129" t="str">
            <v>Penn,Allison B</v>
          </cell>
          <cell r="C129">
            <v>45.3</v>
          </cell>
        </row>
        <row r="130">
          <cell r="B130" t="str">
            <v>Armstrong,Laura Marie</v>
          </cell>
          <cell r="C130">
            <v>25.13</v>
          </cell>
        </row>
        <row r="131">
          <cell r="B131" t="str">
            <v>Coats,Lori S.</v>
          </cell>
          <cell r="C131">
            <v>22.6</v>
          </cell>
        </row>
        <row r="132">
          <cell r="B132" t="str">
            <v>Curry,Harry A</v>
          </cell>
          <cell r="C132">
            <v>91.6</v>
          </cell>
        </row>
        <row r="133">
          <cell r="B133" t="str">
            <v>Bibbs,Davene B</v>
          </cell>
          <cell r="C133">
            <v>29.55</v>
          </cell>
        </row>
        <row r="134">
          <cell r="B134" t="str">
            <v>Sporing,Lori A</v>
          </cell>
          <cell r="C134">
            <v>19.57</v>
          </cell>
        </row>
        <row r="135">
          <cell r="B135" t="str">
            <v>Abraham,Damien B</v>
          </cell>
          <cell r="C135">
            <v>16.260000000000002</v>
          </cell>
        </row>
        <row r="136">
          <cell r="B136" t="str">
            <v>Ibrahim,Abdulsalam D</v>
          </cell>
          <cell r="C136">
            <v>46.49</v>
          </cell>
        </row>
        <row r="137">
          <cell r="B137" t="str">
            <v>Welch,Keith D</v>
          </cell>
          <cell r="C137">
            <v>25.43</v>
          </cell>
        </row>
        <row r="138">
          <cell r="B138" t="str">
            <v>Haynes,Kedrige W</v>
          </cell>
          <cell r="C138">
            <v>32.25</v>
          </cell>
        </row>
        <row r="139">
          <cell r="B139" t="str">
            <v>Grant,Eric</v>
          </cell>
          <cell r="C139">
            <v>17.940000000000001</v>
          </cell>
        </row>
        <row r="140">
          <cell r="B140" t="str">
            <v>Fricke Jr.,Alvin L</v>
          </cell>
          <cell r="C140">
            <v>23.54</v>
          </cell>
        </row>
        <row r="141">
          <cell r="B141" t="str">
            <v>Armstrong,Bryan K</v>
          </cell>
          <cell r="C141">
            <v>23</v>
          </cell>
        </row>
        <row r="142">
          <cell r="B142" t="str">
            <v>Dutra,Steve N</v>
          </cell>
          <cell r="C142">
            <v>51.18</v>
          </cell>
        </row>
        <row r="143">
          <cell r="B143" t="str">
            <v>Simmons,Adam R</v>
          </cell>
          <cell r="C143">
            <v>47.37</v>
          </cell>
        </row>
        <row r="144">
          <cell r="B144" t="str">
            <v>Butler,Scott E</v>
          </cell>
          <cell r="C144">
            <v>20.6</v>
          </cell>
        </row>
        <row r="145">
          <cell r="B145" t="str">
            <v>Wills,Bruce W</v>
          </cell>
          <cell r="C145">
            <v>42.91</v>
          </cell>
        </row>
        <row r="146">
          <cell r="B146" t="str">
            <v>Smith,Thomas C</v>
          </cell>
          <cell r="C146">
            <v>57.69</v>
          </cell>
        </row>
        <row r="147">
          <cell r="B147" t="str">
            <v>McDonald,John D</v>
          </cell>
          <cell r="C147">
            <v>26.5</v>
          </cell>
        </row>
        <row r="148">
          <cell r="B148" t="str">
            <v>Brundage,Tiffany L</v>
          </cell>
          <cell r="C148">
            <v>23.13</v>
          </cell>
        </row>
        <row r="149">
          <cell r="B149" t="str">
            <v>Gibson,Thomas J</v>
          </cell>
          <cell r="C149">
            <v>18.87</v>
          </cell>
        </row>
        <row r="150">
          <cell r="B150" t="str">
            <v>Trevathan,Cullan L</v>
          </cell>
          <cell r="C150">
            <v>26.51</v>
          </cell>
        </row>
        <row r="151">
          <cell r="B151" t="str">
            <v>Hayes,Frederick M</v>
          </cell>
          <cell r="C151">
            <v>25.96</v>
          </cell>
        </row>
        <row r="152">
          <cell r="B152" t="str">
            <v>Staley,Elizabeth H</v>
          </cell>
          <cell r="C152">
            <v>58.02</v>
          </cell>
        </row>
        <row r="153">
          <cell r="B153" t="str">
            <v>Beverley,Sean</v>
          </cell>
          <cell r="C153">
            <v>49.52</v>
          </cell>
        </row>
        <row r="154">
          <cell r="B154" t="str">
            <v>Caruso,Caron E.</v>
          </cell>
          <cell r="C154">
            <v>27.02</v>
          </cell>
        </row>
        <row r="155">
          <cell r="B155" t="str">
            <v>Vergara,Bridgett M</v>
          </cell>
          <cell r="C155">
            <v>28.79</v>
          </cell>
        </row>
        <row r="156">
          <cell r="B156" t="str">
            <v>Adkins,Anne M</v>
          </cell>
          <cell r="C156">
            <v>28.6</v>
          </cell>
        </row>
        <row r="157">
          <cell r="B157" t="str">
            <v>Graham,Mark W</v>
          </cell>
          <cell r="C157">
            <v>34.82</v>
          </cell>
        </row>
        <row r="158">
          <cell r="B158" t="str">
            <v>Feemster,Christopher S</v>
          </cell>
          <cell r="C158">
            <v>62.51</v>
          </cell>
        </row>
        <row r="159">
          <cell r="B159" t="str">
            <v>Kendrick,Gregory</v>
          </cell>
          <cell r="C159">
            <v>40.68</v>
          </cell>
        </row>
        <row r="160">
          <cell r="B160" t="str">
            <v>Ruiz,Walter J</v>
          </cell>
          <cell r="C160">
            <v>33.799999999999997</v>
          </cell>
        </row>
        <row r="161">
          <cell r="B161" t="str">
            <v>Sorrentino,Mark A</v>
          </cell>
          <cell r="C161">
            <v>37.549999999999997</v>
          </cell>
        </row>
        <row r="162">
          <cell r="B162" t="str">
            <v>Mann,Alexander G</v>
          </cell>
          <cell r="C162">
            <v>38.21</v>
          </cell>
        </row>
        <row r="163">
          <cell r="B163" t="str">
            <v>Wood,Peter J.</v>
          </cell>
          <cell r="C163">
            <v>49.61</v>
          </cell>
        </row>
        <row r="164">
          <cell r="B164" t="str">
            <v>Benson Jr.,Hollie J</v>
          </cell>
          <cell r="C164">
            <v>16.54</v>
          </cell>
        </row>
        <row r="165">
          <cell r="B165" t="str">
            <v>Gordon,Scott F</v>
          </cell>
          <cell r="C165">
            <v>20.91</v>
          </cell>
        </row>
        <row r="166">
          <cell r="B166" t="str">
            <v>Elibri,Laura A</v>
          </cell>
          <cell r="C166">
            <v>25.5</v>
          </cell>
        </row>
        <row r="167">
          <cell r="B167" t="str">
            <v>Williams Jr.,William R</v>
          </cell>
          <cell r="C167">
            <v>22.44</v>
          </cell>
        </row>
        <row r="168">
          <cell r="B168" t="str">
            <v>Fullerton,Ralph P</v>
          </cell>
          <cell r="C168">
            <v>49.783799999999999</v>
          </cell>
        </row>
        <row r="169">
          <cell r="B169" t="str">
            <v>Legowski,Peter F</v>
          </cell>
          <cell r="C169">
            <v>48.036200000000001</v>
          </cell>
        </row>
        <row r="170">
          <cell r="B170" t="str">
            <v>Hermeling,Theodore A</v>
          </cell>
          <cell r="C170">
            <v>71.973399999999998</v>
          </cell>
        </row>
        <row r="171">
          <cell r="B171" t="str">
            <v>Jones,Cynthia</v>
          </cell>
          <cell r="C171">
            <v>29.18</v>
          </cell>
        </row>
        <row r="172">
          <cell r="B172" t="str">
            <v>Leonard,Charles R</v>
          </cell>
          <cell r="C172">
            <v>25</v>
          </cell>
        </row>
        <row r="173">
          <cell r="B173" t="str">
            <v>Rogers,Rodger N</v>
          </cell>
          <cell r="C173">
            <v>28.08</v>
          </cell>
        </row>
        <row r="174">
          <cell r="B174" t="str">
            <v>LaPolla,Nicholas B</v>
          </cell>
          <cell r="C174">
            <v>30.74</v>
          </cell>
        </row>
        <row r="175">
          <cell r="B175" t="str">
            <v>Melton,William B</v>
          </cell>
          <cell r="C175">
            <v>21.94</v>
          </cell>
        </row>
        <row r="176">
          <cell r="B176" t="str">
            <v>Mahone,Rodney K</v>
          </cell>
          <cell r="C176">
            <v>22.5</v>
          </cell>
        </row>
        <row r="177">
          <cell r="B177" t="str">
            <v>Hall,Jimmie A</v>
          </cell>
          <cell r="C177">
            <v>18.34</v>
          </cell>
        </row>
        <row r="178">
          <cell r="B178" t="str">
            <v>Butler Jr.,Peter J</v>
          </cell>
          <cell r="C178">
            <v>20.67</v>
          </cell>
        </row>
        <row r="179">
          <cell r="B179" t="str">
            <v>Adams,Lakeia</v>
          </cell>
          <cell r="C179">
            <v>32.479999999999997</v>
          </cell>
        </row>
        <row r="180">
          <cell r="B180" t="str">
            <v>Lake Jr.,John B</v>
          </cell>
          <cell r="C180">
            <v>32.81</v>
          </cell>
        </row>
        <row r="181">
          <cell r="B181" t="str">
            <v>Carter,Timothy D</v>
          </cell>
          <cell r="C181">
            <v>22.16</v>
          </cell>
        </row>
        <row r="182">
          <cell r="B182" t="str">
            <v>Hammon,James G</v>
          </cell>
          <cell r="C182">
            <v>16.11</v>
          </cell>
        </row>
        <row r="183">
          <cell r="B183" t="str">
            <v>Iliffe,Ronald C</v>
          </cell>
          <cell r="C183">
            <v>33.03</v>
          </cell>
        </row>
        <row r="184">
          <cell r="B184" t="str">
            <v>Duangprachanh,Keoka</v>
          </cell>
          <cell r="C184">
            <v>21.68</v>
          </cell>
        </row>
        <row r="185">
          <cell r="B185" t="str">
            <v>Schnaue,William J</v>
          </cell>
          <cell r="C185">
            <v>39.69</v>
          </cell>
        </row>
        <row r="186">
          <cell r="B186" t="str">
            <v>Harlander,Andrew TM</v>
          </cell>
          <cell r="C186">
            <v>20.2</v>
          </cell>
        </row>
        <row r="187">
          <cell r="B187" t="str">
            <v>Hunter,Keith D</v>
          </cell>
          <cell r="C187">
            <v>22.27</v>
          </cell>
        </row>
        <row r="188">
          <cell r="B188" t="str">
            <v>Turner Jr.,Edgar L</v>
          </cell>
          <cell r="C188">
            <v>22.66</v>
          </cell>
        </row>
        <row r="189">
          <cell r="B189" t="str">
            <v>Smith,Helene-Ann E</v>
          </cell>
          <cell r="C189">
            <v>50.41</v>
          </cell>
        </row>
        <row r="190">
          <cell r="B190" t="str">
            <v>Donehue,William D</v>
          </cell>
          <cell r="C190">
            <v>40.39</v>
          </cell>
        </row>
        <row r="191">
          <cell r="B191" t="str">
            <v>Pai,Andrew K</v>
          </cell>
          <cell r="C191">
            <v>11.49</v>
          </cell>
        </row>
        <row r="192">
          <cell r="B192" t="str">
            <v>Stoessel,Timothy D</v>
          </cell>
          <cell r="C192">
            <v>38</v>
          </cell>
        </row>
        <row r="193">
          <cell r="B193" t="str">
            <v>Arthur Jr.,Marvin L</v>
          </cell>
          <cell r="C193">
            <v>56.634500000000003</v>
          </cell>
        </row>
        <row r="194">
          <cell r="B194" t="str">
            <v>Bowman,Kay C</v>
          </cell>
          <cell r="C194">
            <v>32</v>
          </cell>
        </row>
        <row r="195">
          <cell r="B195" t="str">
            <v>DeVivo,Roger James</v>
          </cell>
          <cell r="C195">
            <v>66.412300000000002</v>
          </cell>
        </row>
        <row r="196">
          <cell r="B196" t="str">
            <v>Bridgett,Tikeisha Y</v>
          </cell>
          <cell r="C196">
            <v>49.41</v>
          </cell>
        </row>
        <row r="197">
          <cell r="B197" t="str">
            <v>Thomas,Mary S</v>
          </cell>
          <cell r="C197">
            <v>41.54</v>
          </cell>
        </row>
        <row r="198">
          <cell r="B198" t="str">
            <v>Stinnett,Rodney D</v>
          </cell>
          <cell r="C198">
            <v>20.6</v>
          </cell>
        </row>
        <row r="199">
          <cell r="B199" t="str">
            <v>Beighey,Mark W</v>
          </cell>
          <cell r="C199">
            <v>49.81</v>
          </cell>
        </row>
        <row r="200">
          <cell r="B200" t="str">
            <v>Thomas,Paul A</v>
          </cell>
          <cell r="C200">
            <v>24.84</v>
          </cell>
        </row>
        <row r="201">
          <cell r="B201" t="str">
            <v>Sipher,Howard D.</v>
          </cell>
          <cell r="C201">
            <v>24.5</v>
          </cell>
        </row>
        <row r="202">
          <cell r="B202" t="str">
            <v>Cipriano,Dominic A</v>
          </cell>
          <cell r="C202">
            <v>30.17</v>
          </cell>
        </row>
        <row r="203">
          <cell r="B203" t="str">
            <v>Hightower,Michael D</v>
          </cell>
          <cell r="C203">
            <v>20.21</v>
          </cell>
        </row>
        <row r="204">
          <cell r="B204" t="str">
            <v>Helba,Michael J</v>
          </cell>
          <cell r="C204">
            <v>56.59</v>
          </cell>
        </row>
        <row r="205">
          <cell r="B205" t="str">
            <v>Cisneros,Isaias</v>
          </cell>
          <cell r="C205">
            <v>22</v>
          </cell>
        </row>
        <row r="206">
          <cell r="B206" t="str">
            <v>Brown,Margaret H.</v>
          </cell>
          <cell r="C206">
            <v>25.8</v>
          </cell>
        </row>
        <row r="207">
          <cell r="B207" t="str">
            <v>Mason,Michael S</v>
          </cell>
          <cell r="C207">
            <v>21.04</v>
          </cell>
        </row>
        <row r="208">
          <cell r="B208" t="str">
            <v>Ellis,Theresa M</v>
          </cell>
          <cell r="C208">
            <v>24.83</v>
          </cell>
        </row>
        <row r="209">
          <cell r="B209" t="str">
            <v>Rutkowski,Edward</v>
          </cell>
          <cell r="C209">
            <v>49.817799999999998</v>
          </cell>
        </row>
        <row r="210">
          <cell r="B210" t="str">
            <v>Bichler,Andreas</v>
          </cell>
          <cell r="C210">
            <v>33.35</v>
          </cell>
        </row>
        <row r="211">
          <cell r="B211" t="str">
            <v>Velazquez,William</v>
          </cell>
          <cell r="C211">
            <v>38.33</v>
          </cell>
        </row>
        <row r="212">
          <cell r="B212" t="str">
            <v>Morris,Sharon E</v>
          </cell>
          <cell r="C212">
            <v>66.88</v>
          </cell>
        </row>
        <row r="213">
          <cell r="B213" t="str">
            <v>Sestak,John S</v>
          </cell>
          <cell r="C213">
            <v>48.14</v>
          </cell>
        </row>
        <row r="214">
          <cell r="B214" t="str">
            <v>Diaz,Paul G</v>
          </cell>
          <cell r="C214">
            <v>47.28</v>
          </cell>
        </row>
        <row r="215">
          <cell r="B215" t="str">
            <v>Washington,Marvin L</v>
          </cell>
          <cell r="C215">
            <v>20.6</v>
          </cell>
        </row>
        <row r="216">
          <cell r="B216" t="str">
            <v>Edgell,Jeffrey T</v>
          </cell>
          <cell r="C216">
            <v>64.11</v>
          </cell>
        </row>
        <row r="217">
          <cell r="B217" t="str">
            <v>Hoyle,James M</v>
          </cell>
          <cell r="C217">
            <v>34.07</v>
          </cell>
        </row>
        <row r="218">
          <cell r="B218" t="str">
            <v>Starks,Norman B</v>
          </cell>
          <cell r="C218">
            <v>36.49</v>
          </cell>
        </row>
        <row r="219">
          <cell r="B219" t="str">
            <v>Ross,Lewis D</v>
          </cell>
          <cell r="C219">
            <v>21.77</v>
          </cell>
        </row>
        <row r="220">
          <cell r="B220" t="str">
            <v>Lento Jr.,John M</v>
          </cell>
          <cell r="C220">
            <v>43.28</v>
          </cell>
        </row>
        <row r="221">
          <cell r="B221" t="str">
            <v>Harmon,Keith A</v>
          </cell>
          <cell r="C221">
            <v>27.03</v>
          </cell>
        </row>
        <row r="222">
          <cell r="B222" t="str">
            <v>Henderson,Jason</v>
          </cell>
          <cell r="C222">
            <v>19.12</v>
          </cell>
        </row>
        <row r="223">
          <cell r="B223" t="str">
            <v>Martin,Charles D</v>
          </cell>
          <cell r="C223">
            <v>22.08</v>
          </cell>
        </row>
        <row r="224">
          <cell r="B224" t="str">
            <v>Cercone,Alexander B</v>
          </cell>
          <cell r="C224">
            <v>26.08</v>
          </cell>
        </row>
        <row r="225">
          <cell r="B225" t="str">
            <v>Snyder,Michael D</v>
          </cell>
          <cell r="C225">
            <v>21.26</v>
          </cell>
        </row>
        <row r="226">
          <cell r="B226" t="str">
            <v>Moravec,Robert D.</v>
          </cell>
          <cell r="C226">
            <v>48.04</v>
          </cell>
        </row>
        <row r="227">
          <cell r="B227" t="str">
            <v>Clark,Bronson C</v>
          </cell>
          <cell r="C227">
            <v>20.61</v>
          </cell>
        </row>
        <row r="228">
          <cell r="B228" t="str">
            <v>Langston,David A</v>
          </cell>
          <cell r="C228">
            <v>19.899999999999999</v>
          </cell>
        </row>
        <row r="229">
          <cell r="B229" t="str">
            <v>Moffatt,Sang-Im</v>
          </cell>
          <cell r="C229">
            <v>49.08</v>
          </cell>
        </row>
        <row r="230">
          <cell r="B230" t="str">
            <v>Ratledge,Michael Y</v>
          </cell>
          <cell r="C230">
            <v>44.26</v>
          </cell>
        </row>
        <row r="231">
          <cell r="B231" t="str">
            <v>Southerland,Adrian</v>
          </cell>
          <cell r="C231">
            <v>41.2</v>
          </cell>
        </row>
        <row r="232">
          <cell r="B232" t="str">
            <v>Brzozowski,Gary</v>
          </cell>
          <cell r="C232">
            <v>38.64</v>
          </cell>
        </row>
        <row r="233">
          <cell r="B233" t="str">
            <v>Smith,Robin D</v>
          </cell>
          <cell r="C233">
            <v>23.11</v>
          </cell>
        </row>
        <row r="234">
          <cell r="B234" t="str">
            <v>Gilbert,Craig D</v>
          </cell>
          <cell r="C234">
            <v>20.82</v>
          </cell>
        </row>
        <row r="235">
          <cell r="B235" t="str">
            <v>Putnam,James W.W</v>
          </cell>
          <cell r="C235">
            <v>44.93</v>
          </cell>
        </row>
        <row r="236">
          <cell r="B236" t="str">
            <v>Mercendetti,Andre</v>
          </cell>
          <cell r="C236">
            <v>34.94</v>
          </cell>
        </row>
        <row r="237">
          <cell r="B237" t="str">
            <v>Taylor,Michael B</v>
          </cell>
          <cell r="C237">
            <v>21</v>
          </cell>
        </row>
        <row r="238">
          <cell r="B238" t="str">
            <v>Hicks,Howard E</v>
          </cell>
          <cell r="C238">
            <v>19.82</v>
          </cell>
        </row>
        <row r="239">
          <cell r="B239" t="str">
            <v>Evans,Michael J</v>
          </cell>
          <cell r="C239">
            <v>22.32</v>
          </cell>
        </row>
        <row r="240">
          <cell r="B240" t="str">
            <v>Purdie,Derrick A</v>
          </cell>
          <cell r="C240">
            <v>22.3</v>
          </cell>
        </row>
        <row r="241">
          <cell r="B241" t="str">
            <v>Stubbs,Frank J</v>
          </cell>
          <cell r="C241">
            <v>24.5</v>
          </cell>
        </row>
        <row r="242">
          <cell r="B242" t="str">
            <v>Cintron,Freddie</v>
          </cell>
          <cell r="C242">
            <v>45.83</v>
          </cell>
        </row>
        <row r="243">
          <cell r="B243" t="str">
            <v>Sleime,Joseph P</v>
          </cell>
          <cell r="C243">
            <v>35.65</v>
          </cell>
        </row>
        <row r="244">
          <cell r="B244" t="str">
            <v>Egber,Lauren M</v>
          </cell>
          <cell r="C244">
            <v>26.45</v>
          </cell>
        </row>
        <row r="245">
          <cell r="B245" t="str">
            <v>Smith,George D</v>
          </cell>
          <cell r="C245">
            <v>28.62</v>
          </cell>
        </row>
        <row r="246">
          <cell r="B246" t="str">
            <v>Lent,Kevin R</v>
          </cell>
          <cell r="C246">
            <v>25.4</v>
          </cell>
        </row>
        <row r="247">
          <cell r="B247" t="str">
            <v>Wigner,Eija M.E.</v>
          </cell>
          <cell r="C247">
            <v>56.96</v>
          </cell>
        </row>
        <row r="248">
          <cell r="B248" t="str">
            <v>Scuderi,Rosario B</v>
          </cell>
          <cell r="C248">
            <v>40.869999999999997</v>
          </cell>
        </row>
        <row r="249">
          <cell r="B249" t="str">
            <v>Carpenter,Sherry E</v>
          </cell>
          <cell r="C249">
            <v>23.05</v>
          </cell>
        </row>
        <row r="250">
          <cell r="B250" t="str">
            <v>Cazares,Jesus</v>
          </cell>
          <cell r="C250">
            <v>40.659999999999997</v>
          </cell>
        </row>
        <row r="251">
          <cell r="B251" t="str">
            <v>Totton Jr.,William A</v>
          </cell>
          <cell r="C251">
            <v>54.5</v>
          </cell>
        </row>
        <row r="252">
          <cell r="B252" t="str">
            <v>Bush,George B</v>
          </cell>
          <cell r="C252">
            <v>33.65</v>
          </cell>
        </row>
        <row r="253">
          <cell r="B253" t="str">
            <v>Maggio,Christina A</v>
          </cell>
          <cell r="C253">
            <v>24.65</v>
          </cell>
        </row>
        <row r="254">
          <cell r="B254" t="str">
            <v>Handal,Ihsan I</v>
          </cell>
          <cell r="C254">
            <v>39.619999999999997</v>
          </cell>
        </row>
        <row r="255">
          <cell r="B255" t="str">
            <v>Elkhouri,Jennifer W</v>
          </cell>
          <cell r="C255">
            <v>53.81</v>
          </cell>
        </row>
        <row r="256">
          <cell r="B256" t="str">
            <v>Messenger,Dennis P</v>
          </cell>
          <cell r="C256">
            <v>45.000799999999998</v>
          </cell>
        </row>
        <row r="257">
          <cell r="B257" t="str">
            <v>Kinlaw,Derek H</v>
          </cell>
          <cell r="C257">
            <v>37</v>
          </cell>
        </row>
        <row r="258">
          <cell r="B258" t="str">
            <v>Carpenter,Nicholas A</v>
          </cell>
          <cell r="C258">
            <v>17.170000000000002</v>
          </cell>
        </row>
        <row r="259">
          <cell r="B259" t="str">
            <v>Qashu,Banan E</v>
          </cell>
          <cell r="C259">
            <v>48.72</v>
          </cell>
        </row>
        <row r="260">
          <cell r="B260" t="str">
            <v>Hager,Debra A</v>
          </cell>
          <cell r="C260">
            <v>42.53</v>
          </cell>
        </row>
        <row r="261">
          <cell r="B261" t="str">
            <v>Berry,Claudia</v>
          </cell>
          <cell r="C261">
            <v>32</v>
          </cell>
        </row>
        <row r="262">
          <cell r="B262" t="str">
            <v>Staggers,Tracey E</v>
          </cell>
          <cell r="C262">
            <v>28.07</v>
          </cell>
        </row>
        <row r="263">
          <cell r="B263" t="str">
            <v>Pelkey,Jeffrey S</v>
          </cell>
          <cell r="C263">
            <v>43.12</v>
          </cell>
        </row>
        <row r="264">
          <cell r="B264" t="str">
            <v>Able,Jeffrey E</v>
          </cell>
          <cell r="C264">
            <v>23.46</v>
          </cell>
        </row>
        <row r="265">
          <cell r="B265" t="str">
            <v>Thomas Jr.,Roland F</v>
          </cell>
          <cell r="C265">
            <v>33.67</v>
          </cell>
        </row>
        <row r="266">
          <cell r="B266" t="str">
            <v>Lascell,Kimberly R</v>
          </cell>
          <cell r="C266">
            <v>63.613100000000003</v>
          </cell>
        </row>
        <row r="267">
          <cell r="B267" t="str">
            <v>Minyard,James A</v>
          </cell>
          <cell r="C267">
            <v>66.900000000000006</v>
          </cell>
        </row>
        <row r="268">
          <cell r="B268" t="str">
            <v>Balzer,David E</v>
          </cell>
          <cell r="C268">
            <v>66.739999999999995</v>
          </cell>
        </row>
        <row r="269">
          <cell r="B269" t="str">
            <v>Gill III,William E</v>
          </cell>
          <cell r="C269">
            <v>27.74</v>
          </cell>
        </row>
        <row r="270">
          <cell r="B270" t="str">
            <v>Mitchell,Reginald H</v>
          </cell>
          <cell r="C270">
            <v>68.92</v>
          </cell>
        </row>
        <row r="271">
          <cell r="B271" t="str">
            <v>Fowler,Paul A</v>
          </cell>
          <cell r="C271">
            <v>72.11</v>
          </cell>
        </row>
        <row r="272">
          <cell r="B272" t="str">
            <v>Golden,Carl E</v>
          </cell>
          <cell r="C272">
            <v>33.43</v>
          </cell>
        </row>
        <row r="273">
          <cell r="B273" t="str">
            <v>Pegg,Michael R</v>
          </cell>
          <cell r="C273">
            <v>47.03</v>
          </cell>
        </row>
        <row r="274">
          <cell r="B274" t="str">
            <v>Elliott II,Larry W</v>
          </cell>
          <cell r="C274">
            <v>35.03</v>
          </cell>
        </row>
        <row r="275">
          <cell r="B275" t="str">
            <v>Parise,Scott P</v>
          </cell>
          <cell r="C275">
            <v>34.659999999999997</v>
          </cell>
        </row>
        <row r="276">
          <cell r="B276" t="str">
            <v>Connelley,George M</v>
          </cell>
          <cell r="C276">
            <v>42.87</v>
          </cell>
        </row>
        <row r="277">
          <cell r="B277" t="str">
            <v>Hayes,Robert W</v>
          </cell>
          <cell r="C277">
            <v>79.28</v>
          </cell>
        </row>
        <row r="278">
          <cell r="B278" t="str">
            <v>Melton,Kevin B</v>
          </cell>
          <cell r="C278">
            <v>26</v>
          </cell>
        </row>
        <row r="279">
          <cell r="B279" t="str">
            <v>Galvan,Ismael L</v>
          </cell>
          <cell r="C279">
            <v>24.48</v>
          </cell>
        </row>
        <row r="280">
          <cell r="B280" t="str">
            <v>Person,John H</v>
          </cell>
          <cell r="C280">
            <v>19.84</v>
          </cell>
        </row>
        <row r="281">
          <cell r="B281" t="str">
            <v>Hutchinson,Bradley T</v>
          </cell>
          <cell r="C281">
            <v>22.33</v>
          </cell>
        </row>
        <row r="282">
          <cell r="B282" t="str">
            <v>Martin,Zack D</v>
          </cell>
          <cell r="C282">
            <v>10.76</v>
          </cell>
        </row>
        <row r="283">
          <cell r="B283" t="str">
            <v>Cornell,Austin W</v>
          </cell>
          <cell r="C283">
            <v>23.5</v>
          </cell>
        </row>
        <row r="284">
          <cell r="B284" t="str">
            <v>Story,David K</v>
          </cell>
          <cell r="C284">
            <v>49.09</v>
          </cell>
        </row>
        <row r="285">
          <cell r="B285" t="str">
            <v>Hites,Pamela S</v>
          </cell>
          <cell r="C285">
            <v>33.659999999999997</v>
          </cell>
        </row>
        <row r="286">
          <cell r="B286" t="str">
            <v>Hughes,Nancy P</v>
          </cell>
          <cell r="C286">
            <v>41.99</v>
          </cell>
        </row>
        <row r="287">
          <cell r="B287" t="str">
            <v>Moore,John D.</v>
          </cell>
          <cell r="C287">
            <v>39.07</v>
          </cell>
        </row>
        <row r="288">
          <cell r="B288" t="str">
            <v>Payne,Sherri L.</v>
          </cell>
          <cell r="C288">
            <v>40.020000000000003</v>
          </cell>
        </row>
        <row r="289">
          <cell r="B289" t="str">
            <v>Glazier,Paul E</v>
          </cell>
          <cell r="C289">
            <v>23.4</v>
          </cell>
        </row>
        <row r="290">
          <cell r="B290" t="str">
            <v>Rehberg,Molan</v>
          </cell>
          <cell r="C290">
            <v>59.36</v>
          </cell>
        </row>
        <row r="291">
          <cell r="B291" t="str">
            <v>Contreras,Billie J</v>
          </cell>
          <cell r="C291">
            <v>24.84</v>
          </cell>
        </row>
        <row r="292">
          <cell r="B292" t="str">
            <v>Macgregor,John H</v>
          </cell>
          <cell r="C292">
            <v>53.23</v>
          </cell>
        </row>
        <row r="293">
          <cell r="B293" t="str">
            <v>Jones,Larry V</v>
          </cell>
          <cell r="C293">
            <v>56.38</v>
          </cell>
        </row>
        <row r="294">
          <cell r="B294" t="str">
            <v>Loucks,Michael J</v>
          </cell>
          <cell r="C294">
            <v>62.06</v>
          </cell>
        </row>
        <row r="295">
          <cell r="B295" t="str">
            <v>Brenner,William R.</v>
          </cell>
          <cell r="C295">
            <v>20.2</v>
          </cell>
        </row>
        <row r="296">
          <cell r="B296" t="str">
            <v>Holman,Jerome S</v>
          </cell>
          <cell r="C296">
            <v>23.64</v>
          </cell>
        </row>
        <row r="297">
          <cell r="B297" t="str">
            <v>Fallert,David E</v>
          </cell>
          <cell r="C297">
            <v>41.48</v>
          </cell>
        </row>
        <row r="298">
          <cell r="B298" t="str">
            <v>Martin,Brian D</v>
          </cell>
          <cell r="C298">
            <v>37.56</v>
          </cell>
        </row>
        <row r="299">
          <cell r="B299" t="str">
            <v>Ullah,Bakib</v>
          </cell>
          <cell r="C299">
            <v>44.72</v>
          </cell>
        </row>
        <row r="300">
          <cell r="B300" t="str">
            <v>Carr,Timothy R</v>
          </cell>
          <cell r="C300">
            <v>61.27</v>
          </cell>
        </row>
        <row r="301">
          <cell r="B301" t="str">
            <v>Carluccio,Christine</v>
          </cell>
          <cell r="C301">
            <v>29.795999999999999</v>
          </cell>
        </row>
        <row r="302">
          <cell r="B302" t="str">
            <v>Bunner,Christopher L</v>
          </cell>
          <cell r="C302">
            <v>32.909999999999997</v>
          </cell>
        </row>
        <row r="303">
          <cell r="B303" t="str">
            <v>Marquez,Miguel A</v>
          </cell>
          <cell r="C303">
            <v>23.8</v>
          </cell>
        </row>
        <row r="304">
          <cell r="B304" t="str">
            <v>Hall,Lolita M</v>
          </cell>
          <cell r="C304">
            <v>35.799999999999997</v>
          </cell>
        </row>
        <row r="305">
          <cell r="B305" t="str">
            <v>Prewitt,David G</v>
          </cell>
          <cell r="C305">
            <v>23</v>
          </cell>
        </row>
        <row r="306">
          <cell r="B306" t="str">
            <v>Blindauer,Dane J</v>
          </cell>
          <cell r="C306">
            <v>55.27</v>
          </cell>
        </row>
        <row r="307">
          <cell r="B307" t="str">
            <v>Johnson,Helen L</v>
          </cell>
          <cell r="C307">
            <v>31.78</v>
          </cell>
        </row>
        <row r="308">
          <cell r="B308" t="str">
            <v>Gosa,Melinda</v>
          </cell>
          <cell r="C308">
            <v>30.94</v>
          </cell>
        </row>
        <row r="309">
          <cell r="B309" t="str">
            <v>Clarke,Amanda</v>
          </cell>
          <cell r="C309">
            <v>14.91</v>
          </cell>
        </row>
        <row r="310">
          <cell r="B310" t="str">
            <v>Allred,James B</v>
          </cell>
          <cell r="C310">
            <v>73.290000000000006</v>
          </cell>
        </row>
        <row r="311">
          <cell r="B311" t="str">
            <v>Gardiner,Francis A</v>
          </cell>
          <cell r="C311">
            <v>27.5</v>
          </cell>
        </row>
        <row r="312">
          <cell r="B312" t="str">
            <v>Gibson,Jessica A</v>
          </cell>
          <cell r="C312">
            <v>39.43</v>
          </cell>
        </row>
        <row r="313">
          <cell r="B313" t="str">
            <v>Reid Jr.,Robert E</v>
          </cell>
          <cell r="C313">
            <v>86.25</v>
          </cell>
        </row>
        <row r="314">
          <cell r="B314" t="str">
            <v>Harrell,William E</v>
          </cell>
          <cell r="C314">
            <v>45.863999999999997</v>
          </cell>
        </row>
        <row r="315">
          <cell r="B315" t="str">
            <v>Fleming,Norman D</v>
          </cell>
          <cell r="C315">
            <v>45.63</v>
          </cell>
        </row>
        <row r="316">
          <cell r="B316" t="str">
            <v>Nord,John D</v>
          </cell>
          <cell r="C316">
            <v>54.85</v>
          </cell>
        </row>
        <row r="317">
          <cell r="B317" t="str">
            <v>Szachnitowski,Michael J</v>
          </cell>
          <cell r="C317">
            <v>38.619999999999997</v>
          </cell>
        </row>
        <row r="318">
          <cell r="B318" t="str">
            <v>Brightwell,Olivia H</v>
          </cell>
          <cell r="C318">
            <v>18.7</v>
          </cell>
        </row>
        <row r="319">
          <cell r="B319" t="str">
            <v>Kennison,Debra A</v>
          </cell>
          <cell r="C319">
            <v>29</v>
          </cell>
        </row>
        <row r="320">
          <cell r="B320" t="str">
            <v>Caravantes,Maria A</v>
          </cell>
          <cell r="C320">
            <v>22.71</v>
          </cell>
        </row>
        <row r="321">
          <cell r="B321" t="str">
            <v>Cooper,William E</v>
          </cell>
          <cell r="C321">
            <v>16.399999999999999</v>
          </cell>
        </row>
        <row r="322">
          <cell r="B322" t="str">
            <v>Medina II,Hector M</v>
          </cell>
          <cell r="C322">
            <v>21.03</v>
          </cell>
        </row>
        <row r="323">
          <cell r="B323" t="str">
            <v>Logan,Nakisha N</v>
          </cell>
          <cell r="C323">
            <v>35.11</v>
          </cell>
        </row>
        <row r="324">
          <cell r="B324" t="str">
            <v>Rivera,Edward L</v>
          </cell>
          <cell r="C324">
            <v>19.82</v>
          </cell>
        </row>
        <row r="325">
          <cell r="B325" t="str">
            <v>Nuuanu,Leo I</v>
          </cell>
          <cell r="C325">
            <v>24</v>
          </cell>
        </row>
        <row r="326">
          <cell r="B326" t="str">
            <v>Sinclair,Christopher A</v>
          </cell>
          <cell r="C326">
            <v>39.43</v>
          </cell>
        </row>
        <row r="327">
          <cell r="B327" t="str">
            <v>Hughes,Joseph Chris</v>
          </cell>
          <cell r="C327">
            <v>27.38</v>
          </cell>
        </row>
        <row r="328">
          <cell r="B328" t="str">
            <v>Burnette,Deborah L.</v>
          </cell>
          <cell r="C328">
            <v>22.81</v>
          </cell>
        </row>
        <row r="329">
          <cell r="B329" t="str">
            <v>Bright,Alan K</v>
          </cell>
          <cell r="C329">
            <v>45.97</v>
          </cell>
        </row>
        <row r="330">
          <cell r="B330" t="str">
            <v>Fears,Michael D</v>
          </cell>
          <cell r="C330">
            <v>36.58</v>
          </cell>
        </row>
        <row r="331">
          <cell r="B331" t="str">
            <v>Slusher,Michael D</v>
          </cell>
          <cell r="C331">
            <v>66.39</v>
          </cell>
        </row>
        <row r="332">
          <cell r="B332" t="str">
            <v>Bowman,Todd</v>
          </cell>
          <cell r="C332">
            <v>17.690000000000001</v>
          </cell>
        </row>
        <row r="333">
          <cell r="B333" t="str">
            <v>Johnson,David C</v>
          </cell>
          <cell r="C333">
            <v>45.84</v>
          </cell>
        </row>
        <row r="334">
          <cell r="B334" t="str">
            <v>Patrick,Brian G</v>
          </cell>
          <cell r="C334">
            <v>42.2</v>
          </cell>
        </row>
        <row r="335">
          <cell r="B335" t="str">
            <v>Castro,Marcel S</v>
          </cell>
          <cell r="C335">
            <v>42.5</v>
          </cell>
        </row>
        <row r="336">
          <cell r="B336" t="str">
            <v>Rosenberg,Linda A</v>
          </cell>
          <cell r="C336">
            <v>30.32</v>
          </cell>
        </row>
        <row r="337">
          <cell r="B337" t="str">
            <v>Daniel,Montez A</v>
          </cell>
          <cell r="C337">
            <v>20.32</v>
          </cell>
        </row>
        <row r="338">
          <cell r="B338" t="str">
            <v>Tuckerman,Geoffrey</v>
          </cell>
          <cell r="C338">
            <v>16.41</v>
          </cell>
        </row>
        <row r="339">
          <cell r="B339" t="str">
            <v>Baumann,Joan C</v>
          </cell>
          <cell r="C339">
            <v>33.19</v>
          </cell>
        </row>
        <row r="340">
          <cell r="B340" t="str">
            <v>Brady,Malcolm W</v>
          </cell>
          <cell r="C340">
            <v>67.64</v>
          </cell>
        </row>
        <row r="341">
          <cell r="B341" t="str">
            <v>Schirmacher,John D</v>
          </cell>
          <cell r="C341">
            <v>26.38</v>
          </cell>
        </row>
        <row r="342">
          <cell r="B342" t="str">
            <v>Dietz,James N</v>
          </cell>
          <cell r="C342">
            <v>39.090000000000003</v>
          </cell>
        </row>
        <row r="343">
          <cell r="B343" t="str">
            <v>Craig,Chauncy D</v>
          </cell>
          <cell r="C343">
            <v>31.5</v>
          </cell>
        </row>
        <row r="344">
          <cell r="B344" t="str">
            <v>Petit,Ira D</v>
          </cell>
          <cell r="C344">
            <v>28.87</v>
          </cell>
        </row>
        <row r="345">
          <cell r="B345" t="str">
            <v>Lin,Elsa M</v>
          </cell>
          <cell r="C345">
            <v>64.739999999999995</v>
          </cell>
        </row>
        <row r="346">
          <cell r="B346" t="str">
            <v>Wilde,Robert L</v>
          </cell>
          <cell r="C346">
            <v>65.53</v>
          </cell>
        </row>
        <row r="347">
          <cell r="B347" t="str">
            <v>Huckins,Arthur D</v>
          </cell>
          <cell r="C347">
            <v>19.55</v>
          </cell>
        </row>
        <row r="348">
          <cell r="B348" t="str">
            <v>Goff,Darrell A</v>
          </cell>
          <cell r="C348">
            <v>43.57</v>
          </cell>
        </row>
        <row r="349">
          <cell r="B349" t="str">
            <v>Noble,Marvin A</v>
          </cell>
          <cell r="C349">
            <v>18</v>
          </cell>
        </row>
        <row r="350">
          <cell r="B350" t="str">
            <v>Pizarro,Marianna</v>
          </cell>
          <cell r="C350">
            <v>20.96</v>
          </cell>
        </row>
        <row r="351">
          <cell r="B351" t="str">
            <v>Stiefel,Dorian A</v>
          </cell>
          <cell r="C351">
            <v>73.95</v>
          </cell>
        </row>
        <row r="352">
          <cell r="B352" t="str">
            <v>Schwartz,Joseph N</v>
          </cell>
          <cell r="C352">
            <v>38.47</v>
          </cell>
        </row>
        <row r="353">
          <cell r="B353" t="str">
            <v>Libster,Eugene Y</v>
          </cell>
          <cell r="C353">
            <v>43.33</v>
          </cell>
        </row>
        <row r="354">
          <cell r="B354" t="str">
            <v>Launt,Robert</v>
          </cell>
          <cell r="C354">
            <v>42.792700000000004</v>
          </cell>
        </row>
        <row r="355">
          <cell r="B355" t="str">
            <v>Beaulieu,Raymond</v>
          </cell>
          <cell r="C355">
            <v>51.706000000000003</v>
          </cell>
        </row>
        <row r="356">
          <cell r="B356" t="str">
            <v>Donohue,Brian R</v>
          </cell>
          <cell r="C356">
            <v>46.66</v>
          </cell>
        </row>
        <row r="357">
          <cell r="B357" t="str">
            <v>Johnson,Brandi R</v>
          </cell>
          <cell r="C357">
            <v>13</v>
          </cell>
        </row>
        <row r="358">
          <cell r="B358" t="str">
            <v>Hopewell,James S</v>
          </cell>
          <cell r="C358">
            <v>45</v>
          </cell>
        </row>
        <row r="359">
          <cell r="B359" t="str">
            <v>Johansen,Robert M</v>
          </cell>
          <cell r="C359">
            <v>30.64</v>
          </cell>
        </row>
        <row r="360">
          <cell r="B360" t="str">
            <v>Squires,Michael R</v>
          </cell>
          <cell r="C360">
            <v>57.69</v>
          </cell>
        </row>
        <row r="361">
          <cell r="B361" t="str">
            <v>Boatwright,William A</v>
          </cell>
          <cell r="C361">
            <v>26</v>
          </cell>
        </row>
        <row r="362">
          <cell r="B362" t="str">
            <v>Thomas Jr.,Eddie W</v>
          </cell>
          <cell r="C362">
            <v>22.54</v>
          </cell>
        </row>
        <row r="363">
          <cell r="B363" t="str">
            <v>Watson Jr,Earl W</v>
          </cell>
          <cell r="C363">
            <v>56.41</v>
          </cell>
        </row>
        <row r="364">
          <cell r="B364" t="str">
            <v>Bland,Lance W</v>
          </cell>
          <cell r="C364">
            <v>39.89</v>
          </cell>
        </row>
        <row r="365">
          <cell r="B365" t="str">
            <v>Eerenberg,Joshua M</v>
          </cell>
          <cell r="C365">
            <v>16.61</v>
          </cell>
        </row>
        <row r="366">
          <cell r="B366" t="str">
            <v>Baum,David L</v>
          </cell>
          <cell r="C366">
            <v>40.700000000000003</v>
          </cell>
        </row>
        <row r="367">
          <cell r="B367" t="str">
            <v>Mazur,Peter W</v>
          </cell>
          <cell r="C367">
            <v>49.88</v>
          </cell>
        </row>
        <row r="368">
          <cell r="B368" t="str">
            <v>Cerrone,Armand A S</v>
          </cell>
          <cell r="C368">
            <v>67.17</v>
          </cell>
        </row>
        <row r="369">
          <cell r="B369" t="str">
            <v>Kay,David A</v>
          </cell>
          <cell r="C369">
            <v>56.03</v>
          </cell>
        </row>
        <row r="370">
          <cell r="B370" t="str">
            <v>Williams,Willard J</v>
          </cell>
          <cell r="C370">
            <v>45</v>
          </cell>
        </row>
        <row r="371">
          <cell r="B371" t="str">
            <v>Robertshaw,James E</v>
          </cell>
          <cell r="C371">
            <v>78.709999999999994</v>
          </cell>
        </row>
        <row r="372">
          <cell r="B372" t="str">
            <v>Pearson,James C</v>
          </cell>
          <cell r="C372">
            <v>52.11</v>
          </cell>
        </row>
        <row r="373">
          <cell r="B373" t="str">
            <v>Dingle,Jimmy A</v>
          </cell>
          <cell r="C373">
            <v>19.95</v>
          </cell>
        </row>
        <row r="374">
          <cell r="B374" t="str">
            <v>Barnaby,Joseph E</v>
          </cell>
          <cell r="C374">
            <v>15.44</v>
          </cell>
        </row>
        <row r="375">
          <cell r="B375" t="str">
            <v>Simmons,Kathleen E</v>
          </cell>
          <cell r="C375">
            <v>39.01</v>
          </cell>
        </row>
        <row r="376">
          <cell r="B376" t="str">
            <v>Benitez,Sneider</v>
          </cell>
          <cell r="C376">
            <v>6.41</v>
          </cell>
        </row>
        <row r="377">
          <cell r="B377" t="str">
            <v>Christensen,John D.</v>
          </cell>
          <cell r="C377">
            <v>78.47</v>
          </cell>
        </row>
        <row r="378">
          <cell r="B378" t="str">
            <v>Johnson,Mark</v>
          </cell>
          <cell r="C378">
            <v>51.8</v>
          </cell>
        </row>
        <row r="379">
          <cell r="B379" t="str">
            <v>Tatum,Parren Jamaal</v>
          </cell>
          <cell r="C379">
            <v>19.57</v>
          </cell>
        </row>
        <row r="380">
          <cell r="B380" t="str">
            <v>Abraham,Brian L.</v>
          </cell>
          <cell r="C380">
            <v>39.46</v>
          </cell>
        </row>
        <row r="381">
          <cell r="B381" t="str">
            <v>Cox,James L.</v>
          </cell>
          <cell r="C381">
            <v>43.42</v>
          </cell>
        </row>
        <row r="382">
          <cell r="B382" t="str">
            <v>LaSala,Laura J.</v>
          </cell>
          <cell r="C382">
            <v>27.46</v>
          </cell>
        </row>
        <row r="383">
          <cell r="B383" t="str">
            <v>Alvarado,Rosa A</v>
          </cell>
          <cell r="C383">
            <v>25.750499999999999</v>
          </cell>
        </row>
        <row r="384">
          <cell r="B384" t="str">
            <v>Negron,Luis F</v>
          </cell>
          <cell r="C384">
            <v>16.72</v>
          </cell>
        </row>
        <row r="385">
          <cell r="B385" t="str">
            <v>Seda-Ortiz,Norberto</v>
          </cell>
          <cell r="C385">
            <v>28.95</v>
          </cell>
        </row>
        <row r="386">
          <cell r="B386" t="str">
            <v>Kane,Gregory B</v>
          </cell>
          <cell r="C386">
            <v>58.76</v>
          </cell>
        </row>
        <row r="387">
          <cell r="B387" t="str">
            <v>Ribera,Richard E.</v>
          </cell>
          <cell r="C387">
            <v>58.66</v>
          </cell>
        </row>
        <row r="388">
          <cell r="B388" t="str">
            <v>Johnson,Mark J</v>
          </cell>
          <cell r="C388">
            <v>40.619999999999997</v>
          </cell>
        </row>
        <row r="389">
          <cell r="B389" t="str">
            <v>Sitar,Danel</v>
          </cell>
          <cell r="C389">
            <v>24.5</v>
          </cell>
        </row>
        <row r="390">
          <cell r="B390" t="str">
            <v>Prybyloski,Clemens C</v>
          </cell>
          <cell r="C390">
            <v>40</v>
          </cell>
        </row>
        <row r="391">
          <cell r="B391" t="str">
            <v>Grays,Leon M</v>
          </cell>
          <cell r="C391">
            <v>23</v>
          </cell>
        </row>
        <row r="392">
          <cell r="B392" t="str">
            <v>Woods,Toni J</v>
          </cell>
          <cell r="C392">
            <v>36.700000000000003</v>
          </cell>
        </row>
        <row r="393">
          <cell r="B393" t="str">
            <v>Davis Jr.,Carroll B</v>
          </cell>
          <cell r="C393">
            <v>49.22</v>
          </cell>
        </row>
        <row r="394">
          <cell r="B394" t="str">
            <v>Roberts,Joseph T</v>
          </cell>
          <cell r="C394">
            <v>70.88</v>
          </cell>
        </row>
        <row r="395">
          <cell r="B395" t="str">
            <v>Gilliam,Michael A</v>
          </cell>
          <cell r="C395">
            <v>19.149999999999999</v>
          </cell>
        </row>
        <row r="396">
          <cell r="B396" t="str">
            <v>Donaldson,David A</v>
          </cell>
          <cell r="C396">
            <v>20.5</v>
          </cell>
        </row>
        <row r="397">
          <cell r="B397" t="str">
            <v>Hart,Ronny D</v>
          </cell>
          <cell r="C397">
            <v>21.64</v>
          </cell>
        </row>
        <row r="398">
          <cell r="B398" t="str">
            <v>Mentzer,Clement C</v>
          </cell>
          <cell r="C398">
            <v>22.94</v>
          </cell>
        </row>
        <row r="399">
          <cell r="B399" t="str">
            <v>Leveridge,Thadius L.</v>
          </cell>
          <cell r="C399">
            <v>30.74</v>
          </cell>
        </row>
        <row r="400">
          <cell r="B400" t="str">
            <v>Cummings,Corey M</v>
          </cell>
          <cell r="C400">
            <v>19.89</v>
          </cell>
        </row>
        <row r="401">
          <cell r="B401" t="str">
            <v>Francis,Nicholas</v>
          </cell>
          <cell r="C401">
            <v>20.75</v>
          </cell>
        </row>
        <row r="402">
          <cell r="B402" t="str">
            <v>Chevis,Darnell L</v>
          </cell>
          <cell r="C402">
            <v>19.21</v>
          </cell>
        </row>
        <row r="403">
          <cell r="B403" t="str">
            <v>Cross,Robert W</v>
          </cell>
          <cell r="C403">
            <v>49.04</v>
          </cell>
        </row>
        <row r="404">
          <cell r="B404" t="str">
            <v>Harmer,Richard A</v>
          </cell>
          <cell r="C404">
            <v>28.92</v>
          </cell>
        </row>
        <row r="405">
          <cell r="B405" t="str">
            <v>Bower,Debrina B</v>
          </cell>
          <cell r="C405">
            <v>17.47</v>
          </cell>
        </row>
        <row r="406">
          <cell r="B406" t="str">
            <v>Pizer,David A</v>
          </cell>
          <cell r="C406">
            <v>43.08</v>
          </cell>
        </row>
        <row r="407">
          <cell r="B407" t="str">
            <v>Crowder,Lee M</v>
          </cell>
          <cell r="C407">
            <v>46.61</v>
          </cell>
        </row>
        <row r="408">
          <cell r="B408" t="str">
            <v>Bovill,Robert A</v>
          </cell>
          <cell r="C408">
            <v>31.25</v>
          </cell>
        </row>
        <row r="409">
          <cell r="B409" t="str">
            <v>Parrish,Jerry E</v>
          </cell>
          <cell r="C409">
            <v>27.09</v>
          </cell>
        </row>
        <row r="410">
          <cell r="B410" t="str">
            <v>Stokes,Traven O</v>
          </cell>
          <cell r="C410">
            <v>20.91</v>
          </cell>
        </row>
        <row r="411">
          <cell r="B411" t="str">
            <v>Rowe,Glenn M</v>
          </cell>
          <cell r="C411">
            <v>21.21</v>
          </cell>
        </row>
        <row r="412">
          <cell r="B412" t="str">
            <v>Connor,William B.</v>
          </cell>
          <cell r="C412">
            <v>62.5</v>
          </cell>
        </row>
        <row r="413">
          <cell r="B413" t="str">
            <v>Ganger,Charles A</v>
          </cell>
          <cell r="C413">
            <v>51.400399999999998</v>
          </cell>
        </row>
        <row r="414">
          <cell r="B414" t="str">
            <v>Bradley,Bonnie S</v>
          </cell>
          <cell r="C414">
            <v>22.5258</v>
          </cell>
        </row>
        <row r="415">
          <cell r="B415" t="str">
            <v>Zimmerman,Penny L</v>
          </cell>
          <cell r="C415">
            <v>55.33</v>
          </cell>
        </row>
        <row r="416">
          <cell r="B416" t="str">
            <v>Broom,Joyce B</v>
          </cell>
          <cell r="C416">
            <v>65.55</v>
          </cell>
        </row>
        <row r="417">
          <cell r="B417" t="str">
            <v>Hampton-Williams,Kathe M</v>
          </cell>
          <cell r="C417">
            <v>28.13</v>
          </cell>
        </row>
        <row r="418">
          <cell r="B418" t="str">
            <v>Dodds,Robert</v>
          </cell>
          <cell r="C418">
            <v>19.48</v>
          </cell>
        </row>
        <row r="419">
          <cell r="B419" t="str">
            <v>Jacob,Charles R</v>
          </cell>
          <cell r="C419">
            <v>22.44</v>
          </cell>
        </row>
        <row r="420">
          <cell r="B420" t="str">
            <v>Anderson,James C</v>
          </cell>
          <cell r="C420">
            <v>32.611899999999999</v>
          </cell>
        </row>
        <row r="421">
          <cell r="B421" t="str">
            <v>Haines-Parmele,Barbara E</v>
          </cell>
          <cell r="C421">
            <v>54.97</v>
          </cell>
        </row>
        <row r="422">
          <cell r="B422" t="str">
            <v>Covey,Chad M</v>
          </cell>
          <cell r="C422">
            <v>22.05</v>
          </cell>
        </row>
        <row r="423">
          <cell r="B423" t="str">
            <v>Tyler,Kyna R</v>
          </cell>
          <cell r="C423">
            <v>17.84</v>
          </cell>
        </row>
        <row r="424">
          <cell r="B424" t="str">
            <v>Cheatham,Darryl M</v>
          </cell>
          <cell r="C424">
            <v>16.47</v>
          </cell>
        </row>
        <row r="425">
          <cell r="B425" t="str">
            <v>Alvarez,Rodolfo A</v>
          </cell>
          <cell r="C425">
            <v>20.59</v>
          </cell>
        </row>
        <row r="426">
          <cell r="B426" t="str">
            <v>Rumph Jr.,Briggs O</v>
          </cell>
          <cell r="C426">
            <v>19.02</v>
          </cell>
        </row>
        <row r="427">
          <cell r="B427" t="str">
            <v>Guignard,Gregory M</v>
          </cell>
          <cell r="C427">
            <v>42.33</v>
          </cell>
        </row>
        <row r="428">
          <cell r="B428" t="str">
            <v>Chambers,Crystal H</v>
          </cell>
          <cell r="C428">
            <v>41.18</v>
          </cell>
        </row>
        <row r="429">
          <cell r="B429" t="str">
            <v>Sullivan,Gloria J</v>
          </cell>
          <cell r="C429">
            <v>33</v>
          </cell>
        </row>
        <row r="430">
          <cell r="B430" t="str">
            <v>Beasley,Kimberly D</v>
          </cell>
          <cell r="C430">
            <v>23.75</v>
          </cell>
        </row>
        <row r="431">
          <cell r="B431" t="str">
            <v>Volpe,Charles E</v>
          </cell>
          <cell r="C431">
            <v>23.4</v>
          </cell>
        </row>
        <row r="432">
          <cell r="B432" t="str">
            <v>Lightner,Dustin W</v>
          </cell>
          <cell r="C432">
            <v>20.05</v>
          </cell>
        </row>
        <row r="433">
          <cell r="B433" t="str">
            <v>Milanese,Erica M</v>
          </cell>
          <cell r="C433">
            <v>24.29</v>
          </cell>
        </row>
        <row r="434">
          <cell r="B434" t="str">
            <v>Hauptman,Jessica M</v>
          </cell>
          <cell r="C434">
            <v>25.95</v>
          </cell>
        </row>
        <row r="435">
          <cell r="B435" t="str">
            <v>Min,Teak K.</v>
          </cell>
          <cell r="C435">
            <v>50.1</v>
          </cell>
        </row>
        <row r="436">
          <cell r="B436" t="str">
            <v>Headrick,Jerome D</v>
          </cell>
          <cell r="C436">
            <v>52.99</v>
          </cell>
        </row>
        <row r="437">
          <cell r="B437" t="str">
            <v>Lundy,Diane L</v>
          </cell>
          <cell r="C437">
            <v>23.5</v>
          </cell>
        </row>
        <row r="438">
          <cell r="B438" t="str">
            <v>Johnson,Harold R</v>
          </cell>
          <cell r="C438">
            <v>37.6</v>
          </cell>
        </row>
        <row r="439">
          <cell r="B439" t="str">
            <v>Chang,Emmeline A</v>
          </cell>
          <cell r="C439">
            <v>51.11</v>
          </cell>
        </row>
        <row r="440">
          <cell r="B440" t="str">
            <v>Johnston III,J Ford</v>
          </cell>
          <cell r="C440">
            <v>40.869999999999997</v>
          </cell>
        </row>
        <row r="441">
          <cell r="B441" t="str">
            <v>Wines,Sheila M</v>
          </cell>
          <cell r="C441">
            <v>24.26</v>
          </cell>
        </row>
        <row r="442">
          <cell r="B442" t="str">
            <v>Hawkins,Kenneth</v>
          </cell>
          <cell r="C442">
            <v>45.68</v>
          </cell>
        </row>
        <row r="443">
          <cell r="B443" t="str">
            <v>Seavers,Robert C</v>
          </cell>
          <cell r="C443">
            <v>45.92</v>
          </cell>
        </row>
        <row r="444">
          <cell r="B444" t="str">
            <v>Henry,Michelle W</v>
          </cell>
          <cell r="C444">
            <v>31.3</v>
          </cell>
        </row>
        <row r="445">
          <cell r="B445" t="str">
            <v>Fuller,John L.</v>
          </cell>
          <cell r="C445">
            <v>52.48</v>
          </cell>
        </row>
        <row r="446">
          <cell r="B446" t="str">
            <v>Perreault,Elvie M</v>
          </cell>
          <cell r="C446">
            <v>46.24</v>
          </cell>
        </row>
        <row r="447">
          <cell r="B447" t="str">
            <v>Alcorn,Charles W</v>
          </cell>
          <cell r="C447">
            <v>78.458299999999994</v>
          </cell>
        </row>
        <row r="448">
          <cell r="B448" t="str">
            <v>Gallegos,Adrian J</v>
          </cell>
          <cell r="C448">
            <v>21.17</v>
          </cell>
        </row>
        <row r="449">
          <cell r="B449" t="str">
            <v>Keith,Sarah B</v>
          </cell>
          <cell r="C449">
            <v>32.932600000000001</v>
          </cell>
        </row>
        <row r="450">
          <cell r="B450" t="str">
            <v>Rogers,James K</v>
          </cell>
          <cell r="C450">
            <v>19</v>
          </cell>
        </row>
        <row r="451">
          <cell r="B451" t="str">
            <v>Washington II,Paul J</v>
          </cell>
          <cell r="C451">
            <v>19</v>
          </cell>
        </row>
        <row r="452">
          <cell r="B452" t="str">
            <v>Schmidt,Erik E</v>
          </cell>
          <cell r="C452">
            <v>45.99</v>
          </cell>
        </row>
        <row r="453">
          <cell r="B453" t="str">
            <v>Clepper,Thomas W</v>
          </cell>
          <cell r="C453">
            <v>42.84</v>
          </cell>
        </row>
        <row r="454">
          <cell r="B454" t="str">
            <v>Garcia,Luis M</v>
          </cell>
          <cell r="C454">
            <v>50.49</v>
          </cell>
        </row>
        <row r="455">
          <cell r="B455" t="str">
            <v>Petersen,Marc G</v>
          </cell>
          <cell r="C455">
            <v>19.989999999999998</v>
          </cell>
        </row>
        <row r="456">
          <cell r="B456" t="str">
            <v>Covington,William A.</v>
          </cell>
          <cell r="C456">
            <v>68.69</v>
          </cell>
        </row>
        <row r="457">
          <cell r="B457" t="str">
            <v>Cook,Bonnie J</v>
          </cell>
          <cell r="C457">
            <v>127.17</v>
          </cell>
        </row>
        <row r="458">
          <cell r="B458" t="str">
            <v>Niemcewicz,Keith A</v>
          </cell>
          <cell r="C458">
            <v>63.69</v>
          </cell>
        </row>
        <row r="459">
          <cell r="B459" t="str">
            <v>Williams,Marvin A</v>
          </cell>
          <cell r="C459">
            <v>19.5</v>
          </cell>
        </row>
        <row r="460">
          <cell r="B460" t="str">
            <v>Michaud,Robert</v>
          </cell>
          <cell r="C460">
            <v>110.25</v>
          </cell>
        </row>
        <row r="461">
          <cell r="B461" t="str">
            <v>Mannino,Paul A</v>
          </cell>
          <cell r="C461">
            <v>84.14</v>
          </cell>
        </row>
        <row r="462">
          <cell r="B462" t="str">
            <v>Eisele,Matthew R</v>
          </cell>
          <cell r="C462">
            <v>39.5</v>
          </cell>
        </row>
        <row r="463">
          <cell r="B463" t="str">
            <v>Rounds,Michele M</v>
          </cell>
          <cell r="C463">
            <v>26.2</v>
          </cell>
        </row>
        <row r="464">
          <cell r="B464" t="str">
            <v>Cratty,Larry W</v>
          </cell>
          <cell r="C464">
            <v>20.76</v>
          </cell>
        </row>
        <row r="465">
          <cell r="B465" t="str">
            <v>Thomson,Mary E</v>
          </cell>
          <cell r="C465">
            <v>51.69</v>
          </cell>
        </row>
        <row r="466">
          <cell r="B466" t="str">
            <v>Smith,David E</v>
          </cell>
          <cell r="C466">
            <v>25.5</v>
          </cell>
        </row>
        <row r="467">
          <cell r="B467" t="str">
            <v>Ciliberti,Anthony G</v>
          </cell>
          <cell r="C467">
            <v>22.5</v>
          </cell>
        </row>
        <row r="468">
          <cell r="B468" t="str">
            <v>Lindsay,Anthony L</v>
          </cell>
          <cell r="C468">
            <v>40.4</v>
          </cell>
        </row>
        <row r="469">
          <cell r="B469" t="str">
            <v>Beale,Christine A</v>
          </cell>
          <cell r="C469">
            <v>17.23</v>
          </cell>
        </row>
        <row r="470">
          <cell r="B470" t="str">
            <v>Frank,Annie Jo L</v>
          </cell>
          <cell r="C470">
            <v>34.619999999999997</v>
          </cell>
        </row>
        <row r="471">
          <cell r="B471" t="str">
            <v>Wali,Abdul</v>
          </cell>
          <cell r="C471">
            <v>39.18</v>
          </cell>
        </row>
        <row r="472">
          <cell r="B472" t="str">
            <v>Brown,Stanley E</v>
          </cell>
          <cell r="C472">
            <v>46.11</v>
          </cell>
        </row>
        <row r="473">
          <cell r="B473" t="str">
            <v>Moran,Cedric D</v>
          </cell>
          <cell r="C473">
            <v>39.5</v>
          </cell>
        </row>
        <row r="474">
          <cell r="B474" t="str">
            <v>Ortiz,Herman V</v>
          </cell>
          <cell r="C474">
            <v>20.5</v>
          </cell>
        </row>
        <row r="475">
          <cell r="B475" t="str">
            <v>Stevens,O.C.</v>
          </cell>
          <cell r="C475">
            <v>36</v>
          </cell>
        </row>
        <row r="476">
          <cell r="B476" t="str">
            <v>Fleming,James M</v>
          </cell>
          <cell r="C476">
            <v>60.1</v>
          </cell>
        </row>
        <row r="477">
          <cell r="B477" t="str">
            <v>Perini,Andrew D</v>
          </cell>
          <cell r="C477">
            <v>84.03</v>
          </cell>
        </row>
        <row r="478">
          <cell r="B478" t="str">
            <v>Battle,Sabrina D</v>
          </cell>
          <cell r="C478">
            <v>25.37</v>
          </cell>
        </row>
        <row r="479">
          <cell r="B479" t="str">
            <v>Best,Donna N</v>
          </cell>
          <cell r="C479">
            <v>20.059999999999999</v>
          </cell>
        </row>
        <row r="480">
          <cell r="B480" t="str">
            <v>Linden Jr.,Laurence E</v>
          </cell>
          <cell r="C480">
            <v>15.43</v>
          </cell>
        </row>
        <row r="481">
          <cell r="B481" t="str">
            <v>Barretta,Allison</v>
          </cell>
          <cell r="C481">
            <v>45.42</v>
          </cell>
        </row>
        <row r="482">
          <cell r="B482" t="str">
            <v>Chambers Jr.,James J</v>
          </cell>
          <cell r="C482">
            <v>71.180000000000007</v>
          </cell>
        </row>
        <row r="483">
          <cell r="B483" t="str">
            <v>Wise,Henry L</v>
          </cell>
          <cell r="C483">
            <v>43.95</v>
          </cell>
        </row>
        <row r="484">
          <cell r="B484" t="str">
            <v>Hessler,Susan</v>
          </cell>
          <cell r="C484">
            <v>39.479999999999997</v>
          </cell>
        </row>
        <row r="485">
          <cell r="B485" t="str">
            <v>Barnes,George W</v>
          </cell>
          <cell r="C485">
            <v>19.850000000000001</v>
          </cell>
        </row>
        <row r="486">
          <cell r="B486" t="str">
            <v>Donato,Alvin P</v>
          </cell>
          <cell r="C486">
            <v>56.78</v>
          </cell>
        </row>
        <row r="487">
          <cell r="B487" t="str">
            <v>Pressley,Jeremy E</v>
          </cell>
          <cell r="C487">
            <v>12.5</v>
          </cell>
        </row>
        <row r="488">
          <cell r="B488" t="str">
            <v>Varnado,Demetrius A</v>
          </cell>
          <cell r="C488">
            <v>20</v>
          </cell>
        </row>
        <row r="489">
          <cell r="B489" t="str">
            <v>Schneider,Donald J</v>
          </cell>
          <cell r="C489">
            <v>19</v>
          </cell>
        </row>
        <row r="490">
          <cell r="B490" t="str">
            <v>Lier,Charles J</v>
          </cell>
          <cell r="C490">
            <v>22.62</v>
          </cell>
        </row>
        <row r="491">
          <cell r="B491" t="str">
            <v>Kinkead,Brad L</v>
          </cell>
          <cell r="C491">
            <v>67.5</v>
          </cell>
        </row>
        <row r="492">
          <cell r="B492" t="str">
            <v>Aamodt,Leonard</v>
          </cell>
          <cell r="C492">
            <v>33.96</v>
          </cell>
        </row>
        <row r="493">
          <cell r="B493" t="str">
            <v>Hanson,Lorne N</v>
          </cell>
          <cell r="C493">
            <v>69.72</v>
          </cell>
        </row>
        <row r="494">
          <cell r="B494" t="str">
            <v>Doman,Lisa M</v>
          </cell>
          <cell r="C494">
            <v>33.07</v>
          </cell>
        </row>
        <row r="495">
          <cell r="B495" t="str">
            <v>Enoch,Gail R</v>
          </cell>
          <cell r="C495">
            <v>42.3</v>
          </cell>
        </row>
        <row r="496">
          <cell r="B496" t="str">
            <v>Upshur,Robert L</v>
          </cell>
          <cell r="C496">
            <v>22.1</v>
          </cell>
        </row>
        <row r="497">
          <cell r="B497" t="str">
            <v>Gutierrez,Oscar I</v>
          </cell>
          <cell r="C497">
            <v>19.82</v>
          </cell>
        </row>
        <row r="498">
          <cell r="B498" t="str">
            <v>Carrier,Jeffrey L</v>
          </cell>
          <cell r="C498">
            <v>23.23</v>
          </cell>
        </row>
        <row r="499">
          <cell r="B499" t="str">
            <v>Bell,Anthony M</v>
          </cell>
          <cell r="C499">
            <v>24.1</v>
          </cell>
        </row>
        <row r="500">
          <cell r="B500" t="str">
            <v>Kanavos,Jay N</v>
          </cell>
          <cell r="C500">
            <v>63.92</v>
          </cell>
        </row>
        <row r="501">
          <cell r="B501" t="str">
            <v>Bonales-Joseph,Janeth</v>
          </cell>
          <cell r="C501">
            <v>20</v>
          </cell>
        </row>
        <row r="502">
          <cell r="B502" t="str">
            <v>Diaz,Bladimir Jose Lozano</v>
          </cell>
          <cell r="C502">
            <v>6.4</v>
          </cell>
        </row>
        <row r="503">
          <cell r="B503" t="str">
            <v>Champaign III,Hercules</v>
          </cell>
          <cell r="C503">
            <v>20.02</v>
          </cell>
        </row>
        <row r="504">
          <cell r="B504" t="str">
            <v>Lira,Angela R.</v>
          </cell>
          <cell r="C504">
            <v>41.02</v>
          </cell>
        </row>
        <row r="505">
          <cell r="B505" t="str">
            <v>Brewington,LeTonya M</v>
          </cell>
          <cell r="C505">
            <v>25</v>
          </cell>
        </row>
        <row r="506">
          <cell r="B506" t="str">
            <v>Johnson Jr,William M</v>
          </cell>
          <cell r="C506">
            <v>27.39</v>
          </cell>
        </row>
        <row r="507">
          <cell r="B507" t="str">
            <v>Sattler,Martin J.</v>
          </cell>
          <cell r="C507">
            <v>69.459999999999994</v>
          </cell>
        </row>
        <row r="508">
          <cell r="B508" t="str">
            <v>Hicks,James F</v>
          </cell>
          <cell r="C508">
            <v>45.192374999999998</v>
          </cell>
        </row>
        <row r="509">
          <cell r="B509" t="str">
            <v>Chuang,John H.</v>
          </cell>
          <cell r="C509">
            <v>61.09</v>
          </cell>
        </row>
        <row r="510">
          <cell r="B510" t="str">
            <v>Jimenez,Jaime</v>
          </cell>
          <cell r="C510">
            <v>19.7</v>
          </cell>
        </row>
        <row r="511">
          <cell r="B511" t="str">
            <v>Ramsey,Katherine</v>
          </cell>
          <cell r="C511">
            <v>21.64</v>
          </cell>
        </row>
        <row r="512">
          <cell r="B512" t="str">
            <v>Mardis,James R</v>
          </cell>
          <cell r="C512">
            <v>9.58</v>
          </cell>
        </row>
        <row r="513">
          <cell r="B513" t="str">
            <v>Ellison,Deborah L</v>
          </cell>
          <cell r="C513">
            <v>41.14</v>
          </cell>
        </row>
        <row r="514">
          <cell r="B514" t="str">
            <v>Nash,Angelia D</v>
          </cell>
          <cell r="C514">
            <v>26.45</v>
          </cell>
        </row>
        <row r="515">
          <cell r="B515" t="str">
            <v>Uwins,James</v>
          </cell>
          <cell r="C515">
            <v>43.269300000000001</v>
          </cell>
        </row>
        <row r="516">
          <cell r="B516" t="str">
            <v>Richins,Kenneth C</v>
          </cell>
          <cell r="C516">
            <v>12.3</v>
          </cell>
        </row>
        <row r="517">
          <cell r="B517" t="str">
            <v>Davis,Thomas P</v>
          </cell>
          <cell r="C517">
            <v>52.89</v>
          </cell>
        </row>
        <row r="518">
          <cell r="B518" t="str">
            <v>Ullman,Brian E</v>
          </cell>
          <cell r="C518">
            <v>21.5</v>
          </cell>
        </row>
        <row r="519">
          <cell r="B519" t="str">
            <v>Headrick,Paul M</v>
          </cell>
          <cell r="C519">
            <v>24.5</v>
          </cell>
        </row>
        <row r="520">
          <cell r="B520" t="str">
            <v>Brown,Timothy</v>
          </cell>
          <cell r="C520">
            <v>20.5</v>
          </cell>
        </row>
        <row r="521">
          <cell r="B521" t="str">
            <v>Arana,Javier</v>
          </cell>
          <cell r="C521">
            <v>20</v>
          </cell>
        </row>
        <row r="522">
          <cell r="B522" t="str">
            <v>Rygiel,Paul R</v>
          </cell>
          <cell r="C522">
            <v>62.5</v>
          </cell>
        </row>
        <row r="523">
          <cell r="B523" t="str">
            <v>Tuininga,Jason L</v>
          </cell>
          <cell r="C523">
            <v>38.47</v>
          </cell>
        </row>
        <row r="524">
          <cell r="B524" t="str">
            <v>Shores,Charles A</v>
          </cell>
          <cell r="C524">
            <v>18</v>
          </cell>
        </row>
        <row r="525">
          <cell r="B525" t="str">
            <v>Gillman,Neil</v>
          </cell>
          <cell r="C525">
            <v>36.06</v>
          </cell>
        </row>
        <row r="526">
          <cell r="B526" t="str">
            <v>Zaheeruddin,Syed</v>
          </cell>
          <cell r="C526">
            <v>19.38</v>
          </cell>
        </row>
        <row r="527">
          <cell r="B527" t="str">
            <v>Baessler,Stephanie M</v>
          </cell>
          <cell r="C527">
            <v>42.78</v>
          </cell>
        </row>
        <row r="528">
          <cell r="B528" t="str">
            <v>Wynder,Paul E</v>
          </cell>
          <cell r="C528">
            <v>21</v>
          </cell>
        </row>
        <row r="529">
          <cell r="B529" t="str">
            <v>Taylor,Laura D</v>
          </cell>
          <cell r="C529">
            <v>62.5</v>
          </cell>
        </row>
        <row r="530">
          <cell r="B530" t="str">
            <v>McGuffee,David M</v>
          </cell>
          <cell r="C530">
            <v>20.57</v>
          </cell>
        </row>
        <row r="531">
          <cell r="B531" t="str">
            <v>Hackney,Patrick D</v>
          </cell>
          <cell r="C531">
            <v>26.48</v>
          </cell>
        </row>
        <row r="532">
          <cell r="B532" t="str">
            <v>Charls,Jan H</v>
          </cell>
          <cell r="C532">
            <v>50.49</v>
          </cell>
        </row>
        <row r="533">
          <cell r="B533" t="str">
            <v>D'Alessio,Raymond A</v>
          </cell>
          <cell r="C533">
            <v>43.27</v>
          </cell>
        </row>
        <row r="534">
          <cell r="B534" t="str">
            <v>Dantzler,Jonathan</v>
          </cell>
          <cell r="C534">
            <v>62.5</v>
          </cell>
        </row>
        <row r="535">
          <cell r="B535" t="str">
            <v>Feldman,Jeffrey B</v>
          </cell>
          <cell r="C535">
            <v>17.850000000000001</v>
          </cell>
        </row>
        <row r="536">
          <cell r="B536" t="str">
            <v>Blandford,Sue W</v>
          </cell>
          <cell r="C536">
            <v>34.86</v>
          </cell>
        </row>
        <row r="537">
          <cell r="B537" t="str">
            <v>Stahler,Christopher M</v>
          </cell>
          <cell r="C537">
            <v>28.85</v>
          </cell>
        </row>
        <row r="538">
          <cell r="B538" t="str">
            <v>Oguns,David</v>
          </cell>
          <cell r="C538">
            <v>37.14</v>
          </cell>
        </row>
        <row r="539">
          <cell r="B539" t="str">
            <v>Jager,Veronika</v>
          </cell>
          <cell r="C539">
            <v>13.75</v>
          </cell>
        </row>
        <row r="540">
          <cell r="B540" t="str">
            <v>Roll,Steven H</v>
          </cell>
          <cell r="C540">
            <v>73.209999999999994</v>
          </cell>
        </row>
        <row r="541">
          <cell r="B541" t="str">
            <v>Borden,Karl</v>
          </cell>
          <cell r="C541">
            <v>69.66</v>
          </cell>
        </row>
        <row r="542">
          <cell r="B542" t="str">
            <v>Dumas,Dexter D</v>
          </cell>
          <cell r="C542">
            <v>20.5</v>
          </cell>
        </row>
        <row r="543">
          <cell r="B543" t="str">
            <v>Khoury,Adam K</v>
          </cell>
          <cell r="C543">
            <v>45.68</v>
          </cell>
        </row>
        <row r="544">
          <cell r="B544" t="str">
            <v>Catanese,Adam J</v>
          </cell>
          <cell r="C544">
            <v>25</v>
          </cell>
        </row>
        <row r="545">
          <cell r="B545" t="str">
            <v>Souadi,Mohamed</v>
          </cell>
          <cell r="C545">
            <v>49.28</v>
          </cell>
        </row>
        <row r="546">
          <cell r="B546" t="str">
            <v>Dickens,Christopher D</v>
          </cell>
          <cell r="C546">
            <v>17.149999999999999</v>
          </cell>
        </row>
        <row r="547">
          <cell r="B547" t="str">
            <v>McWilliams,Lamar D</v>
          </cell>
          <cell r="C547">
            <v>15.43</v>
          </cell>
        </row>
        <row r="548">
          <cell r="B548" t="str">
            <v>DeCaro,James J</v>
          </cell>
          <cell r="C548">
            <v>33.659999999999997</v>
          </cell>
        </row>
        <row r="549">
          <cell r="B549" t="str">
            <v>Lee,Cashmiyr N</v>
          </cell>
          <cell r="C549">
            <v>19.48</v>
          </cell>
        </row>
        <row r="550">
          <cell r="B550" t="str">
            <v>Kleppner,Kathryn</v>
          </cell>
          <cell r="C550">
            <v>10.87</v>
          </cell>
        </row>
        <row r="551">
          <cell r="B551" t="str">
            <v>Hankins,Henry D</v>
          </cell>
          <cell r="C551">
            <v>45.673099999999998</v>
          </cell>
        </row>
        <row r="552">
          <cell r="B552" t="str">
            <v>Champlin,Joseph E</v>
          </cell>
          <cell r="C552">
            <v>40.130000000000003</v>
          </cell>
        </row>
        <row r="553">
          <cell r="B553" t="str">
            <v>O'Reilly,Peter F</v>
          </cell>
          <cell r="C553">
            <v>23.09</v>
          </cell>
        </row>
        <row r="554">
          <cell r="B554" t="str">
            <v>May,Kenneth M</v>
          </cell>
          <cell r="C554">
            <v>25.14</v>
          </cell>
        </row>
        <row r="555">
          <cell r="B555" t="str">
            <v>Chee,Merwin</v>
          </cell>
          <cell r="C555">
            <v>20.5</v>
          </cell>
        </row>
        <row r="556">
          <cell r="B556" t="str">
            <v>Faith,Gregory R</v>
          </cell>
          <cell r="C556">
            <v>24.44</v>
          </cell>
        </row>
        <row r="557">
          <cell r="B557" t="str">
            <v>Al-Arif,Abdullah</v>
          </cell>
          <cell r="C557">
            <v>20.89</v>
          </cell>
        </row>
        <row r="558">
          <cell r="B558" t="str">
            <v>McPherson,Carlton L</v>
          </cell>
          <cell r="C558">
            <v>23.14</v>
          </cell>
        </row>
        <row r="559">
          <cell r="B559" t="str">
            <v>Ludowig,Richard</v>
          </cell>
          <cell r="C559">
            <v>50.49</v>
          </cell>
        </row>
        <row r="560">
          <cell r="B560" t="str">
            <v>Lane,Jasen</v>
          </cell>
          <cell r="C560">
            <v>38.47</v>
          </cell>
        </row>
        <row r="561">
          <cell r="B561" t="str">
            <v>Kemp Jr.,Charles R</v>
          </cell>
          <cell r="C561">
            <v>30.29</v>
          </cell>
        </row>
        <row r="562">
          <cell r="B562" t="str">
            <v>Smalls,Jerry L</v>
          </cell>
          <cell r="C562">
            <v>17.5</v>
          </cell>
        </row>
        <row r="563">
          <cell r="B563" t="str">
            <v>Joseph,Alain P</v>
          </cell>
          <cell r="C563">
            <v>60.1</v>
          </cell>
        </row>
        <row r="564">
          <cell r="B564" t="str">
            <v>Silva-Kaakau,Kawika K</v>
          </cell>
          <cell r="C564">
            <v>19.100000000000001</v>
          </cell>
        </row>
        <row r="565">
          <cell r="B565" t="str">
            <v>Suddarth,Gayla J</v>
          </cell>
          <cell r="C565">
            <v>155</v>
          </cell>
        </row>
        <row r="566">
          <cell r="B566" t="str">
            <v>Jeglum,Christin S</v>
          </cell>
          <cell r="C566">
            <v>26.37</v>
          </cell>
        </row>
        <row r="567">
          <cell r="B567" t="str">
            <v>Brumbaugh,William R</v>
          </cell>
          <cell r="C567">
            <v>28.85</v>
          </cell>
        </row>
        <row r="568">
          <cell r="B568" t="str">
            <v>Humphreys,Thomas A</v>
          </cell>
          <cell r="C568">
            <v>40.32</v>
          </cell>
        </row>
        <row r="569">
          <cell r="B569" t="str">
            <v>Hamlet,Lee A</v>
          </cell>
          <cell r="C569">
            <v>20.97</v>
          </cell>
        </row>
        <row r="570">
          <cell r="B570" t="str">
            <v>Fox,James C</v>
          </cell>
          <cell r="C570">
            <v>18.600000000000001</v>
          </cell>
        </row>
        <row r="571">
          <cell r="B571" t="str">
            <v>Schultz,Debbie D</v>
          </cell>
          <cell r="C571">
            <v>26.93</v>
          </cell>
        </row>
        <row r="572">
          <cell r="B572" t="str">
            <v>Claytor,Alan R</v>
          </cell>
          <cell r="C572">
            <v>31.13</v>
          </cell>
        </row>
        <row r="573">
          <cell r="B573" t="str">
            <v>Prudom,Daniel E</v>
          </cell>
          <cell r="C573">
            <v>43.4</v>
          </cell>
        </row>
        <row r="574">
          <cell r="B574" t="str">
            <v>Kulick,Betsy T</v>
          </cell>
          <cell r="C574">
            <v>52.88</v>
          </cell>
        </row>
        <row r="575">
          <cell r="B575" t="str">
            <v>Knotts,Brandon S</v>
          </cell>
          <cell r="C575">
            <v>48.08</v>
          </cell>
        </row>
        <row r="576">
          <cell r="B576" t="str">
            <v>Butler,David</v>
          </cell>
          <cell r="C576">
            <v>31.58</v>
          </cell>
        </row>
        <row r="577">
          <cell r="B577" t="str">
            <v>Krzywda,Nicholas A</v>
          </cell>
          <cell r="C577">
            <v>38.71</v>
          </cell>
        </row>
        <row r="578">
          <cell r="B578" t="str">
            <v>Jackson,Michael A</v>
          </cell>
          <cell r="C578">
            <v>20.29</v>
          </cell>
        </row>
        <row r="579">
          <cell r="B579" t="str">
            <v>Cooper,Rondell M</v>
          </cell>
          <cell r="C579">
            <v>21.86</v>
          </cell>
        </row>
        <row r="580">
          <cell r="B580" t="str">
            <v>Poor,Christopher A</v>
          </cell>
          <cell r="C580">
            <v>41.35</v>
          </cell>
        </row>
        <row r="581">
          <cell r="B581" t="str">
            <v>Pirko,Matthew T</v>
          </cell>
          <cell r="C581">
            <v>55.29</v>
          </cell>
        </row>
        <row r="582">
          <cell r="B582" t="str">
            <v>Simmons,Keith</v>
          </cell>
          <cell r="C582">
            <v>21.43</v>
          </cell>
        </row>
        <row r="583">
          <cell r="B583" t="str">
            <v>Albrecht,Robert M</v>
          </cell>
          <cell r="C583">
            <v>22</v>
          </cell>
        </row>
        <row r="584">
          <cell r="B584" t="str">
            <v>Schmidli,Daniel E</v>
          </cell>
          <cell r="C584">
            <v>29.31</v>
          </cell>
        </row>
        <row r="585">
          <cell r="B585" t="str">
            <v>Verrett,Calvin J</v>
          </cell>
          <cell r="C585">
            <v>31.25</v>
          </cell>
        </row>
        <row r="586">
          <cell r="B586" t="str">
            <v>Perry,Michael R</v>
          </cell>
          <cell r="C586">
            <v>44.33</v>
          </cell>
        </row>
        <row r="587">
          <cell r="B587" t="str">
            <v>Mirenda,Jennifer A</v>
          </cell>
          <cell r="C587">
            <v>37.634599999999999</v>
          </cell>
        </row>
        <row r="588">
          <cell r="B588" t="str">
            <v>Bracewell,Christopher M</v>
          </cell>
          <cell r="C588">
            <v>48.08</v>
          </cell>
        </row>
        <row r="589">
          <cell r="B589" t="str">
            <v>Brandan,Karrie L</v>
          </cell>
          <cell r="C589">
            <v>28.85</v>
          </cell>
        </row>
        <row r="590">
          <cell r="B590" t="str">
            <v>West,Justin R</v>
          </cell>
          <cell r="C590">
            <v>21.49</v>
          </cell>
        </row>
        <row r="591">
          <cell r="B591" t="str">
            <v>Burns,Tim P</v>
          </cell>
          <cell r="C591">
            <v>17.71</v>
          </cell>
        </row>
        <row r="592">
          <cell r="B592" t="str">
            <v>Marsalis,Kenneth R</v>
          </cell>
          <cell r="C592">
            <v>44.31</v>
          </cell>
        </row>
        <row r="593">
          <cell r="B593" t="str">
            <v>Sutton,Kenney L</v>
          </cell>
          <cell r="C593">
            <v>24.27</v>
          </cell>
        </row>
        <row r="594">
          <cell r="B594" t="str">
            <v>Pennington,Brian L</v>
          </cell>
          <cell r="C594">
            <v>39.1</v>
          </cell>
        </row>
        <row r="595">
          <cell r="B595" t="str">
            <v>Cisneros,Jesse</v>
          </cell>
          <cell r="C595">
            <v>57.45</v>
          </cell>
        </row>
        <row r="596">
          <cell r="B596" t="str">
            <v>Trambulo,Alexander L</v>
          </cell>
          <cell r="C596">
            <v>23</v>
          </cell>
        </row>
        <row r="597">
          <cell r="B597" t="str">
            <v>Schmidt,Joann H</v>
          </cell>
          <cell r="C597">
            <v>33.659999999999997</v>
          </cell>
        </row>
        <row r="598">
          <cell r="B598" t="str">
            <v>Kiser,Shonda I</v>
          </cell>
          <cell r="C598">
            <v>46.634700000000002</v>
          </cell>
        </row>
        <row r="599">
          <cell r="B599" t="str">
            <v>Zurita,Wilfredo H</v>
          </cell>
          <cell r="C599">
            <v>37.89</v>
          </cell>
        </row>
        <row r="600">
          <cell r="B600" t="str">
            <v>Karkalla,Karen</v>
          </cell>
          <cell r="C600">
            <v>39.78</v>
          </cell>
        </row>
        <row r="601">
          <cell r="B601" t="str">
            <v>Herting,Horst P</v>
          </cell>
          <cell r="C601">
            <v>48.8</v>
          </cell>
        </row>
        <row r="602">
          <cell r="B602" t="str">
            <v>Fleury Jr.,Kenneth</v>
          </cell>
          <cell r="C602">
            <v>15.02</v>
          </cell>
        </row>
        <row r="603">
          <cell r="B603" t="str">
            <v>Desire,Lensavacara S</v>
          </cell>
          <cell r="C603">
            <v>19.149999999999999</v>
          </cell>
        </row>
        <row r="604">
          <cell r="B604" t="str">
            <v>Ming,Terrance R</v>
          </cell>
          <cell r="C604">
            <v>19.88</v>
          </cell>
        </row>
        <row r="605">
          <cell r="B605" t="str">
            <v>Stripling,Joseph</v>
          </cell>
          <cell r="C605">
            <v>19.95</v>
          </cell>
        </row>
        <row r="606">
          <cell r="B606" t="str">
            <v>Bruner,Mark W</v>
          </cell>
          <cell r="C606">
            <v>20.12</v>
          </cell>
        </row>
        <row r="607">
          <cell r="B607" t="str">
            <v>Burton,Benjamin E</v>
          </cell>
          <cell r="C607">
            <v>21.49</v>
          </cell>
        </row>
        <row r="608">
          <cell r="B608" t="str">
            <v>Landis,Jeffrey E</v>
          </cell>
          <cell r="C608">
            <v>75.5</v>
          </cell>
        </row>
        <row r="609">
          <cell r="B609" t="str">
            <v>Leon Calderon,Carlos R</v>
          </cell>
          <cell r="C609">
            <v>18.25</v>
          </cell>
        </row>
        <row r="610">
          <cell r="B610" t="str">
            <v>Tchoulakian,Raymond</v>
          </cell>
          <cell r="C610">
            <v>26.45</v>
          </cell>
        </row>
        <row r="611">
          <cell r="B611" t="str">
            <v>Mobley,Deborah</v>
          </cell>
          <cell r="C611">
            <v>24.05</v>
          </cell>
        </row>
        <row r="612">
          <cell r="B612" t="str">
            <v>Hogarth,Andrew G</v>
          </cell>
          <cell r="C612">
            <v>72.12</v>
          </cell>
        </row>
        <row r="613">
          <cell r="B613" t="str">
            <v>Little,Marlane</v>
          </cell>
          <cell r="C613">
            <v>33.659999999999997</v>
          </cell>
        </row>
        <row r="614">
          <cell r="B614" t="str">
            <v>Eger,John F.</v>
          </cell>
          <cell r="C614">
            <v>41.12</v>
          </cell>
        </row>
        <row r="615">
          <cell r="B615" t="str">
            <v>Farquhar,Kenneth J</v>
          </cell>
          <cell r="C615">
            <v>132.21153899999999</v>
          </cell>
        </row>
        <row r="616">
          <cell r="B616" t="str">
            <v>McChesney,Mark A</v>
          </cell>
          <cell r="C616">
            <v>53.7</v>
          </cell>
        </row>
        <row r="617">
          <cell r="B617" t="str">
            <v>Scango,Ann L.</v>
          </cell>
          <cell r="C617">
            <v>42.99</v>
          </cell>
        </row>
        <row r="618">
          <cell r="B618" t="str">
            <v>Moten,Lucas E</v>
          </cell>
          <cell r="C618">
            <v>52.88</v>
          </cell>
        </row>
        <row r="619">
          <cell r="B619" t="str">
            <v>Ooi,Lucy M</v>
          </cell>
          <cell r="C619">
            <v>25.240300000000001</v>
          </cell>
        </row>
        <row r="620">
          <cell r="B620" t="str">
            <v>Starnes,Dean A</v>
          </cell>
          <cell r="C620">
            <v>22.5</v>
          </cell>
        </row>
        <row r="621">
          <cell r="B621" t="str">
            <v>Koenig Sr.,Scott A</v>
          </cell>
          <cell r="C621">
            <v>20.5</v>
          </cell>
        </row>
        <row r="622">
          <cell r="B622" t="str">
            <v>Buchanan,Susan M</v>
          </cell>
          <cell r="C622">
            <v>53.01</v>
          </cell>
        </row>
        <row r="623">
          <cell r="B623" t="str">
            <v>McDonald,Francis R</v>
          </cell>
          <cell r="C623">
            <v>24.6</v>
          </cell>
        </row>
        <row r="624">
          <cell r="B624" t="str">
            <v>Williams,Byron M</v>
          </cell>
          <cell r="C624">
            <v>61.89</v>
          </cell>
        </row>
        <row r="625">
          <cell r="B625" t="str">
            <v>Davis,Timothy L</v>
          </cell>
          <cell r="C625">
            <v>60.1</v>
          </cell>
        </row>
        <row r="626">
          <cell r="B626" t="str">
            <v>Duncan,Charles B</v>
          </cell>
          <cell r="C626">
            <v>40.68</v>
          </cell>
        </row>
        <row r="627">
          <cell r="B627" t="str">
            <v>Weeks,Ann M</v>
          </cell>
          <cell r="C627">
            <v>24.54</v>
          </cell>
        </row>
        <row r="628">
          <cell r="B628" t="str">
            <v>Galligan,Michael E</v>
          </cell>
          <cell r="C628">
            <v>26.25</v>
          </cell>
        </row>
        <row r="629">
          <cell r="B629" t="str">
            <v>Nagle,James J.</v>
          </cell>
          <cell r="C629">
            <v>68.34</v>
          </cell>
        </row>
        <row r="630">
          <cell r="B630" t="str">
            <v>Bauer,Michael J</v>
          </cell>
          <cell r="C630">
            <v>59.82</v>
          </cell>
        </row>
        <row r="631">
          <cell r="B631" t="str">
            <v>Johnson,Adam C</v>
          </cell>
          <cell r="C631">
            <v>33.9</v>
          </cell>
        </row>
        <row r="632">
          <cell r="B632" t="str">
            <v>Ayers,Susan M.</v>
          </cell>
          <cell r="C632">
            <v>39.880000000000003</v>
          </cell>
        </row>
        <row r="633">
          <cell r="B633" t="str">
            <v>Keller,Steven B</v>
          </cell>
          <cell r="C633">
            <v>68.010000000000005</v>
          </cell>
        </row>
        <row r="634">
          <cell r="B634" t="str">
            <v>Jensen,Lars P</v>
          </cell>
          <cell r="C634">
            <v>63.94</v>
          </cell>
        </row>
        <row r="635">
          <cell r="B635" t="str">
            <v>Martin,Michele L</v>
          </cell>
          <cell r="C635">
            <v>44.74</v>
          </cell>
        </row>
        <row r="636">
          <cell r="B636" t="str">
            <v>Schuster III,Norman A</v>
          </cell>
          <cell r="C636">
            <v>48.14</v>
          </cell>
        </row>
        <row r="637">
          <cell r="B637" t="str">
            <v>Block,Eric A</v>
          </cell>
          <cell r="C637">
            <v>45.26</v>
          </cell>
        </row>
        <row r="638">
          <cell r="B638" t="str">
            <v>Perrin,Dennis W</v>
          </cell>
          <cell r="C638">
            <v>40.130000000000003</v>
          </cell>
        </row>
        <row r="639">
          <cell r="B639" t="str">
            <v>Cruz Sr.,Roland A</v>
          </cell>
          <cell r="C639">
            <v>22.4</v>
          </cell>
        </row>
        <row r="640">
          <cell r="B640" t="str">
            <v>Thurman,Paul W</v>
          </cell>
          <cell r="C640">
            <v>28.85</v>
          </cell>
        </row>
        <row r="641">
          <cell r="B641" t="str">
            <v>Kane,Kristen</v>
          </cell>
          <cell r="C641">
            <v>19.89</v>
          </cell>
        </row>
        <row r="642">
          <cell r="B642" t="str">
            <v>Garrett,Kevin L</v>
          </cell>
          <cell r="C642">
            <v>18.75</v>
          </cell>
        </row>
        <row r="643">
          <cell r="B643" t="str">
            <v>Jenkins,Tanya L</v>
          </cell>
          <cell r="C643">
            <v>41.66</v>
          </cell>
        </row>
        <row r="644">
          <cell r="B644" t="str">
            <v>Kelly,Tamara P</v>
          </cell>
          <cell r="C644">
            <v>57.65</v>
          </cell>
        </row>
        <row r="645">
          <cell r="B645" t="str">
            <v>Bisson,Michael I</v>
          </cell>
          <cell r="C645">
            <v>65.95</v>
          </cell>
        </row>
        <row r="646">
          <cell r="B646" t="str">
            <v>Courtney,David L</v>
          </cell>
          <cell r="C646">
            <v>62.39</v>
          </cell>
        </row>
        <row r="647">
          <cell r="B647" t="str">
            <v>Scalzo,Joel R</v>
          </cell>
          <cell r="C647">
            <v>45.73</v>
          </cell>
        </row>
        <row r="648">
          <cell r="B648" t="str">
            <v>Lowe,Dimitrus E</v>
          </cell>
          <cell r="C648">
            <v>37.53</v>
          </cell>
        </row>
        <row r="649">
          <cell r="B649" t="str">
            <v>DeBolt,Rick P</v>
          </cell>
          <cell r="C649">
            <v>60.1</v>
          </cell>
        </row>
        <row r="650">
          <cell r="B650" t="str">
            <v>Kapfer,Kevin F</v>
          </cell>
          <cell r="C650">
            <v>55.46</v>
          </cell>
        </row>
        <row r="651">
          <cell r="B651" t="str">
            <v>Feather,Bobby Joe</v>
          </cell>
          <cell r="C651">
            <v>62.1</v>
          </cell>
        </row>
        <row r="652">
          <cell r="B652" t="str">
            <v>Bui,Thi H.</v>
          </cell>
          <cell r="C652">
            <v>43.47</v>
          </cell>
        </row>
        <row r="653">
          <cell r="B653" t="str">
            <v>Leonard,Anthony G</v>
          </cell>
          <cell r="C653">
            <v>25.55</v>
          </cell>
        </row>
        <row r="654">
          <cell r="B654" t="str">
            <v>Smith Jr.,Jimmy F</v>
          </cell>
          <cell r="C654">
            <v>18</v>
          </cell>
        </row>
        <row r="655">
          <cell r="B655" t="str">
            <v>Barajas,Xavier E</v>
          </cell>
          <cell r="C655">
            <v>18.5</v>
          </cell>
        </row>
        <row r="656">
          <cell r="B656" t="str">
            <v>Parker,Tonya S</v>
          </cell>
          <cell r="C656">
            <v>33.659999999999997</v>
          </cell>
        </row>
        <row r="657">
          <cell r="B657" t="str">
            <v>Bempong,David</v>
          </cell>
          <cell r="C657">
            <v>30</v>
          </cell>
        </row>
        <row r="658">
          <cell r="B658" t="str">
            <v>Rivera,Milagros M</v>
          </cell>
          <cell r="C658">
            <v>17.64</v>
          </cell>
        </row>
        <row r="659">
          <cell r="B659" t="str">
            <v>Bilotta,Joseph R</v>
          </cell>
          <cell r="C659">
            <v>18.5</v>
          </cell>
        </row>
        <row r="660">
          <cell r="B660" t="str">
            <v>Moreland,Patrick M</v>
          </cell>
          <cell r="C660">
            <v>20.5</v>
          </cell>
        </row>
        <row r="661">
          <cell r="B661" t="str">
            <v>Saucedo,Luis A</v>
          </cell>
          <cell r="C661">
            <v>22.5</v>
          </cell>
        </row>
        <row r="662">
          <cell r="B662" t="str">
            <v>Gore Jones,Shameeka</v>
          </cell>
          <cell r="C662">
            <v>19.5</v>
          </cell>
        </row>
        <row r="663">
          <cell r="B663" t="str">
            <v>Lewis,Steve L</v>
          </cell>
          <cell r="C663">
            <v>48.57</v>
          </cell>
        </row>
        <row r="664">
          <cell r="B664" t="str">
            <v>Rodriguez,Aixa A</v>
          </cell>
          <cell r="C664">
            <v>12.33</v>
          </cell>
        </row>
        <row r="665">
          <cell r="B665" t="str">
            <v>Nelson,Peter R.</v>
          </cell>
          <cell r="C665">
            <v>74.59</v>
          </cell>
        </row>
        <row r="666">
          <cell r="B666" t="str">
            <v>Meyer,John M</v>
          </cell>
          <cell r="C666">
            <v>54.52</v>
          </cell>
        </row>
        <row r="667">
          <cell r="B667" t="str">
            <v>Hougham,Ronald</v>
          </cell>
          <cell r="C667">
            <v>66.17</v>
          </cell>
        </row>
        <row r="668">
          <cell r="B668" t="str">
            <v>O'Brien,Ronald M.</v>
          </cell>
          <cell r="C668">
            <v>21.54</v>
          </cell>
        </row>
        <row r="669">
          <cell r="B669" t="str">
            <v>Hall Jr.,Robert P</v>
          </cell>
          <cell r="C669">
            <v>30.57</v>
          </cell>
        </row>
        <row r="670">
          <cell r="B670" t="str">
            <v>Dever,Dean L</v>
          </cell>
          <cell r="C670">
            <v>21</v>
          </cell>
        </row>
        <row r="671">
          <cell r="B671" t="str">
            <v>Houanche-Cox,Stephan G</v>
          </cell>
          <cell r="C671">
            <v>13.65</v>
          </cell>
        </row>
        <row r="672">
          <cell r="B672" t="str">
            <v>Shavis,Randal M</v>
          </cell>
          <cell r="C672">
            <v>39.229999999999997</v>
          </cell>
        </row>
        <row r="673">
          <cell r="B673" t="str">
            <v>Huntsman,Dean E</v>
          </cell>
          <cell r="C673">
            <v>20.68</v>
          </cell>
        </row>
        <row r="674">
          <cell r="B674" t="str">
            <v>Mauer Jr.,Richard A</v>
          </cell>
          <cell r="C674">
            <v>50.33</v>
          </cell>
        </row>
        <row r="675">
          <cell r="B675" t="str">
            <v>Delgado,Angel</v>
          </cell>
          <cell r="C675">
            <v>28.52</v>
          </cell>
        </row>
        <row r="676">
          <cell r="B676" t="str">
            <v>Hoffmann,Shawn M</v>
          </cell>
          <cell r="C676">
            <v>26.48</v>
          </cell>
        </row>
        <row r="677">
          <cell r="B677" t="str">
            <v>Johnson,Curtis W</v>
          </cell>
          <cell r="C677">
            <v>67.31</v>
          </cell>
        </row>
        <row r="678">
          <cell r="B678" t="str">
            <v>Johnson,Khevin D</v>
          </cell>
          <cell r="C678">
            <v>45.19</v>
          </cell>
        </row>
        <row r="679">
          <cell r="B679" t="str">
            <v>Parrott,Scott T</v>
          </cell>
          <cell r="C679">
            <v>63.51</v>
          </cell>
        </row>
        <row r="680">
          <cell r="B680" t="str">
            <v>Janiec,Ashley N</v>
          </cell>
          <cell r="C680">
            <v>24.32</v>
          </cell>
        </row>
        <row r="681">
          <cell r="B681" t="str">
            <v>Jett Jr.,Tony R</v>
          </cell>
          <cell r="C681">
            <v>19.45</v>
          </cell>
        </row>
        <row r="682">
          <cell r="B682" t="str">
            <v>Hines,Elroy L</v>
          </cell>
          <cell r="C682">
            <v>18.64</v>
          </cell>
        </row>
        <row r="683">
          <cell r="B683" t="str">
            <v>Bailey Jr.,John H</v>
          </cell>
          <cell r="C683">
            <v>35.576999999999998</v>
          </cell>
        </row>
        <row r="684">
          <cell r="B684" t="str">
            <v>LaVoie,Daniel J</v>
          </cell>
          <cell r="C684">
            <v>57.7</v>
          </cell>
        </row>
        <row r="685">
          <cell r="B685" t="str">
            <v>Jones,Waymon</v>
          </cell>
          <cell r="C685">
            <v>29.52</v>
          </cell>
        </row>
        <row r="686">
          <cell r="B686" t="str">
            <v>Sabelhaus,Sean T</v>
          </cell>
          <cell r="C686">
            <v>25.95</v>
          </cell>
        </row>
        <row r="687">
          <cell r="B687" t="str">
            <v>Butler,Robert W.</v>
          </cell>
          <cell r="C687">
            <v>73.459999999999994</v>
          </cell>
        </row>
        <row r="688">
          <cell r="B688" t="str">
            <v>Pullella,Michael F.</v>
          </cell>
          <cell r="C688">
            <v>57.13</v>
          </cell>
        </row>
        <row r="689">
          <cell r="B689" t="str">
            <v>Bak,Eric F</v>
          </cell>
          <cell r="C689">
            <v>28</v>
          </cell>
        </row>
        <row r="690">
          <cell r="B690" t="str">
            <v>Bowman,Charmagne C</v>
          </cell>
          <cell r="C690">
            <v>39.92</v>
          </cell>
        </row>
        <row r="691">
          <cell r="B691" t="str">
            <v>Rivello,Yvette K</v>
          </cell>
          <cell r="C691">
            <v>32.979999999999997</v>
          </cell>
        </row>
        <row r="692">
          <cell r="B692" t="str">
            <v>Majors,John A.</v>
          </cell>
          <cell r="C692">
            <v>54</v>
          </cell>
        </row>
        <row r="693">
          <cell r="B693" t="str">
            <v>Cosgrave,Michael C.</v>
          </cell>
          <cell r="C693">
            <v>77.59</v>
          </cell>
        </row>
        <row r="694">
          <cell r="B694" t="str">
            <v>Renfrow,Amy R</v>
          </cell>
          <cell r="C694">
            <v>12.69</v>
          </cell>
        </row>
        <row r="695">
          <cell r="B695" t="str">
            <v>Toliver,Tanya A</v>
          </cell>
          <cell r="C695">
            <v>35.83</v>
          </cell>
        </row>
        <row r="696">
          <cell r="B696" t="str">
            <v>Lepore,Andrew A</v>
          </cell>
          <cell r="C696">
            <v>42.72</v>
          </cell>
        </row>
        <row r="697">
          <cell r="B697" t="str">
            <v>Clark,Jasper W</v>
          </cell>
          <cell r="C697">
            <v>42.05</v>
          </cell>
        </row>
        <row r="698">
          <cell r="B698" t="str">
            <v>Perez,Juan J</v>
          </cell>
          <cell r="C698">
            <v>20.13</v>
          </cell>
        </row>
        <row r="699">
          <cell r="B699" t="str">
            <v>Girard,Andrew J</v>
          </cell>
          <cell r="C699">
            <v>21</v>
          </cell>
        </row>
        <row r="700">
          <cell r="B700" t="str">
            <v>Feldmann,Kimberly M</v>
          </cell>
          <cell r="C700">
            <v>36.06</v>
          </cell>
        </row>
        <row r="701">
          <cell r="B701" t="str">
            <v>Gitter,Kenneth L</v>
          </cell>
          <cell r="C701">
            <v>52.89</v>
          </cell>
        </row>
        <row r="702">
          <cell r="B702" t="str">
            <v>Ryberg,Robert C</v>
          </cell>
          <cell r="C702">
            <v>18.5</v>
          </cell>
        </row>
        <row r="703">
          <cell r="B703" t="str">
            <v>Aikne,McFarland</v>
          </cell>
          <cell r="C703">
            <v>16.8</v>
          </cell>
        </row>
        <row r="704">
          <cell r="B704" t="str">
            <v>O'Connell,Francis X</v>
          </cell>
          <cell r="C704">
            <v>79.258499999999998</v>
          </cell>
        </row>
        <row r="705">
          <cell r="B705" t="str">
            <v>Hammontree,Brandon P</v>
          </cell>
          <cell r="C705">
            <v>19</v>
          </cell>
        </row>
        <row r="706">
          <cell r="B706" t="str">
            <v>Goodwin,Barry D</v>
          </cell>
          <cell r="C706">
            <v>19.43</v>
          </cell>
        </row>
        <row r="707">
          <cell r="B707" t="str">
            <v>Barnd,Ruth Ann</v>
          </cell>
          <cell r="C707">
            <v>18.190000000000001</v>
          </cell>
        </row>
        <row r="708">
          <cell r="B708" t="str">
            <v>Corliss,Mary Jane E</v>
          </cell>
          <cell r="C708">
            <v>25.39</v>
          </cell>
        </row>
        <row r="709">
          <cell r="B709" t="str">
            <v>Mingo,Amy L</v>
          </cell>
          <cell r="C709">
            <v>42.33</v>
          </cell>
        </row>
        <row r="710">
          <cell r="B710" t="str">
            <v>Guiney,Kevin D.</v>
          </cell>
          <cell r="C710">
            <v>62.35</v>
          </cell>
        </row>
        <row r="711">
          <cell r="B711" t="str">
            <v>Davis,Richard B</v>
          </cell>
          <cell r="C711">
            <v>42.3</v>
          </cell>
        </row>
        <row r="712">
          <cell r="B712" t="str">
            <v>Haggard,Jerry L</v>
          </cell>
          <cell r="C712">
            <v>46.38</v>
          </cell>
        </row>
        <row r="713">
          <cell r="B713" t="str">
            <v>Iverson,Kristen R</v>
          </cell>
          <cell r="C713">
            <v>57.24</v>
          </cell>
        </row>
        <row r="714">
          <cell r="B714" t="str">
            <v>Blanchard,Jon Michael</v>
          </cell>
          <cell r="C714">
            <v>24.02</v>
          </cell>
        </row>
        <row r="715">
          <cell r="B715" t="str">
            <v>Buhl,Mark E</v>
          </cell>
          <cell r="C715">
            <v>39.090000000000003</v>
          </cell>
        </row>
        <row r="716">
          <cell r="B716" t="str">
            <v>Meinhardt,Brett D</v>
          </cell>
          <cell r="C716">
            <v>22.24</v>
          </cell>
        </row>
        <row r="717">
          <cell r="B717" t="str">
            <v>French,Joseph P</v>
          </cell>
          <cell r="C717">
            <v>52.31</v>
          </cell>
        </row>
        <row r="718">
          <cell r="B718" t="str">
            <v>Burnley,Matthew P.</v>
          </cell>
          <cell r="C718">
            <v>31.7</v>
          </cell>
        </row>
        <row r="719">
          <cell r="B719" t="str">
            <v>Torres-Hernandez,Claudia</v>
          </cell>
          <cell r="C719">
            <v>20</v>
          </cell>
        </row>
        <row r="720">
          <cell r="B720" t="str">
            <v>Thompson,Brian A</v>
          </cell>
          <cell r="C720">
            <v>19.75</v>
          </cell>
        </row>
        <row r="721">
          <cell r="B721" t="str">
            <v>Flowers,Ginger M</v>
          </cell>
          <cell r="C721">
            <v>22.12</v>
          </cell>
        </row>
        <row r="722">
          <cell r="B722" t="str">
            <v>Caudle,Christopher M</v>
          </cell>
          <cell r="C722">
            <v>20</v>
          </cell>
        </row>
        <row r="723">
          <cell r="B723" t="str">
            <v>Simpson,Karen E</v>
          </cell>
          <cell r="C723">
            <v>13</v>
          </cell>
        </row>
        <row r="724">
          <cell r="B724" t="str">
            <v>Katyryniuk,Jason R</v>
          </cell>
          <cell r="C724">
            <v>39.9</v>
          </cell>
        </row>
        <row r="725">
          <cell r="B725" t="str">
            <v>Shanks,Jackie W</v>
          </cell>
          <cell r="C725">
            <v>19.350000000000001</v>
          </cell>
        </row>
        <row r="726">
          <cell r="B726" t="str">
            <v>McKenzie,William K</v>
          </cell>
          <cell r="C726">
            <v>62.5</v>
          </cell>
        </row>
        <row r="727">
          <cell r="B727" t="str">
            <v>Sutton,John A</v>
          </cell>
          <cell r="C727">
            <v>114.09</v>
          </cell>
        </row>
        <row r="728">
          <cell r="B728" t="str">
            <v>Eaton,John W.</v>
          </cell>
          <cell r="C728">
            <v>45.61</v>
          </cell>
        </row>
        <row r="729">
          <cell r="B729" t="str">
            <v>Kauzlick,Ryan M</v>
          </cell>
          <cell r="C729">
            <v>54.8</v>
          </cell>
        </row>
        <row r="730">
          <cell r="B730" t="str">
            <v>Wright Jr.,Thomas H</v>
          </cell>
          <cell r="C730">
            <v>55.29</v>
          </cell>
        </row>
        <row r="731">
          <cell r="B731" t="str">
            <v>Valmeo,Raul V</v>
          </cell>
          <cell r="C731">
            <v>21</v>
          </cell>
        </row>
        <row r="732">
          <cell r="B732" t="str">
            <v>Vacha,Dale R</v>
          </cell>
          <cell r="C732">
            <v>24.5</v>
          </cell>
        </row>
        <row r="733">
          <cell r="B733" t="str">
            <v>Gipson,John C</v>
          </cell>
          <cell r="C733">
            <v>21.79</v>
          </cell>
        </row>
        <row r="734">
          <cell r="B734" t="str">
            <v>Ponger,Nicholas E.</v>
          </cell>
          <cell r="C734">
            <v>20</v>
          </cell>
        </row>
        <row r="735">
          <cell r="B735" t="str">
            <v>Gregory,John E</v>
          </cell>
          <cell r="C735">
            <v>25.26</v>
          </cell>
        </row>
        <row r="736">
          <cell r="B736" t="str">
            <v>Bellardini,Angela M</v>
          </cell>
          <cell r="C736">
            <v>38.03</v>
          </cell>
        </row>
        <row r="737">
          <cell r="B737" t="str">
            <v>Horn,Stephen D</v>
          </cell>
          <cell r="C737">
            <v>37.5</v>
          </cell>
        </row>
        <row r="738">
          <cell r="B738" t="str">
            <v>Densmore,Cheryl L</v>
          </cell>
          <cell r="C738">
            <v>28.85</v>
          </cell>
        </row>
        <row r="739">
          <cell r="B739" t="str">
            <v>Ceney,James M</v>
          </cell>
          <cell r="C739">
            <v>54.24</v>
          </cell>
        </row>
        <row r="740">
          <cell r="B740" t="str">
            <v>Pagan II,Laurence V</v>
          </cell>
          <cell r="C740">
            <v>19.309999999999999</v>
          </cell>
        </row>
        <row r="741">
          <cell r="B741" t="str">
            <v>Ott,Stephen D</v>
          </cell>
          <cell r="C741">
            <v>48.08</v>
          </cell>
        </row>
        <row r="742">
          <cell r="B742" t="str">
            <v>Williams,Laura G</v>
          </cell>
          <cell r="C742">
            <v>27.52</v>
          </cell>
        </row>
        <row r="743">
          <cell r="B743" t="str">
            <v>Laine,Brian J</v>
          </cell>
          <cell r="C743">
            <v>55.288400000000003</v>
          </cell>
        </row>
        <row r="744">
          <cell r="B744" t="str">
            <v>Bazant,Joseph M</v>
          </cell>
          <cell r="C744">
            <v>20</v>
          </cell>
        </row>
        <row r="745">
          <cell r="B745" t="str">
            <v>Ramirez,Robert D</v>
          </cell>
          <cell r="C745">
            <v>18</v>
          </cell>
        </row>
        <row r="746">
          <cell r="B746" t="str">
            <v>Gordon,Halroy</v>
          </cell>
          <cell r="C746">
            <v>17.920000000000002</v>
          </cell>
        </row>
        <row r="747">
          <cell r="B747" t="str">
            <v>Johnson,William E</v>
          </cell>
          <cell r="C747">
            <v>20.5</v>
          </cell>
        </row>
        <row r="748">
          <cell r="B748" t="str">
            <v>Patterson,Michael L</v>
          </cell>
          <cell r="C748">
            <v>40.130000000000003</v>
          </cell>
        </row>
        <row r="749">
          <cell r="B749" t="str">
            <v>Nash,Victor O</v>
          </cell>
          <cell r="C749">
            <v>24.31</v>
          </cell>
        </row>
        <row r="750">
          <cell r="B750" t="str">
            <v>Ferrante,Michelle</v>
          </cell>
          <cell r="C750">
            <v>83.47</v>
          </cell>
        </row>
        <row r="751">
          <cell r="B751" t="str">
            <v>Donaldson,Scott</v>
          </cell>
          <cell r="C751">
            <v>30.37</v>
          </cell>
        </row>
        <row r="752">
          <cell r="B752" t="str">
            <v>Schillmaier,John L.</v>
          </cell>
          <cell r="C752">
            <v>60.66</v>
          </cell>
        </row>
        <row r="753">
          <cell r="B753" t="str">
            <v>Gress,Marietta</v>
          </cell>
          <cell r="C753">
            <v>44.09</v>
          </cell>
        </row>
        <row r="754">
          <cell r="B754" t="str">
            <v>Bechtold,Chastity M</v>
          </cell>
          <cell r="C754">
            <v>51.46</v>
          </cell>
        </row>
        <row r="755">
          <cell r="B755" t="str">
            <v>Cox,Timothy V</v>
          </cell>
          <cell r="C755">
            <v>48.62</v>
          </cell>
        </row>
        <row r="756">
          <cell r="B756" t="str">
            <v>Langrehr,Terry G.</v>
          </cell>
          <cell r="C756">
            <v>66.849999999999994</v>
          </cell>
        </row>
        <row r="757">
          <cell r="B757" t="str">
            <v>Paulsen,Meggan L</v>
          </cell>
          <cell r="C757">
            <v>30.69</v>
          </cell>
        </row>
        <row r="758">
          <cell r="B758" t="str">
            <v>Waterman Jr.,James E</v>
          </cell>
          <cell r="C758">
            <v>53.17</v>
          </cell>
        </row>
        <row r="759">
          <cell r="B759" t="str">
            <v>Moore,Justin A</v>
          </cell>
          <cell r="C759">
            <v>20.86</v>
          </cell>
        </row>
        <row r="760">
          <cell r="B760" t="str">
            <v>Weiss,Alan B</v>
          </cell>
          <cell r="C760">
            <v>45.68</v>
          </cell>
        </row>
        <row r="761">
          <cell r="B761" t="str">
            <v>Zanders,Santae' L</v>
          </cell>
          <cell r="C761">
            <v>21</v>
          </cell>
        </row>
        <row r="762">
          <cell r="B762" t="str">
            <v>Poole,William H</v>
          </cell>
          <cell r="C762">
            <v>36.06</v>
          </cell>
        </row>
        <row r="763">
          <cell r="B763" t="str">
            <v>Torcuato,Jonathan K</v>
          </cell>
          <cell r="C763">
            <v>12</v>
          </cell>
        </row>
        <row r="764">
          <cell r="B764" t="str">
            <v>Brandon,Lawanda P</v>
          </cell>
          <cell r="C764">
            <v>15.19</v>
          </cell>
        </row>
        <row r="765">
          <cell r="B765" t="str">
            <v>Barnes,Bruce A</v>
          </cell>
          <cell r="C765">
            <v>28.4</v>
          </cell>
        </row>
        <row r="766">
          <cell r="B766" t="str">
            <v>McCullough,Anthony P</v>
          </cell>
          <cell r="C766">
            <v>46.18</v>
          </cell>
        </row>
        <row r="767">
          <cell r="B767" t="str">
            <v>Mason,Kacie A</v>
          </cell>
          <cell r="C767">
            <v>28</v>
          </cell>
        </row>
        <row r="768">
          <cell r="B768" t="str">
            <v>Williamson,Brian A</v>
          </cell>
          <cell r="C768">
            <v>20.059999999999999</v>
          </cell>
        </row>
        <row r="769">
          <cell r="B769" t="str">
            <v>Berster,Charles J</v>
          </cell>
          <cell r="C769">
            <v>75.540000000000006</v>
          </cell>
        </row>
        <row r="770">
          <cell r="B770" t="str">
            <v>Burch,Amy L</v>
          </cell>
          <cell r="C770">
            <v>40.17</v>
          </cell>
        </row>
        <row r="771">
          <cell r="B771" t="str">
            <v>Hardy Jr.,Charles M</v>
          </cell>
          <cell r="C771">
            <v>44.21</v>
          </cell>
        </row>
        <row r="772">
          <cell r="B772" t="str">
            <v>Rhee,Sam J</v>
          </cell>
          <cell r="C772">
            <v>18.600000000000001</v>
          </cell>
        </row>
        <row r="773">
          <cell r="B773" t="str">
            <v>Higgins,Michael J</v>
          </cell>
          <cell r="C773">
            <v>43.27</v>
          </cell>
        </row>
        <row r="774">
          <cell r="B774" t="str">
            <v>Harris,Sean B</v>
          </cell>
          <cell r="C774">
            <v>35.19</v>
          </cell>
        </row>
        <row r="775">
          <cell r="B775" t="str">
            <v>Dove,Jill A</v>
          </cell>
          <cell r="C775">
            <v>15.08</v>
          </cell>
        </row>
        <row r="776">
          <cell r="B776" t="str">
            <v>Terry,Johnnie B</v>
          </cell>
          <cell r="C776">
            <v>42.15</v>
          </cell>
        </row>
        <row r="777">
          <cell r="B777" t="str">
            <v>Behrns,Steven K</v>
          </cell>
          <cell r="C777">
            <v>57.16</v>
          </cell>
        </row>
        <row r="778">
          <cell r="B778" t="str">
            <v>Lane,Daryl B.</v>
          </cell>
          <cell r="C778">
            <v>61.54</v>
          </cell>
        </row>
        <row r="779">
          <cell r="B779" t="str">
            <v>Ying,Yunfan</v>
          </cell>
          <cell r="C779">
            <v>18.739999999999998</v>
          </cell>
        </row>
        <row r="780">
          <cell r="B780" t="str">
            <v>Morgan,Jennifer E</v>
          </cell>
          <cell r="C780">
            <v>25.45</v>
          </cell>
        </row>
        <row r="781">
          <cell r="B781" t="str">
            <v>Dunlop,Dawn J</v>
          </cell>
          <cell r="C781">
            <v>31.67</v>
          </cell>
        </row>
        <row r="782">
          <cell r="B782" t="str">
            <v>Pereira,Andrea M</v>
          </cell>
          <cell r="C782">
            <v>30.7</v>
          </cell>
        </row>
        <row r="783">
          <cell r="B783" t="str">
            <v>Harvell Jr.,Larry D</v>
          </cell>
          <cell r="C783">
            <v>23.17</v>
          </cell>
        </row>
        <row r="784">
          <cell r="B784" t="str">
            <v>Scoggin,Laura J</v>
          </cell>
          <cell r="C784">
            <v>20.93</v>
          </cell>
        </row>
        <row r="785">
          <cell r="B785" t="str">
            <v>Goettsch,Christopher M</v>
          </cell>
          <cell r="C785">
            <v>18.55</v>
          </cell>
        </row>
        <row r="786">
          <cell r="B786" t="str">
            <v>Smith,Willie W</v>
          </cell>
          <cell r="C786">
            <v>25.67</v>
          </cell>
        </row>
        <row r="787">
          <cell r="B787" t="str">
            <v>Poe,Julian D</v>
          </cell>
          <cell r="C787">
            <v>19.75</v>
          </cell>
        </row>
        <row r="788">
          <cell r="B788" t="str">
            <v>Armstrong,Monica E</v>
          </cell>
          <cell r="C788">
            <v>16.5</v>
          </cell>
        </row>
        <row r="789">
          <cell r="B789" t="str">
            <v>Castillo,Ryan F</v>
          </cell>
          <cell r="C789">
            <v>40.39</v>
          </cell>
        </row>
        <row r="790">
          <cell r="B790" t="str">
            <v>Cifelli,Daniel P</v>
          </cell>
          <cell r="C790">
            <v>20.5</v>
          </cell>
        </row>
        <row r="791">
          <cell r="B791" t="str">
            <v>Kurtz,Jonathan E</v>
          </cell>
          <cell r="C791">
            <v>38.049999999999997</v>
          </cell>
        </row>
        <row r="792">
          <cell r="B792" t="str">
            <v>Allen,Raymond G</v>
          </cell>
          <cell r="C792">
            <v>83.15</v>
          </cell>
        </row>
        <row r="793">
          <cell r="B793" t="str">
            <v>Banner,Sekou L</v>
          </cell>
          <cell r="C793">
            <v>18.59</v>
          </cell>
        </row>
        <row r="794">
          <cell r="B794" t="str">
            <v>Ellenberger,Charles M</v>
          </cell>
          <cell r="C794">
            <v>37.630000000000003</v>
          </cell>
        </row>
        <row r="795">
          <cell r="B795" t="str">
            <v>Stotesbery,Kevin B</v>
          </cell>
          <cell r="C795">
            <v>17.34</v>
          </cell>
        </row>
        <row r="796">
          <cell r="B796" t="str">
            <v>Pham,Minh D.</v>
          </cell>
          <cell r="C796">
            <v>40.380000000000003</v>
          </cell>
        </row>
        <row r="797">
          <cell r="B797" t="str">
            <v>Caruso,John C</v>
          </cell>
          <cell r="C797">
            <v>47.7</v>
          </cell>
        </row>
        <row r="798">
          <cell r="B798" t="str">
            <v>Thompson,Barbara R.</v>
          </cell>
          <cell r="C798">
            <v>41.63</v>
          </cell>
        </row>
        <row r="799">
          <cell r="B799" t="str">
            <v>French,Kenneth J.</v>
          </cell>
          <cell r="C799">
            <v>41.67</v>
          </cell>
        </row>
        <row r="800">
          <cell r="B800" t="str">
            <v>Martin,Derrick T</v>
          </cell>
          <cell r="C800">
            <v>32.11</v>
          </cell>
        </row>
        <row r="801">
          <cell r="B801" t="str">
            <v>Barile,Vanessa P.E</v>
          </cell>
          <cell r="C801">
            <v>25.95</v>
          </cell>
        </row>
        <row r="802">
          <cell r="B802" t="str">
            <v>Jordan,Jeanette</v>
          </cell>
          <cell r="C802">
            <v>31.25</v>
          </cell>
        </row>
        <row r="803">
          <cell r="B803" t="str">
            <v>Burleson,Donald C</v>
          </cell>
          <cell r="C803">
            <v>16.45</v>
          </cell>
        </row>
        <row r="804">
          <cell r="B804" t="str">
            <v>Garza,Javier T</v>
          </cell>
          <cell r="C804">
            <v>18.5</v>
          </cell>
        </row>
        <row r="805">
          <cell r="B805" t="str">
            <v>Alcantara,Michael D</v>
          </cell>
          <cell r="C805">
            <v>38.47</v>
          </cell>
        </row>
        <row r="806">
          <cell r="B806" t="str">
            <v>Acosta,Sylvia V</v>
          </cell>
          <cell r="C806">
            <v>16</v>
          </cell>
        </row>
        <row r="807">
          <cell r="B807" t="str">
            <v>Betts,Wanda</v>
          </cell>
          <cell r="C807">
            <v>22.12</v>
          </cell>
        </row>
        <row r="808">
          <cell r="B808" t="str">
            <v>Kelly,Jeffery R</v>
          </cell>
          <cell r="C808">
            <v>19.96</v>
          </cell>
        </row>
        <row r="809">
          <cell r="B809" t="str">
            <v>Beckett,Timothy W</v>
          </cell>
          <cell r="C809">
            <v>25</v>
          </cell>
        </row>
        <row r="810">
          <cell r="B810" t="str">
            <v>Shaffer,Howard A</v>
          </cell>
          <cell r="C810">
            <v>19.82</v>
          </cell>
        </row>
        <row r="811">
          <cell r="B811" t="str">
            <v>Gulledge,Shelia L</v>
          </cell>
          <cell r="C811">
            <v>60.56</v>
          </cell>
        </row>
        <row r="812">
          <cell r="B812" t="str">
            <v>Hawkins,Christopher S</v>
          </cell>
          <cell r="C812">
            <v>64.19</v>
          </cell>
        </row>
        <row r="813">
          <cell r="B813" t="str">
            <v>LaChance,Patricia</v>
          </cell>
          <cell r="C813">
            <v>27.01</v>
          </cell>
        </row>
        <row r="814">
          <cell r="B814" t="str">
            <v>Gamponia,Andreas F</v>
          </cell>
          <cell r="C814">
            <v>53.14</v>
          </cell>
        </row>
        <row r="815">
          <cell r="B815" t="str">
            <v>Skalstad,Mitchell J</v>
          </cell>
          <cell r="C815">
            <v>55.59</v>
          </cell>
        </row>
        <row r="816">
          <cell r="B816" t="str">
            <v>Bryant,Randel G</v>
          </cell>
          <cell r="C816">
            <v>24.1</v>
          </cell>
        </row>
        <row r="817">
          <cell r="B817" t="str">
            <v>Lassiter,Erin L</v>
          </cell>
          <cell r="C817">
            <v>33.54</v>
          </cell>
        </row>
        <row r="818">
          <cell r="B818" t="str">
            <v>Butts,Lisa A</v>
          </cell>
          <cell r="C818">
            <v>19.88</v>
          </cell>
        </row>
        <row r="819">
          <cell r="B819" t="str">
            <v>Dinsmore,James F</v>
          </cell>
          <cell r="C819">
            <v>56.01</v>
          </cell>
        </row>
        <row r="820">
          <cell r="B820" t="str">
            <v>Tull,Alvin T.</v>
          </cell>
          <cell r="C820">
            <v>25.5</v>
          </cell>
        </row>
        <row r="821">
          <cell r="B821" t="str">
            <v>Weiss,David M</v>
          </cell>
          <cell r="C821">
            <v>29.92</v>
          </cell>
        </row>
        <row r="822">
          <cell r="B822" t="str">
            <v>Palos,Esperanza</v>
          </cell>
          <cell r="C822">
            <v>34.619999999999997</v>
          </cell>
        </row>
        <row r="823">
          <cell r="B823" t="str">
            <v>Kolm,Jan E</v>
          </cell>
          <cell r="C823">
            <v>42.88</v>
          </cell>
        </row>
        <row r="824">
          <cell r="B824" t="str">
            <v>Sirianni,Gianluca</v>
          </cell>
          <cell r="C824">
            <v>41.31</v>
          </cell>
        </row>
        <row r="825">
          <cell r="B825" t="str">
            <v>Ferre,Alexie J</v>
          </cell>
          <cell r="C825">
            <v>28.91</v>
          </cell>
        </row>
        <row r="826">
          <cell r="B826" t="str">
            <v>Shuman Jr.,John D</v>
          </cell>
          <cell r="C826">
            <v>26.53</v>
          </cell>
        </row>
        <row r="827">
          <cell r="B827" t="str">
            <v>Burrell III,Joshua</v>
          </cell>
          <cell r="C827">
            <v>17.25</v>
          </cell>
        </row>
        <row r="828">
          <cell r="B828" t="str">
            <v>Miller,Jeanette M</v>
          </cell>
          <cell r="C828">
            <v>46.75</v>
          </cell>
        </row>
        <row r="829">
          <cell r="B829" t="str">
            <v>Nazzaro,Thomas E</v>
          </cell>
          <cell r="C829">
            <v>49.04</v>
          </cell>
        </row>
        <row r="830">
          <cell r="B830" t="str">
            <v>Crider,Richard D</v>
          </cell>
          <cell r="C830">
            <v>40</v>
          </cell>
        </row>
        <row r="831">
          <cell r="B831" t="str">
            <v>Salek,Anthony B</v>
          </cell>
          <cell r="C831">
            <v>33.25</v>
          </cell>
        </row>
        <row r="832">
          <cell r="B832" t="str">
            <v>Broussard,Cleveland</v>
          </cell>
          <cell r="C832">
            <v>72.48</v>
          </cell>
        </row>
        <row r="833">
          <cell r="B833" t="str">
            <v>Miller,Damion F.</v>
          </cell>
          <cell r="C833">
            <v>36.76</v>
          </cell>
        </row>
        <row r="834">
          <cell r="B834" t="str">
            <v>Detro,Catherine T</v>
          </cell>
          <cell r="C834">
            <v>51</v>
          </cell>
        </row>
        <row r="835">
          <cell r="B835" t="str">
            <v>Ellis,Andrew G.</v>
          </cell>
          <cell r="C835">
            <v>42.5</v>
          </cell>
        </row>
        <row r="836">
          <cell r="B836" t="str">
            <v>Hein,Richard G</v>
          </cell>
          <cell r="C836">
            <v>41.51</v>
          </cell>
        </row>
        <row r="837">
          <cell r="B837" t="str">
            <v>Fink,John E</v>
          </cell>
          <cell r="C837">
            <v>21.44</v>
          </cell>
        </row>
        <row r="838">
          <cell r="B838" t="str">
            <v>Pie,Cesar</v>
          </cell>
          <cell r="C838">
            <v>63.35</v>
          </cell>
        </row>
        <row r="839">
          <cell r="B839" t="str">
            <v>Rodgers,Jeffrey S</v>
          </cell>
          <cell r="C839">
            <v>38.700000000000003</v>
          </cell>
        </row>
        <row r="840">
          <cell r="B840" t="str">
            <v>Schneider,John F</v>
          </cell>
          <cell r="C840">
            <v>39.43</v>
          </cell>
        </row>
        <row r="841">
          <cell r="B841" t="str">
            <v>Rogers,Vincent M</v>
          </cell>
          <cell r="C841">
            <v>38.18</v>
          </cell>
        </row>
        <row r="842">
          <cell r="B842" t="str">
            <v>Rawlings Jr.,Raymond S</v>
          </cell>
          <cell r="C842">
            <v>44.15</v>
          </cell>
        </row>
        <row r="843">
          <cell r="B843" t="str">
            <v>Nicodemus,Larry L</v>
          </cell>
          <cell r="C843">
            <v>28</v>
          </cell>
        </row>
        <row r="844">
          <cell r="B844" t="str">
            <v>Dye Jr.,David G</v>
          </cell>
          <cell r="C844">
            <v>19.239999999999998</v>
          </cell>
        </row>
        <row r="845">
          <cell r="B845" t="str">
            <v>Oakley,Theodore M</v>
          </cell>
          <cell r="C845">
            <v>39.43</v>
          </cell>
        </row>
        <row r="846">
          <cell r="B846" t="str">
            <v>Gardiner,Carla M</v>
          </cell>
          <cell r="C846">
            <v>50.49</v>
          </cell>
        </row>
        <row r="847">
          <cell r="B847" t="str">
            <v>King,William G</v>
          </cell>
          <cell r="C847">
            <v>46.16</v>
          </cell>
        </row>
        <row r="848">
          <cell r="B848" t="str">
            <v>Martin,Eileen R.</v>
          </cell>
          <cell r="C848">
            <v>52.8</v>
          </cell>
        </row>
        <row r="849">
          <cell r="B849" t="str">
            <v>Jones,Nainette G</v>
          </cell>
          <cell r="C849">
            <v>15.31</v>
          </cell>
        </row>
        <row r="850">
          <cell r="B850" t="str">
            <v>Koh,Stephen H</v>
          </cell>
          <cell r="C850">
            <v>61.62</v>
          </cell>
        </row>
        <row r="851">
          <cell r="B851" t="str">
            <v>Lucas,Keith W.</v>
          </cell>
          <cell r="C851">
            <v>34.71</v>
          </cell>
        </row>
        <row r="852">
          <cell r="B852" t="str">
            <v>Sullivan,Sean M.</v>
          </cell>
          <cell r="C852">
            <v>27.15</v>
          </cell>
        </row>
        <row r="853">
          <cell r="B853" t="str">
            <v>Moeder,Joseph E</v>
          </cell>
          <cell r="C853">
            <v>44.66</v>
          </cell>
        </row>
        <row r="854">
          <cell r="B854" t="str">
            <v>Ellington,Phillip L.</v>
          </cell>
          <cell r="C854">
            <v>44.26</v>
          </cell>
        </row>
        <row r="855">
          <cell r="B855" t="str">
            <v>Nelson,Benjamin M.</v>
          </cell>
          <cell r="C855">
            <v>49.74</v>
          </cell>
        </row>
        <row r="856">
          <cell r="B856" t="str">
            <v>Page,Donald C</v>
          </cell>
          <cell r="C856">
            <v>33.51</v>
          </cell>
        </row>
        <row r="857">
          <cell r="B857" t="str">
            <v>Thorne,Raymond W</v>
          </cell>
          <cell r="C857">
            <v>36.56</v>
          </cell>
        </row>
        <row r="858">
          <cell r="B858" t="str">
            <v>Eley,Kimberley W</v>
          </cell>
          <cell r="C858">
            <v>36.72</v>
          </cell>
        </row>
        <row r="859">
          <cell r="B859" t="str">
            <v>Yeager,Lindsey Michelle</v>
          </cell>
          <cell r="C859">
            <v>31.16</v>
          </cell>
        </row>
        <row r="860">
          <cell r="B860" t="str">
            <v>Chavez,Michael R</v>
          </cell>
          <cell r="C860">
            <v>38.47</v>
          </cell>
        </row>
        <row r="861">
          <cell r="B861" t="str">
            <v>Verrett,Jennifer N</v>
          </cell>
          <cell r="C861">
            <v>22</v>
          </cell>
        </row>
        <row r="862">
          <cell r="B862" t="str">
            <v>Strickland,Kathy J</v>
          </cell>
          <cell r="C862">
            <v>36.06</v>
          </cell>
        </row>
        <row r="863">
          <cell r="B863" t="str">
            <v>Lacks,Patricia A</v>
          </cell>
          <cell r="C863">
            <v>31.25</v>
          </cell>
        </row>
        <row r="864">
          <cell r="B864" t="str">
            <v>Newsome,Lee O</v>
          </cell>
          <cell r="C864">
            <v>24</v>
          </cell>
        </row>
        <row r="865">
          <cell r="B865" t="str">
            <v>Antoine,Dexter A</v>
          </cell>
          <cell r="C865">
            <v>52.89</v>
          </cell>
        </row>
        <row r="866">
          <cell r="B866" t="str">
            <v>Greening,Denis A</v>
          </cell>
          <cell r="C866">
            <v>71.67</v>
          </cell>
        </row>
        <row r="867">
          <cell r="B867" t="str">
            <v>Eley Jr,Arthur G</v>
          </cell>
          <cell r="C867">
            <v>46.98</v>
          </cell>
        </row>
        <row r="868">
          <cell r="B868" t="str">
            <v>Welch,David C.</v>
          </cell>
          <cell r="C868">
            <v>28.03</v>
          </cell>
        </row>
        <row r="869">
          <cell r="B869" t="str">
            <v>Childs,Albert L.</v>
          </cell>
          <cell r="C869">
            <v>29.56</v>
          </cell>
        </row>
        <row r="870">
          <cell r="B870" t="str">
            <v>Horn,William P</v>
          </cell>
          <cell r="C870">
            <v>16.47</v>
          </cell>
        </row>
        <row r="871">
          <cell r="B871" t="str">
            <v>Dalton,Ronda L.</v>
          </cell>
          <cell r="C871">
            <v>55.59</v>
          </cell>
        </row>
        <row r="872">
          <cell r="B872" t="str">
            <v>Iverson,Ruth F.</v>
          </cell>
          <cell r="C872">
            <v>22.99</v>
          </cell>
        </row>
        <row r="873">
          <cell r="B873" t="str">
            <v>Davis,Elizabeth A.</v>
          </cell>
          <cell r="C873">
            <v>53.02</v>
          </cell>
        </row>
        <row r="874">
          <cell r="B874" t="str">
            <v>Glover,Richard E.</v>
          </cell>
          <cell r="C874">
            <v>62.49</v>
          </cell>
        </row>
        <row r="875">
          <cell r="B875" t="str">
            <v>Force,Anne M</v>
          </cell>
          <cell r="C875">
            <v>43.5</v>
          </cell>
        </row>
        <row r="876">
          <cell r="B876" t="str">
            <v>Bryant,Roger M</v>
          </cell>
          <cell r="C876">
            <v>21.37</v>
          </cell>
        </row>
        <row r="877">
          <cell r="B877" t="str">
            <v>Jameson,Charlotte Dana</v>
          </cell>
          <cell r="C877">
            <v>45.49</v>
          </cell>
        </row>
        <row r="878">
          <cell r="B878" t="str">
            <v>Flinders,Ronald G.</v>
          </cell>
          <cell r="C878">
            <v>37.86</v>
          </cell>
        </row>
        <row r="879">
          <cell r="B879" t="str">
            <v>Johnson,Peter E.</v>
          </cell>
          <cell r="C879">
            <v>51.35</v>
          </cell>
        </row>
        <row r="880">
          <cell r="B880" t="str">
            <v>Sohl,Brian</v>
          </cell>
          <cell r="C880">
            <v>43.06</v>
          </cell>
        </row>
        <row r="881">
          <cell r="B881" t="str">
            <v>Bryan,Joseph R</v>
          </cell>
          <cell r="C881">
            <v>14.27</v>
          </cell>
        </row>
        <row r="882">
          <cell r="B882" t="str">
            <v>Bielawski Jr.,Brian V</v>
          </cell>
          <cell r="C882">
            <v>37.020000000000003</v>
          </cell>
        </row>
        <row r="883">
          <cell r="B883" t="str">
            <v>Peterson,Linda K</v>
          </cell>
          <cell r="C883">
            <v>51.923099999999998</v>
          </cell>
        </row>
        <row r="884">
          <cell r="B884" t="str">
            <v>Dasher,Leah V</v>
          </cell>
          <cell r="C884">
            <v>20.75</v>
          </cell>
        </row>
        <row r="885">
          <cell r="B885" t="str">
            <v>Artis,Wayne L</v>
          </cell>
          <cell r="C885">
            <v>19.420000000000002</v>
          </cell>
        </row>
        <row r="886">
          <cell r="B886" t="str">
            <v>Ruef,Andrew W</v>
          </cell>
          <cell r="C886">
            <v>52.88</v>
          </cell>
        </row>
        <row r="887">
          <cell r="B887" t="str">
            <v>Thomas,Dionce</v>
          </cell>
          <cell r="C887">
            <v>20.51</v>
          </cell>
        </row>
        <row r="888">
          <cell r="B888" t="str">
            <v>Kolakowski,Ronald G.</v>
          </cell>
          <cell r="C888">
            <v>49.38</v>
          </cell>
        </row>
        <row r="889">
          <cell r="B889" t="str">
            <v>McBride,Sharon</v>
          </cell>
          <cell r="C889">
            <v>16.05</v>
          </cell>
        </row>
        <row r="890">
          <cell r="B890" t="str">
            <v>Bell,Gary L</v>
          </cell>
          <cell r="C890">
            <v>46.16</v>
          </cell>
        </row>
        <row r="891">
          <cell r="B891" t="str">
            <v>Leatherwood,Michele E</v>
          </cell>
          <cell r="C891">
            <v>15.93</v>
          </cell>
        </row>
        <row r="892">
          <cell r="B892" t="str">
            <v>Allin,Johnathan W</v>
          </cell>
          <cell r="C892">
            <v>50.17</v>
          </cell>
        </row>
        <row r="893">
          <cell r="B893" t="str">
            <v>Uecker,Gregory S</v>
          </cell>
          <cell r="C893">
            <v>72.47</v>
          </cell>
        </row>
        <row r="894">
          <cell r="B894" t="str">
            <v>Noell,Harold L</v>
          </cell>
          <cell r="C894">
            <v>46.53</v>
          </cell>
        </row>
        <row r="895">
          <cell r="B895" t="str">
            <v>Nelson,Tracy M.</v>
          </cell>
          <cell r="C895">
            <v>21.29</v>
          </cell>
        </row>
        <row r="896">
          <cell r="B896" t="str">
            <v>Gilliard,Reamy J</v>
          </cell>
          <cell r="C896">
            <v>24.72</v>
          </cell>
        </row>
        <row r="897">
          <cell r="B897" t="str">
            <v>Miller,Christopher J.</v>
          </cell>
          <cell r="C897">
            <v>60.47</v>
          </cell>
        </row>
        <row r="898">
          <cell r="B898" t="str">
            <v>Berry,Jerry L</v>
          </cell>
          <cell r="C898">
            <v>23.46</v>
          </cell>
        </row>
        <row r="899">
          <cell r="B899" t="str">
            <v>Beeg,Carl D</v>
          </cell>
          <cell r="C899">
            <v>22.5</v>
          </cell>
        </row>
        <row r="900">
          <cell r="B900" t="str">
            <v>Furlough,Brian K.</v>
          </cell>
          <cell r="C900">
            <v>50.02</v>
          </cell>
        </row>
        <row r="901">
          <cell r="B901" t="str">
            <v>Swallows,Jason P</v>
          </cell>
          <cell r="C901">
            <v>40.15</v>
          </cell>
        </row>
        <row r="902">
          <cell r="B902" t="str">
            <v>Smith,Brian M</v>
          </cell>
          <cell r="C902">
            <v>41.35</v>
          </cell>
        </row>
        <row r="903">
          <cell r="B903" t="str">
            <v>Chickinsky,Alan</v>
          </cell>
          <cell r="C903">
            <v>64.91</v>
          </cell>
        </row>
        <row r="904">
          <cell r="B904" t="str">
            <v>Valenzuela,Richard E</v>
          </cell>
          <cell r="C904">
            <v>20.440000000000001</v>
          </cell>
        </row>
        <row r="905">
          <cell r="B905" t="str">
            <v>Rodrigues,Lawrence E</v>
          </cell>
          <cell r="C905">
            <v>52.89</v>
          </cell>
        </row>
        <row r="906">
          <cell r="B906" t="str">
            <v>Miles,Michael S</v>
          </cell>
          <cell r="C906">
            <v>60.1</v>
          </cell>
        </row>
        <row r="907">
          <cell r="B907" t="str">
            <v>Goad,Russell A</v>
          </cell>
          <cell r="C907">
            <v>56.02</v>
          </cell>
        </row>
        <row r="908">
          <cell r="B908" t="str">
            <v>Ellifritz,Richard K</v>
          </cell>
          <cell r="C908">
            <v>48.25</v>
          </cell>
        </row>
        <row r="909">
          <cell r="B909" t="str">
            <v>Quijas,Lawrence</v>
          </cell>
          <cell r="C909">
            <v>46.94</v>
          </cell>
        </row>
        <row r="910">
          <cell r="B910" t="str">
            <v>Odegard,Robert C.</v>
          </cell>
          <cell r="C910">
            <v>25.86</v>
          </cell>
        </row>
        <row r="911">
          <cell r="B911" t="str">
            <v>Belair,Robert D</v>
          </cell>
          <cell r="C911">
            <v>14.51</v>
          </cell>
        </row>
        <row r="912">
          <cell r="B912" t="str">
            <v>Brown,Seth</v>
          </cell>
          <cell r="C912">
            <v>25.18</v>
          </cell>
        </row>
        <row r="913">
          <cell r="B913" t="str">
            <v>Osborne,Kelly L</v>
          </cell>
          <cell r="C913">
            <v>19.22</v>
          </cell>
        </row>
        <row r="914">
          <cell r="B914" t="str">
            <v>McGee,Sheila M.</v>
          </cell>
          <cell r="C914">
            <v>60.31</v>
          </cell>
        </row>
        <row r="915">
          <cell r="B915" t="str">
            <v>Fremeau,Susan L.</v>
          </cell>
          <cell r="C915">
            <v>57.59</v>
          </cell>
        </row>
        <row r="916">
          <cell r="B916" t="str">
            <v>Fairbanks,Erik J.</v>
          </cell>
          <cell r="C916">
            <v>59.97</v>
          </cell>
        </row>
        <row r="917">
          <cell r="B917" t="str">
            <v>Charles,Cecily M</v>
          </cell>
          <cell r="C917">
            <v>24.43</v>
          </cell>
        </row>
        <row r="918">
          <cell r="B918" t="str">
            <v>Tieman,Justin</v>
          </cell>
          <cell r="C918">
            <v>29.88</v>
          </cell>
        </row>
        <row r="919">
          <cell r="B919" t="str">
            <v>Norris,Sandra K.</v>
          </cell>
          <cell r="C919">
            <v>27.5</v>
          </cell>
        </row>
        <row r="920">
          <cell r="B920" t="str">
            <v>Hofsess,Douglas O</v>
          </cell>
          <cell r="C920">
            <v>26.55</v>
          </cell>
        </row>
        <row r="921">
          <cell r="B921" t="str">
            <v>Shafer,Alan L</v>
          </cell>
          <cell r="C921">
            <v>46.1539</v>
          </cell>
        </row>
        <row r="922">
          <cell r="B922" t="str">
            <v>TranNguyen,Phi V</v>
          </cell>
          <cell r="C922">
            <v>45.68</v>
          </cell>
        </row>
        <row r="923">
          <cell r="B923" t="str">
            <v>Dreyfuss,Michael F</v>
          </cell>
          <cell r="C923">
            <v>36.06</v>
          </cell>
        </row>
        <row r="924">
          <cell r="B924" t="str">
            <v>Henderson,Michael J</v>
          </cell>
          <cell r="C924">
            <v>21</v>
          </cell>
        </row>
        <row r="925">
          <cell r="B925" t="str">
            <v>Filippi,Salvatore T</v>
          </cell>
          <cell r="C925">
            <v>50</v>
          </cell>
        </row>
        <row r="926">
          <cell r="B926" t="str">
            <v>Standrich,Fred D</v>
          </cell>
          <cell r="C926">
            <v>57.55</v>
          </cell>
        </row>
        <row r="927">
          <cell r="B927" t="str">
            <v>Kania,Edward G.</v>
          </cell>
          <cell r="C927">
            <v>27.53</v>
          </cell>
        </row>
        <row r="928">
          <cell r="B928" t="str">
            <v>Brinkmann,John T</v>
          </cell>
          <cell r="C928">
            <v>14.79</v>
          </cell>
        </row>
        <row r="929">
          <cell r="B929" t="str">
            <v>Gardiner,Ginger L.G.</v>
          </cell>
          <cell r="C929">
            <v>50.49</v>
          </cell>
        </row>
        <row r="930">
          <cell r="B930" t="str">
            <v>Fisher,Carol A.</v>
          </cell>
          <cell r="C930">
            <v>22.14</v>
          </cell>
        </row>
        <row r="931">
          <cell r="B931" t="str">
            <v>Kingsbury,Lisa A</v>
          </cell>
          <cell r="C931">
            <v>26</v>
          </cell>
        </row>
        <row r="932">
          <cell r="B932" t="str">
            <v>Whitaker,Carla M.</v>
          </cell>
          <cell r="C932">
            <v>19.68</v>
          </cell>
        </row>
        <row r="933">
          <cell r="B933" t="str">
            <v>Korthals,Rodger L.</v>
          </cell>
          <cell r="C933">
            <v>20.12</v>
          </cell>
        </row>
        <row r="934">
          <cell r="B934" t="str">
            <v>Imes,Frankie D</v>
          </cell>
          <cell r="C934">
            <v>26</v>
          </cell>
        </row>
        <row r="935">
          <cell r="B935" t="str">
            <v>Temeyosa,Michael A</v>
          </cell>
          <cell r="C935">
            <v>38.57</v>
          </cell>
        </row>
        <row r="936">
          <cell r="B936" t="str">
            <v>Lau,Yuk-Ming</v>
          </cell>
          <cell r="C936">
            <v>45.18</v>
          </cell>
        </row>
        <row r="937">
          <cell r="B937" t="str">
            <v>Vasser,Antonius</v>
          </cell>
          <cell r="C937">
            <v>26</v>
          </cell>
        </row>
        <row r="938">
          <cell r="B938" t="str">
            <v>Hill,Christopher R.</v>
          </cell>
          <cell r="C938">
            <v>25.32</v>
          </cell>
        </row>
        <row r="939">
          <cell r="B939" t="str">
            <v>Jorgensen,James C</v>
          </cell>
          <cell r="C939">
            <v>27.13</v>
          </cell>
        </row>
        <row r="940">
          <cell r="B940" t="str">
            <v>Collins Jr,Robert L</v>
          </cell>
          <cell r="C940">
            <v>24.96</v>
          </cell>
        </row>
        <row r="941">
          <cell r="B941" t="str">
            <v>Hayes,Dana P</v>
          </cell>
          <cell r="C941">
            <v>38.51</v>
          </cell>
        </row>
        <row r="942">
          <cell r="B942" t="str">
            <v>Esparza,Ernie A</v>
          </cell>
          <cell r="C942">
            <v>50.98</v>
          </cell>
        </row>
        <row r="943">
          <cell r="B943" t="str">
            <v>Folsom,Noah L.</v>
          </cell>
          <cell r="C943">
            <v>48.13</v>
          </cell>
        </row>
        <row r="944">
          <cell r="B944" t="str">
            <v>Lewis,Deborah S</v>
          </cell>
          <cell r="C944">
            <v>21.42</v>
          </cell>
        </row>
        <row r="945">
          <cell r="B945" t="str">
            <v>Johnson,Earl R</v>
          </cell>
          <cell r="C945">
            <v>58.9</v>
          </cell>
        </row>
        <row r="946">
          <cell r="B946" t="str">
            <v>Altman,Michael P</v>
          </cell>
          <cell r="C946">
            <v>22.42</v>
          </cell>
        </row>
        <row r="947">
          <cell r="B947" t="str">
            <v>Brezinski,Raymond J.</v>
          </cell>
          <cell r="C947">
            <v>39.68</v>
          </cell>
        </row>
        <row r="948">
          <cell r="B948" t="str">
            <v>Eidson,Adam D.</v>
          </cell>
          <cell r="C948">
            <v>135</v>
          </cell>
        </row>
        <row r="949">
          <cell r="B949" t="str">
            <v>Clark,Debvonna R</v>
          </cell>
          <cell r="C949">
            <v>20.6</v>
          </cell>
        </row>
        <row r="950">
          <cell r="B950" t="str">
            <v>Rivera,Bolivar V.</v>
          </cell>
          <cell r="C950">
            <v>41.83</v>
          </cell>
        </row>
        <row r="951">
          <cell r="B951" t="str">
            <v>O'Brien,Joy L.</v>
          </cell>
          <cell r="C951">
            <v>25.16</v>
          </cell>
        </row>
        <row r="952">
          <cell r="B952" t="str">
            <v>Kaso,Timothy D.</v>
          </cell>
          <cell r="C952">
            <v>50.49</v>
          </cell>
        </row>
        <row r="953">
          <cell r="B953" t="str">
            <v>Debevoise,Timothy C</v>
          </cell>
          <cell r="C953">
            <v>39.31</v>
          </cell>
        </row>
        <row r="954">
          <cell r="B954" t="str">
            <v>Bragg,Debra J</v>
          </cell>
          <cell r="C954">
            <v>19.670000000000002</v>
          </cell>
        </row>
        <row r="955">
          <cell r="B955" t="str">
            <v>Hagan,John E</v>
          </cell>
          <cell r="C955">
            <v>25.95</v>
          </cell>
        </row>
        <row r="956">
          <cell r="B956" t="str">
            <v>Ernes,Gary D</v>
          </cell>
          <cell r="C956">
            <v>36</v>
          </cell>
        </row>
        <row r="957">
          <cell r="B957" t="str">
            <v>Bunch,Derrick M</v>
          </cell>
          <cell r="C957">
            <v>28.6</v>
          </cell>
        </row>
        <row r="958">
          <cell r="B958" t="str">
            <v>Kittle,Kathryn A</v>
          </cell>
          <cell r="C958">
            <v>27.66</v>
          </cell>
        </row>
        <row r="959">
          <cell r="B959" t="str">
            <v>Paulsen,Paul J</v>
          </cell>
          <cell r="C959">
            <v>33.06</v>
          </cell>
        </row>
        <row r="960">
          <cell r="B960" t="str">
            <v>Nieto,Yvette C</v>
          </cell>
          <cell r="C960">
            <v>15.2</v>
          </cell>
        </row>
        <row r="961">
          <cell r="B961" t="str">
            <v>Smith,Shawn S.</v>
          </cell>
          <cell r="C961">
            <v>51.31</v>
          </cell>
        </row>
        <row r="962">
          <cell r="B962" t="str">
            <v>Kirkland,Dennis D</v>
          </cell>
          <cell r="C962">
            <v>25.72</v>
          </cell>
        </row>
        <row r="963">
          <cell r="B963" t="str">
            <v>Robitaille,Louise G</v>
          </cell>
          <cell r="C963">
            <v>55.15</v>
          </cell>
        </row>
        <row r="964">
          <cell r="B964" t="str">
            <v>Turner,Steven J</v>
          </cell>
          <cell r="C964">
            <v>62.08</v>
          </cell>
        </row>
        <row r="965">
          <cell r="B965" t="str">
            <v>Morgan,Penny L</v>
          </cell>
          <cell r="C965">
            <v>67.3</v>
          </cell>
        </row>
        <row r="966">
          <cell r="B966" t="str">
            <v>Driscoll,William S</v>
          </cell>
          <cell r="C966">
            <v>48.93</v>
          </cell>
        </row>
        <row r="967">
          <cell r="B967" t="str">
            <v>Broten,Charles E</v>
          </cell>
          <cell r="C967">
            <v>36.57</v>
          </cell>
        </row>
        <row r="968">
          <cell r="B968" t="str">
            <v>Heard,Ray</v>
          </cell>
          <cell r="C968">
            <v>24.5</v>
          </cell>
        </row>
        <row r="969">
          <cell r="B969" t="str">
            <v>Terrell,Mary L</v>
          </cell>
          <cell r="C969">
            <v>32</v>
          </cell>
        </row>
        <row r="970">
          <cell r="B970" t="str">
            <v>Peters,Zena S.</v>
          </cell>
          <cell r="C970">
            <v>27.04</v>
          </cell>
        </row>
        <row r="971">
          <cell r="B971" t="str">
            <v>Scott,Benjamin D</v>
          </cell>
          <cell r="C971">
            <v>35.799999999999997</v>
          </cell>
        </row>
        <row r="972">
          <cell r="B972" t="str">
            <v>Espana,William A</v>
          </cell>
          <cell r="C972">
            <v>37.93</v>
          </cell>
        </row>
        <row r="973">
          <cell r="B973" t="str">
            <v>Newsome,Leoatis</v>
          </cell>
          <cell r="C973">
            <v>24.47</v>
          </cell>
        </row>
        <row r="974">
          <cell r="B974" t="str">
            <v>Zebarjadi,Melahat L</v>
          </cell>
          <cell r="C974">
            <v>64.06</v>
          </cell>
        </row>
        <row r="975">
          <cell r="B975" t="str">
            <v>Swenson,Carl E</v>
          </cell>
          <cell r="C975">
            <v>44.9</v>
          </cell>
        </row>
        <row r="976">
          <cell r="B976" t="str">
            <v>Lowe,Stephanie A</v>
          </cell>
          <cell r="C976">
            <v>22.07</v>
          </cell>
        </row>
        <row r="977">
          <cell r="B977" t="str">
            <v>Miyamoto,Randall I.</v>
          </cell>
          <cell r="C977">
            <v>30.17</v>
          </cell>
        </row>
        <row r="978">
          <cell r="B978" t="str">
            <v>Shanks,Kevin L.</v>
          </cell>
          <cell r="C978">
            <v>23.5</v>
          </cell>
        </row>
        <row r="979">
          <cell r="B979" t="str">
            <v>Ganzer,Colleen</v>
          </cell>
          <cell r="C979">
            <v>29.56</v>
          </cell>
        </row>
        <row r="980">
          <cell r="B980" t="str">
            <v>Cage,Preston W.</v>
          </cell>
          <cell r="C980">
            <v>38.93</v>
          </cell>
        </row>
        <row r="981">
          <cell r="B981" t="str">
            <v>Harris,Yolanda</v>
          </cell>
          <cell r="C981">
            <v>20.84</v>
          </cell>
        </row>
        <row r="982">
          <cell r="B982" t="str">
            <v>Warden,Scott A.</v>
          </cell>
          <cell r="C982">
            <v>27.63</v>
          </cell>
        </row>
        <row r="983">
          <cell r="B983" t="str">
            <v>Wright,Melinda A</v>
          </cell>
          <cell r="C983">
            <v>67.69</v>
          </cell>
        </row>
        <row r="984">
          <cell r="B984" t="str">
            <v>Hiett,Charles L.</v>
          </cell>
          <cell r="C984">
            <v>41.44</v>
          </cell>
        </row>
        <row r="985">
          <cell r="B985" t="str">
            <v>Powers,Walter G.</v>
          </cell>
          <cell r="C985">
            <v>41.75</v>
          </cell>
        </row>
        <row r="986">
          <cell r="B986" t="str">
            <v>Ryerson,Timothy L</v>
          </cell>
          <cell r="C986">
            <v>44.4</v>
          </cell>
        </row>
        <row r="987">
          <cell r="B987" t="str">
            <v>Gawel,Stanislaw</v>
          </cell>
          <cell r="C987">
            <v>32.54</v>
          </cell>
        </row>
        <row r="988">
          <cell r="B988" t="str">
            <v>Prock,Laura M.</v>
          </cell>
          <cell r="C988">
            <v>32.58</v>
          </cell>
        </row>
        <row r="989">
          <cell r="B989" t="str">
            <v>Garcia,Joe R.</v>
          </cell>
          <cell r="C989">
            <v>29.26</v>
          </cell>
        </row>
        <row r="990">
          <cell r="B990" t="str">
            <v>Cole Jr.,George P</v>
          </cell>
          <cell r="C990">
            <v>36.4</v>
          </cell>
        </row>
        <row r="991">
          <cell r="B991" t="str">
            <v>Garrett Jr.,Richard D.</v>
          </cell>
          <cell r="C991">
            <v>43.65</v>
          </cell>
        </row>
        <row r="992">
          <cell r="B992" t="str">
            <v>Weaver,Michael R.</v>
          </cell>
          <cell r="C992">
            <v>25.9</v>
          </cell>
        </row>
        <row r="993">
          <cell r="B993" t="str">
            <v>Gamble,Richard</v>
          </cell>
          <cell r="C993">
            <v>40.29</v>
          </cell>
        </row>
        <row r="994">
          <cell r="B994" t="str">
            <v>Clark,Fred C.</v>
          </cell>
          <cell r="C994">
            <v>38.93</v>
          </cell>
        </row>
        <row r="995">
          <cell r="B995" t="str">
            <v>Morales,Glenn B.</v>
          </cell>
          <cell r="C995">
            <v>28.4</v>
          </cell>
        </row>
        <row r="996">
          <cell r="B996" t="str">
            <v>Crecelius,Charles C</v>
          </cell>
          <cell r="C996">
            <v>31.58</v>
          </cell>
        </row>
        <row r="997">
          <cell r="B997" t="str">
            <v>Richardson,Nancy K</v>
          </cell>
          <cell r="C997">
            <v>33.619999999999997</v>
          </cell>
        </row>
        <row r="998">
          <cell r="B998" t="str">
            <v>Manning,Virginia R</v>
          </cell>
          <cell r="C998">
            <v>34.51</v>
          </cell>
        </row>
        <row r="999">
          <cell r="B999" t="str">
            <v>Wethy Jr,Marshall L</v>
          </cell>
          <cell r="C999">
            <v>34.25</v>
          </cell>
        </row>
        <row r="1000">
          <cell r="B1000" t="str">
            <v>Connolly,Francis J.</v>
          </cell>
          <cell r="C1000">
            <v>46.75</v>
          </cell>
        </row>
        <row r="1001">
          <cell r="B1001" t="str">
            <v>Radloff,Stephen J</v>
          </cell>
          <cell r="C1001">
            <v>76.94</v>
          </cell>
        </row>
        <row r="1002">
          <cell r="B1002" t="str">
            <v>Hyder,Mary M</v>
          </cell>
          <cell r="C1002">
            <v>45.4</v>
          </cell>
        </row>
        <row r="1003">
          <cell r="B1003" t="str">
            <v>Porter-Wright,Yolanda R</v>
          </cell>
          <cell r="C1003">
            <v>41.88</v>
          </cell>
        </row>
        <row r="1004">
          <cell r="B1004" t="str">
            <v>Hughes,Karen E</v>
          </cell>
          <cell r="C1004">
            <v>29.43</v>
          </cell>
        </row>
        <row r="1005">
          <cell r="B1005" t="str">
            <v>Mack,Theala L</v>
          </cell>
          <cell r="C1005">
            <v>18.25</v>
          </cell>
        </row>
        <row r="1006">
          <cell r="B1006" t="str">
            <v>Davis,Jeffrey A</v>
          </cell>
          <cell r="C1006">
            <v>38.58</v>
          </cell>
        </row>
        <row r="1007">
          <cell r="B1007" t="str">
            <v>Elkins,Asa M.</v>
          </cell>
          <cell r="C1007">
            <v>78.650000000000006</v>
          </cell>
        </row>
        <row r="1008">
          <cell r="B1008" t="str">
            <v>Fox,Joseph R.</v>
          </cell>
          <cell r="C1008">
            <v>146.63461599999999</v>
          </cell>
        </row>
        <row r="1009">
          <cell r="B1009" t="str">
            <v>Lowe,Charles R.</v>
          </cell>
          <cell r="C1009">
            <v>27.35</v>
          </cell>
        </row>
        <row r="1010">
          <cell r="B1010" t="str">
            <v>Holland,Michael</v>
          </cell>
          <cell r="C1010">
            <v>55.29</v>
          </cell>
        </row>
        <row r="1011">
          <cell r="B1011" t="str">
            <v>Quiton Jr,Rolando E</v>
          </cell>
          <cell r="C1011">
            <v>28.85</v>
          </cell>
        </row>
        <row r="1012">
          <cell r="B1012" t="str">
            <v>Coover,Roger D</v>
          </cell>
          <cell r="C1012">
            <v>13.22</v>
          </cell>
        </row>
        <row r="1013">
          <cell r="B1013" t="str">
            <v>Kaya,Elizabeth L</v>
          </cell>
          <cell r="C1013">
            <v>9.66</v>
          </cell>
        </row>
        <row r="1014">
          <cell r="B1014" t="str">
            <v>Pappion,Anthony T</v>
          </cell>
          <cell r="C1014">
            <v>16.399999999999999</v>
          </cell>
        </row>
        <row r="1015">
          <cell r="B1015" t="str">
            <v>Maxcy,Flint N</v>
          </cell>
          <cell r="C1015">
            <v>47.54</v>
          </cell>
        </row>
        <row r="1016">
          <cell r="B1016" t="str">
            <v>Cobb,Erin</v>
          </cell>
          <cell r="C1016">
            <v>30.52</v>
          </cell>
        </row>
        <row r="1017">
          <cell r="B1017" t="str">
            <v>Hopson,Christopher D.</v>
          </cell>
          <cell r="C1017">
            <v>21.67</v>
          </cell>
        </row>
        <row r="1018">
          <cell r="B1018" t="str">
            <v>Ryan,Carolyn</v>
          </cell>
          <cell r="C1018">
            <v>72.12</v>
          </cell>
        </row>
        <row r="1019">
          <cell r="B1019" t="str">
            <v>Tobin,Keith A.</v>
          </cell>
          <cell r="C1019">
            <v>32.200000000000003</v>
          </cell>
        </row>
        <row r="1020">
          <cell r="B1020" t="str">
            <v>Spriggs,Corey M</v>
          </cell>
          <cell r="C1020">
            <v>28.57</v>
          </cell>
        </row>
        <row r="1021">
          <cell r="B1021" t="str">
            <v>Noble,Leesa L</v>
          </cell>
          <cell r="C1021">
            <v>41.1</v>
          </cell>
        </row>
        <row r="1022">
          <cell r="B1022" t="str">
            <v>Tolentino,Jensen</v>
          </cell>
          <cell r="C1022">
            <v>17.77</v>
          </cell>
        </row>
        <row r="1023">
          <cell r="B1023" t="str">
            <v>Wiggin,Phillip</v>
          </cell>
          <cell r="C1023">
            <v>29.3</v>
          </cell>
        </row>
        <row r="1024">
          <cell r="B1024" t="str">
            <v>Baldonado,Alberto B</v>
          </cell>
          <cell r="C1024">
            <v>33.659999999999997</v>
          </cell>
        </row>
        <row r="1025">
          <cell r="B1025" t="str">
            <v>Hegerty Sr.,Carl W.</v>
          </cell>
          <cell r="C1025">
            <v>18.98</v>
          </cell>
        </row>
        <row r="1026">
          <cell r="B1026" t="str">
            <v>Dubberly,Theresa M</v>
          </cell>
          <cell r="C1026">
            <v>28.95</v>
          </cell>
        </row>
        <row r="1027">
          <cell r="B1027" t="str">
            <v>Maxvill,John J</v>
          </cell>
          <cell r="C1027">
            <v>29.28</v>
          </cell>
        </row>
        <row r="1028">
          <cell r="B1028" t="str">
            <v>Johnson,Michael R</v>
          </cell>
          <cell r="C1028">
            <v>18</v>
          </cell>
        </row>
        <row r="1029">
          <cell r="B1029" t="str">
            <v>Gillus,Stephanie</v>
          </cell>
          <cell r="C1029">
            <v>44.75</v>
          </cell>
        </row>
        <row r="1030">
          <cell r="B1030" t="str">
            <v>Spicer,Beth J</v>
          </cell>
          <cell r="C1030">
            <v>70.23</v>
          </cell>
        </row>
        <row r="1031">
          <cell r="B1031" t="str">
            <v>Halsey,Kevin E.</v>
          </cell>
          <cell r="C1031">
            <v>71.2</v>
          </cell>
        </row>
        <row r="1032">
          <cell r="B1032" t="str">
            <v>Brown,Douglas G</v>
          </cell>
          <cell r="C1032">
            <v>55</v>
          </cell>
        </row>
        <row r="1033">
          <cell r="B1033" t="str">
            <v>Ramos,Joel B</v>
          </cell>
          <cell r="C1033">
            <v>28.85</v>
          </cell>
        </row>
        <row r="1034">
          <cell r="B1034" t="str">
            <v>Pruitt,Gabrielle A</v>
          </cell>
          <cell r="C1034">
            <v>30.05</v>
          </cell>
        </row>
        <row r="1035">
          <cell r="B1035" t="str">
            <v>Chartier,Joseph W</v>
          </cell>
          <cell r="C1035">
            <v>43.18</v>
          </cell>
        </row>
        <row r="1036">
          <cell r="B1036" t="str">
            <v>Hayles,Amanda C.</v>
          </cell>
          <cell r="C1036">
            <v>16.170000000000002</v>
          </cell>
        </row>
        <row r="1037">
          <cell r="B1037" t="str">
            <v>Gale,Prenston</v>
          </cell>
          <cell r="C1037">
            <v>38.78</v>
          </cell>
        </row>
        <row r="1038">
          <cell r="B1038" t="str">
            <v>McKeon,Raymond T.</v>
          </cell>
          <cell r="C1038">
            <v>20.39</v>
          </cell>
        </row>
        <row r="1039">
          <cell r="B1039" t="str">
            <v>Schellin,Stephen R</v>
          </cell>
          <cell r="C1039">
            <v>35.39</v>
          </cell>
        </row>
        <row r="1040">
          <cell r="B1040" t="str">
            <v>Washburn,Billy N</v>
          </cell>
          <cell r="C1040">
            <v>19</v>
          </cell>
        </row>
        <row r="1041">
          <cell r="B1041" t="str">
            <v>Gomez,Gonzalo</v>
          </cell>
          <cell r="C1041">
            <v>6.41</v>
          </cell>
        </row>
        <row r="1042">
          <cell r="B1042" t="str">
            <v>Duncan,Michael W</v>
          </cell>
          <cell r="C1042">
            <v>24.75</v>
          </cell>
        </row>
        <row r="1043">
          <cell r="B1043" t="str">
            <v>Marner,Daniel J</v>
          </cell>
          <cell r="C1043">
            <v>50.75</v>
          </cell>
        </row>
        <row r="1044">
          <cell r="B1044" t="str">
            <v>Unlu,Natashaa N</v>
          </cell>
          <cell r="C1044">
            <v>8.2200000000000006</v>
          </cell>
        </row>
        <row r="1045">
          <cell r="B1045" t="str">
            <v>Melton,John D</v>
          </cell>
          <cell r="C1045">
            <v>32.22</v>
          </cell>
        </row>
        <row r="1046">
          <cell r="B1046" t="str">
            <v>Cowger,Crystal D</v>
          </cell>
          <cell r="C1046">
            <v>24.84</v>
          </cell>
        </row>
        <row r="1047">
          <cell r="B1047" t="str">
            <v>Berster,Andrew J</v>
          </cell>
          <cell r="C1047">
            <v>48.08</v>
          </cell>
        </row>
        <row r="1048">
          <cell r="B1048" t="str">
            <v>Hopkins,Heather M</v>
          </cell>
          <cell r="C1048">
            <v>51.85</v>
          </cell>
        </row>
        <row r="1049">
          <cell r="B1049" t="str">
            <v>Pauley,Edward J.</v>
          </cell>
          <cell r="C1049">
            <v>98.64</v>
          </cell>
        </row>
        <row r="1050">
          <cell r="B1050" t="str">
            <v>Brookins,Nicole L</v>
          </cell>
          <cell r="C1050">
            <v>17.29</v>
          </cell>
        </row>
        <row r="1051">
          <cell r="B1051" t="str">
            <v>Young,Benjamin J.</v>
          </cell>
          <cell r="C1051">
            <v>44.1</v>
          </cell>
        </row>
        <row r="1052">
          <cell r="B1052" t="str">
            <v>Taylor,Mark J</v>
          </cell>
          <cell r="C1052">
            <v>41.14</v>
          </cell>
        </row>
        <row r="1053">
          <cell r="B1053" t="str">
            <v>Manzi,John J.</v>
          </cell>
          <cell r="C1053">
            <v>15.26</v>
          </cell>
        </row>
        <row r="1054">
          <cell r="B1054" t="str">
            <v>Welch,Kenneth R.</v>
          </cell>
          <cell r="C1054">
            <v>52.59</v>
          </cell>
        </row>
        <row r="1055">
          <cell r="B1055" t="str">
            <v>Ford,Terry D</v>
          </cell>
          <cell r="C1055">
            <v>21.01</v>
          </cell>
        </row>
        <row r="1056">
          <cell r="B1056" t="str">
            <v>Light,Julia J</v>
          </cell>
          <cell r="C1056">
            <v>25.01</v>
          </cell>
        </row>
        <row r="1057">
          <cell r="B1057" t="str">
            <v>Donahoo,Sean P</v>
          </cell>
          <cell r="C1057">
            <v>65.510000000000005</v>
          </cell>
        </row>
        <row r="1058">
          <cell r="B1058" t="str">
            <v>Rosales,Juan D</v>
          </cell>
          <cell r="C1058">
            <v>44.1</v>
          </cell>
        </row>
        <row r="1059">
          <cell r="B1059" t="str">
            <v>Morgan,Deborah J</v>
          </cell>
          <cell r="C1059">
            <v>24.05</v>
          </cell>
        </row>
        <row r="1060">
          <cell r="B1060" t="str">
            <v>Dhami,Narinder K</v>
          </cell>
          <cell r="C1060">
            <v>39.69</v>
          </cell>
        </row>
        <row r="1061">
          <cell r="B1061" t="str">
            <v>Soto,John A.</v>
          </cell>
          <cell r="C1061">
            <v>30.41</v>
          </cell>
        </row>
        <row r="1062">
          <cell r="B1062" t="str">
            <v>Jenkins,David R</v>
          </cell>
          <cell r="C1062">
            <v>48.3</v>
          </cell>
        </row>
        <row r="1063">
          <cell r="B1063" t="str">
            <v>Vega,Edwin</v>
          </cell>
          <cell r="C1063">
            <v>29</v>
          </cell>
        </row>
        <row r="1064">
          <cell r="B1064" t="str">
            <v>Asamoto,Wesley T.</v>
          </cell>
          <cell r="C1064">
            <v>16.82</v>
          </cell>
        </row>
        <row r="1065">
          <cell r="B1065" t="str">
            <v>Santini,Brian A</v>
          </cell>
          <cell r="C1065">
            <v>26.5</v>
          </cell>
        </row>
        <row r="1066">
          <cell r="B1066" t="str">
            <v>Setterstedt,Sandra L</v>
          </cell>
          <cell r="C1066">
            <v>43.61</v>
          </cell>
        </row>
        <row r="1067">
          <cell r="B1067" t="str">
            <v>Dugan,Sylvia J</v>
          </cell>
          <cell r="C1067">
            <v>36.44</v>
          </cell>
        </row>
        <row r="1068">
          <cell r="B1068" t="str">
            <v>Nichols,Marylou D</v>
          </cell>
          <cell r="C1068">
            <v>23</v>
          </cell>
        </row>
        <row r="1069">
          <cell r="B1069" t="str">
            <v>Brown II,Ronnie S</v>
          </cell>
          <cell r="C1069">
            <v>44.62</v>
          </cell>
        </row>
        <row r="1070">
          <cell r="B1070" t="str">
            <v>Mead,Scott M.</v>
          </cell>
          <cell r="C1070">
            <v>28.85</v>
          </cell>
        </row>
        <row r="1071">
          <cell r="B1071" t="str">
            <v>Sanchez,Fred</v>
          </cell>
          <cell r="C1071">
            <v>63.7</v>
          </cell>
        </row>
        <row r="1072">
          <cell r="B1072" t="str">
            <v>Dockery,Quincey E</v>
          </cell>
          <cell r="C1072">
            <v>33.76</v>
          </cell>
        </row>
        <row r="1073">
          <cell r="B1073" t="str">
            <v>Vaughan,John G</v>
          </cell>
          <cell r="C1073">
            <v>38.71</v>
          </cell>
        </row>
        <row r="1074">
          <cell r="B1074" t="str">
            <v>Migliore,Stephen P</v>
          </cell>
          <cell r="C1074">
            <v>63.44</v>
          </cell>
        </row>
        <row r="1075">
          <cell r="B1075" t="str">
            <v>Smith,Clifford G.</v>
          </cell>
          <cell r="C1075">
            <v>15.4</v>
          </cell>
        </row>
        <row r="1076">
          <cell r="B1076" t="str">
            <v>Haykir,Jacqueline</v>
          </cell>
          <cell r="C1076">
            <v>11.45</v>
          </cell>
        </row>
        <row r="1077">
          <cell r="B1077" t="str">
            <v>Fleming,Paula</v>
          </cell>
          <cell r="C1077">
            <v>24.95</v>
          </cell>
        </row>
        <row r="1078">
          <cell r="B1078" t="str">
            <v>Hubert,Austin J.</v>
          </cell>
          <cell r="C1078">
            <v>28</v>
          </cell>
        </row>
        <row r="1079">
          <cell r="B1079" t="str">
            <v>Rosano,Rocco R</v>
          </cell>
          <cell r="C1079">
            <v>43.27</v>
          </cell>
        </row>
        <row r="1080">
          <cell r="B1080" t="str">
            <v>Owens,Suzette S</v>
          </cell>
          <cell r="C1080">
            <v>33.01</v>
          </cell>
        </row>
        <row r="1081">
          <cell r="B1081" t="str">
            <v>Brundage,Robert H</v>
          </cell>
          <cell r="C1081">
            <v>25.36</v>
          </cell>
        </row>
        <row r="1082">
          <cell r="B1082" t="str">
            <v>Akasaka,Kenneth L</v>
          </cell>
          <cell r="C1082">
            <v>29.06</v>
          </cell>
        </row>
        <row r="1083">
          <cell r="B1083" t="str">
            <v>Berry,James D.</v>
          </cell>
          <cell r="C1083">
            <v>36.19</v>
          </cell>
        </row>
        <row r="1084">
          <cell r="B1084" t="str">
            <v>Jammar Sr.,Tyshon K</v>
          </cell>
          <cell r="C1084">
            <v>28.81</v>
          </cell>
        </row>
        <row r="1085">
          <cell r="B1085" t="str">
            <v>Pascua,Reymar S</v>
          </cell>
          <cell r="C1085">
            <v>30.95</v>
          </cell>
        </row>
        <row r="1086">
          <cell r="B1086" t="str">
            <v>Griffin,Wendall J</v>
          </cell>
          <cell r="C1086">
            <v>26.42</v>
          </cell>
        </row>
        <row r="1087">
          <cell r="B1087" t="str">
            <v>Crochron,Brian E.</v>
          </cell>
          <cell r="C1087">
            <v>26.22</v>
          </cell>
        </row>
        <row r="1088">
          <cell r="B1088" t="str">
            <v>Ozols,James D</v>
          </cell>
          <cell r="C1088">
            <v>40.14</v>
          </cell>
        </row>
        <row r="1089">
          <cell r="B1089" t="str">
            <v>Dunlap,Eric J</v>
          </cell>
          <cell r="C1089">
            <v>25.45</v>
          </cell>
        </row>
        <row r="1090">
          <cell r="B1090" t="str">
            <v>Hicks,Andre W</v>
          </cell>
          <cell r="C1090">
            <v>79.33</v>
          </cell>
        </row>
        <row r="1091">
          <cell r="B1091" t="str">
            <v>Pesnell,Anthony S.</v>
          </cell>
          <cell r="C1091">
            <v>42.87</v>
          </cell>
        </row>
        <row r="1092">
          <cell r="B1092" t="str">
            <v>Young Jr,David C</v>
          </cell>
          <cell r="C1092">
            <v>37.979999999999997</v>
          </cell>
        </row>
        <row r="1093">
          <cell r="B1093" t="str">
            <v>Hurd,Robert J.</v>
          </cell>
          <cell r="C1093">
            <v>48.08</v>
          </cell>
        </row>
        <row r="1094">
          <cell r="B1094" t="str">
            <v>Ligons,Jennifer M</v>
          </cell>
          <cell r="C1094">
            <v>48.24</v>
          </cell>
        </row>
        <row r="1095">
          <cell r="B1095" t="str">
            <v>Hill,Marcelle A</v>
          </cell>
          <cell r="C1095">
            <v>39.880000000000003</v>
          </cell>
        </row>
        <row r="1096">
          <cell r="B1096" t="str">
            <v>Drummy,Janice M</v>
          </cell>
          <cell r="C1096">
            <v>42.98</v>
          </cell>
        </row>
        <row r="1097">
          <cell r="B1097" t="str">
            <v>Hosea,Larry D</v>
          </cell>
          <cell r="C1097">
            <v>93.92</v>
          </cell>
        </row>
        <row r="1098">
          <cell r="B1098" t="str">
            <v>Martin,Keith</v>
          </cell>
          <cell r="C1098">
            <v>24</v>
          </cell>
        </row>
        <row r="1099">
          <cell r="B1099" t="str">
            <v>Wall,Nevada R</v>
          </cell>
          <cell r="C1099">
            <v>21.32</v>
          </cell>
        </row>
        <row r="1100">
          <cell r="B1100" t="str">
            <v>Gould,Allen C.</v>
          </cell>
          <cell r="C1100">
            <v>25.82</v>
          </cell>
        </row>
        <row r="1101">
          <cell r="B1101" t="str">
            <v>Weatherford,Christopher</v>
          </cell>
          <cell r="C1101">
            <v>23.13</v>
          </cell>
        </row>
        <row r="1102">
          <cell r="B1102" t="str">
            <v>Sutyak,Mark T.</v>
          </cell>
          <cell r="C1102">
            <v>28.62</v>
          </cell>
        </row>
        <row r="1103">
          <cell r="B1103" t="str">
            <v>Burchfield,Allen B</v>
          </cell>
          <cell r="C1103">
            <v>19.920000000000002</v>
          </cell>
        </row>
        <row r="1104">
          <cell r="B1104" t="str">
            <v>Butler,Ann W</v>
          </cell>
          <cell r="C1104">
            <v>38.47</v>
          </cell>
        </row>
        <row r="1105">
          <cell r="B1105" t="str">
            <v>Vascot,Victor M</v>
          </cell>
          <cell r="C1105">
            <v>21</v>
          </cell>
        </row>
        <row r="1106">
          <cell r="B1106" t="str">
            <v>Slebodnick Jr,Eugene F</v>
          </cell>
          <cell r="C1106">
            <v>25.35</v>
          </cell>
        </row>
        <row r="1107">
          <cell r="B1107" t="str">
            <v>Libonati,Vincenzo A</v>
          </cell>
          <cell r="C1107">
            <v>38.130000000000003</v>
          </cell>
        </row>
        <row r="1108">
          <cell r="B1108" t="str">
            <v>Reyes,Yanira</v>
          </cell>
          <cell r="C1108">
            <v>19.260000000000002</v>
          </cell>
        </row>
        <row r="1109">
          <cell r="B1109" t="str">
            <v>Batiste,Bruce L</v>
          </cell>
          <cell r="C1109">
            <v>32</v>
          </cell>
        </row>
        <row r="1110">
          <cell r="B1110" t="str">
            <v>Alfano,Dawn M.</v>
          </cell>
          <cell r="C1110">
            <v>45.73</v>
          </cell>
        </row>
        <row r="1111">
          <cell r="B1111" t="str">
            <v>Siebert,Jutta</v>
          </cell>
          <cell r="C1111">
            <v>8</v>
          </cell>
        </row>
        <row r="1112">
          <cell r="B1112" t="str">
            <v>DeAnda,Celina</v>
          </cell>
          <cell r="C1112">
            <v>21.31</v>
          </cell>
        </row>
        <row r="1113">
          <cell r="B1113" t="str">
            <v>Browne,Carole A</v>
          </cell>
          <cell r="C1113">
            <v>28.35</v>
          </cell>
        </row>
        <row r="1114">
          <cell r="B1114" t="str">
            <v>Gregory,Paul J.</v>
          </cell>
          <cell r="C1114">
            <v>40</v>
          </cell>
        </row>
        <row r="1115">
          <cell r="B1115" t="str">
            <v>Bogle,Raymond E</v>
          </cell>
          <cell r="C1115">
            <v>65.83</v>
          </cell>
        </row>
        <row r="1116">
          <cell r="B1116" t="str">
            <v>Hook,Craig F</v>
          </cell>
          <cell r="C1116">
            <v>48.61</v>
          </cell>
        </row>
        <row r="1117">
          <cell r="B1117" t="str">
            <v>Crawford,Russell W</v>
          </cell>
          <cell r="C1117">
            <v>46</v>
          </cell>
        </row>
        <row r="1118">
          <cell r="B1118" t="str">
            <v>Elsheimer,David W.</v>
          </cell>
          <cell r="C1118">
            <v>50.48</v>
          </cell>
        </row>
        <row r="1119">
          <cell r="B1119" t="str">
            <v>Lander,Michael A</v>
          </cell>
          <cell r="C1119">
            <v>35.520000000000003</v>
          </cell>
        </row>
        <row r="1120">
          <cell r="B1120" t="str">
            <v>Feathers,Ronald L</v>
          </cell>
          <cell r="C1120">
            <v>15.26</v>
          </cell>
        </row>
        <row r="1121">
          <cell r="B1121" t="str">
            <v>Fuller,Wayne A.</v>
          </cell>
          <cell r="C1121">
            <v>45.43</v>
          </cell>
        </row>
        <row r="1122">
          <cell r="B1122" t="str">
            <v>Tenette,Trini P</v>
          </cell>
          <cell r="C1122">
            <v>17.82</v>
          </cell>
        </row>
        <row r="1123">
          <cell r="B1123" t="str">
            <v>Brenner,Reuben D</v>
          </cell>
          <cell r="C1123">
            <v>15.75</v>
          </cell>
        </row>
        <row r="1124">
          <cell r="B1124" t="str">
            <v>Holton,Edward Jr.</v>
          </cell>
          <cell r="C1124">
            <v>23.18</v>
          </cell>
        </row>
        <row r="1125">
          <cell r="B1125" t="str">
            <v>Spearen,John B</v>
          </cell>
          <cell r="C1125">
            <v>43.65</v>
          </cell>
        </row>
        <row r="1126">
          <cell r="B1126" t="str">
            <v>Clark,Michael J</v>
          </cell>
          <cell r="C1126">
            <v>51.5</v>
          </cell>
        </row>
        <row r="1127">
          <cell r="B1127" t="str">
            <v>Turner,Jerry A</v>
          </cell>
          <cell r="C1127">
            <v>31.75</v>
          </cell>
        </row>
        <row r="1128">
          <cell r="B1128" t="str">
            <v>Wilder,John J</v>
          </cell>
          <cell r="C1128">
            <v>20.49</v>
          </cell>
        </row>
        <row r="1129">
          <cell r="B1129" t="str">
            <v>Makuch,Tamara L</v>
          </cell>
          <cell r="C1129">
            <v>21.5</v>
          </cell>
        </row>
        <row r="1130">
          <cell r="B1130" t="str">
            <v>McEwen,Charles A</v>
          </cell>
          <cell r="C1130">
            <v>28.14</v>
          </cell>
        </row>
        <row r="1131">
          <cell r="B1131" t="str">
            <v>Crosby,Janis L</v>
          </cell>
          <cell r="C1131">
            <v>25.97</v>
          </cell>
        </row>
        <row r="1132">
          <cell r="B1132" t="str">
            <v>Martinez,Joe M</v>
          </cell>
          <cell r="C1132">
            <v>26</v>
          </cell>
        </row>
        <row r="1133">
          <cell r="B1133" t="str">
            <v>Casto,Dustin L.</v>
          </cell>
          <cell r="C1133">
            <v>21.68</v>
          </cell>
        </row>
        <row r="1134">
          <cell r="B1134" t="str">
            <v>Curry,Sandra K.</v>
          </cell>
          <cell r="C1134">
            <v>23.64</v>
          </cell>
        </row>
        <row r="1135">
          <cell r="B1135" t="str">
            <v>Fisher,Joelle H</v>
          </cell>
          <cell r="C1135">
            <v>37.880000000000003</v>
          </cell>
        </row>
        <row r="1136">
          <cell r="B1136" t="str">
            <v>Cothern,Clint E</v>
          </cell>
          <cell r="C1136">
            <v>37.96</v>
          </cell>
        </row>
        <row r="1137">
          <cell r="B1137" t="str">
            <v>Reed,Ronald</v>
          </cell>
          <cell r="C1137">
            <v>68.94</v>
          </cell>
        </row>
        <row r="1138">
          <cell r="B1138" t="str">
            <v>Glorioso,Russell J</v>
          </cell>
          <cell r="C1138">
            <v>35.340000000000003</v>
          </cell>
        </row>
        <row r="1139">
          <cell r="B1139" t="str">
            <v>Bethea,Robert L</v>
          </cell>
          <cell r="C1139">
            <v>53.57</v>
          </cell>
        </row>
        <row r="1140">
          <cell r="B1140" t="str">
            <v>Douglass,Cyndi L.</v>
          </cell>
          <cell r="C1140">
            <v>61.19</v>
          </cell>
        </row>
        <row r="1141">
          <cell r="B1141" t="str">
            <v>Thompson,David M.</v>
          </cell>
          <cell r="C1141">
            <v>55.32</v>
          </cell>
        </row>
        <row r="1142">
          <cell r="B1142" t="str">
            <v>Clark,Trisha L</v>
          </cell>
          <cell r="C1142">
            <v>23.05</v>
          </cell>
        </row>
        <row r="1143">
          <cell r="B1143" t="str">
            <v>Owens,Thomas B</v>
          </cell>
          <cell r="C1143">
            <v>28.44</v>
          </cell>
        </row>
        <row r="1144">
          <cell r="B1144" t="str">
            <v>Short,Steven R</v>
          </cell>
          <cell r="C1144">
            <v>32.68</v>
          </cell>
        </row>
        <row r="1145">
          <cell r="B1145" t="str">
            <v>Stiffler,Shawn D.</v>
          </cell>
          <cell r="C1145">
            <v>18.14</v>
          </cell>
        </row>
        <row r="1146">
          <cell r="B1146" t="str">
            <v>Story,Mindi A</v>
          </cell>
          <cell r="C1146">
            <v>38.47</v>
          </cell>
        </row>
        <row r="1147">
          <cell r="B1147" t="str">
            <v>Stevens,Aimee C</v>
          </cell>
          <cell r="C1147">
            <v>23.4</v>
          </cell>
        </row>
        <row r="1148">
          <cell r="B1148" t="str">
            <v>Brown,Brandi R</v>
          </cell>
          <cell r="C1148">
            <v>16.66</v>
          </cell>
        </row>
        <row r="1149">
          <cell r="B1149" t="str">
            <v>Anderson Jr,Daniel C</v>
          </cell>
          <cell r="C1149">
            <v>45.01</v>
          </cell>
        </row>
        <row r="1150">
          <cell r="B1150" t="str">
            <v>Reynolds,Bryce E</v>
          </cell>
          <cell r="C1150">
            <v>30.72</v>
          </cell>
        </row>
        <row r="1151">
          <cell r="B1151" t="str">
            <v>Campbell,Christopher T</v>
          </cell>
          <cell r="C1151">
            <v>24</v>
          </cell>
        </row>
        <row r="1152">
          <cell r="B1152" t="str">
            <v>Barnes,Thomas R</v>
          </cell>
          <cell r="C1152">
            <v>21.18</v>
          </cell>
        </row>
        <row r="1153">
          <cell r="B1153" t="str">
            <v>Mitulla,Jeffrey A</v>
          </cell>
          <cell r="C1153">
            <v>54.52</v>
          </cell>
        </row>
        <row r="1154">
          <cell r="B1154" t="str">
            <v>Petrillo Jr,Michael R.</v>
          </cell>
          <cell r="C1154">
            <v>25.68</v>
          </cell>
        </row>
        <row r="1155">
          <cell r="B1155" t="str">
            <v>Hufnagel,Wayne P</v>
          </cell>
          <cell r="C1155">
            <v>67.650000000000006</v>
          </cell>
        </row>
        <row r="1156">
          <cell r="B1156" t="str">
            <v>Connor,Timothy R</v>
          </cell>
          <cell r="C1156">
            <v>46.61</v>
          </cell>
        </row>
        <row r="1157">
          <cell r="B1157" t="str">
            <v>Fuller,Kay</v>
          </cell>
          <cell r="C1157">
            <v>25.41</v>
          </cell>
        </row>
        <row r="1158">
          <cell r="B1158" t="str">
            <v>Webber,Robert H</v>
          </cell>
          <cell r="C1158">
            <v>22.5</v>
          </cell>
        </row>
        <row r="1159">
          <cell r="B1159" t="str">
            <v>Kaess,Thomas J</v>
          </cell>
          <cell r="C1159">
            <v>52.884</v>
          </cell>
        </row>
        <row r="1160">
          <cell r="B1160" t="str">
            <v>Hollandsworth,Charles J</v>
          </cell>
          <cell r="C1160">
            <v>67.11</v>
          </cell>
        </row>
        <row r="1161">
          <cell r="B1161" t="str">
            <v>Lussier,Mark D</v>
          </cell>
          <cell r="C1161">
            <v>38.68</v>
          </cell>
        </row>
        <row r="1162">
          <cell r="B1162" t="str">
            <v>Goldberg,David J.</v>
          </cell>
          <cell r="C1162">
            <v>59.43</v>
          </cell>
        </row>
        <row r="1163">
          <cell r="B1163" t="str">
            <v>Townson,Glenn A</v>
          </cell>
          <cell r="C1163">
            <v>71.16</v>
          </cell>
        </row>
        <row r="1164">
          <cell r="B1164" t="str">
            <v>Samuel,Lynnette</v>
          </cell>
          <cell r="C1164">
            <v>27.27</v>
          </cell>
        </row>
        <row r="1165">
          <cell r="B1165" t="str">
            <v>Trolenberg,Karl E</v>
          </cell>
          <cell r="C1165">
            <v>22.61</v>
          </cell>
        </row>
        <row r="1166">
          <cell r="B1166" t="str">
            <v>Pointer,Shaquanta Lynne</v>
          </cell>
          <cell r="C1166">
            <v>33.21</v>
          </cell>
        </row>
        <row r="1167">
          <cell r="B1167" t="str">
            <v>Rhoades,Gregory K.</v>
          </cell>
          <cell r="C1167">
            <v>67.14</v>
          </cell>
        </row>
        <row r="1168">
          <cell r="B1168" t="str">
            <v>Nunke,Joseph G</v>
          </cell>
          <cell r="C1168">
            <v>38.83</v>
          </cell>
        </row>
        <row r="1169">
          <cell r="B1169" t="str">
            <v>Stivason,Phillip D</v>
          </cell>
          <cell r="C1169">
            <v>30.2</v>
          </cell>
        </row>
        <row r="1170">
          <cell r="B1170" t="str">
            <v>Beckmann,Dustin J</v>
          </cell>
          <cell r="C1170">
            <v>21.75</v>
          </cell>
        </row>
        <row r="1171">
          <cell r="B1171" t="str">
            <v>Richards,Jeffrey T</v>
          </cell>
          <cell r="C1171">
            <v>42.78</v>
          </cell>
        </row>
        <row r="1172">
          <cell r="B1172" t="str">
            <v>Sandman,Daniel W</v>
          </cell>
          <cell r="C1172">
            <v>59.23</v>
          </cell>
        </row>
        <row r="1173">
          <cell r="B1173" t="str">
            <v>Bundschuh,William J</v>
          </cell>
          <cell r="C1173">
            <v>42.91</v>
          </cell>
        </row>
        <row r="1174">
          <cell r="B1174" t="str">
            <v>Ritz,Mathew L</v>
          </cell>
          <cell r="C1174">
            <v>44.48</v>
          </cell>
        </row>
        <row r="1175">
          <cell r="B1175" t="str">
            <v>Schillage,Michael A</v>
          </cell>
          <cell r="C1175">
            <v>25.43</v>
          </cell>
        </row>
        <row r="1176">
          <cell r="B1176" t="str">
            <v>Rova,Ronald W.</v>
          </cell>
          <cell r="C1176">
            <v>30.05</v>
          </cell>
        </row>
        <row r="1177">
          <cell r="B1177" t="str">
            <v>Cumberlin,Lee M</v>
          </cell>
          <cell r="C1177">
            <v>50.84</v>
          </cell>
        </row>
        <row r="1178">
          <cell r="B1178" t="str">
            <v>Vault,Brooks</v>
          </cell>
          <cell r="C1178">
            <v>53.37</v>
          </cell>
        </row>
        <row r="1179">
          <cell r="B1179" t="str">
            <v>McCoy,Courtney D</v>
          </cell>
          <cell r="C1179">
            <v>23.5</v>
          </cell>
        </row>
        <row r="1180">
          <cell r="B1180" t="str">
            <v>Scruggs II,Hugh F.</v>
          </cell>
          <cell r="C1180">
            <v>30.68</v>
          </cell>
        </row>
        <row r="1181">
          <cell r="B1181" t="str">
            <v>Newton,Roger A</v>
          </cell>
          <cell r="C1181">
            <v>32.83</v>
          </cell>
        </row>
        <row r="1182">
          <cell r="B1182" t="str">
            <v>Burns III,Donald F</v>
          </cell>
          <cell r="C1182">
            <v>58.09</v>
          </cell>
        </row>
        <row r="1183">
          <cell r="B1183" t="str">
            <v>Cogan,Sandra E</v>
          </cell>
          <cell r="C1183">
            <v>59.82</v>
          </cell>
        </row>
        <row r="1184">
          <cell r="B1184" t="str">
            <v>Thomas Krabbe,Donna L</v>
          </cell>
          <cell r="C1184">
            <v>41.77</v>
          </cell>
        </row>
        <row r="1185">
          <cell r="B1185" t="str">
            <v>Johnson,Niolani I</v>
          </cell>
          <cell r="C1185">
            <v>21.44</v>
          </cell>
        </row>
        <row r="1186">
          <cell r="B1186" t="str">
            <v>Calcote,Erick D</v>
          </cell>
          <cell r="C1186">
            <v>20.92</v>
          </cell>
        </row>
        <row r="1187">
          <cell r="B1187" t="str">
            <v>Londono,Kenneth</v>
          </cell>
          <cell r="C1187">
            <v>33.01</v>
          </cell>
        </row>
        <row r="1188">
          <cell r="B1188" t="str">
            <v>Olmo-Martinez,Raul M.</v>
          </cell>
          <cell r="C1188">
            <v>25.2</v>
          </cell>
        </row>
        <row r="1189">
          <cell r="B1189" t="str">
            <v>Dalton,Alena L.</v>
          </cell>
          <cell r="C1189">
            <v>47.72</v>
          </cell>
        </row>
        <row r="1190">
          <cell r="B1190" t="str">
            <v>Prather,Bruce A</v>
          </cell>
          <cell r="C1190">
            <v>28.75</v>
          </cell>
        </row>
        <row r="1191">
          <cell r="B1191" t="str">
            <v>Akins,J. Michael</v>
          </cell>
          <cell r="C1191">
            <v>32.630000000000003</v>
          </cell>
        </row>
        <row r="1192">
          <cell r="B1192" t="str">
            <v>Caldwell,Bradford M.</v>
          </cell>
          <cell r="C1192">
            <v>51.69</v>
          </cell>
        </row>
        <row r="1193">
          <cell r="B1193" t="str">
            <v>Muslimov,Alexander G</v>
          </cell>
          <cell r="C1193">
            <v>59.34</v>
          </cell>
        </row>
        <row r="1194">
          <cell r="B1194" t="str">
            <v>Jimenez-Santiago,Keila</v>
          </cell>
          <cell r="C1194">
            <v>24.72</v>
          </cell>
        </row>
        <row r="1195">
          <cell r="B1195" t="str">
            <v>Stagg,Ryan</v>
          </cell>
          <cell r="C1195">
            <v>24.96</v>
          </cell>
        </row>
        <row r="1196">
          <cell r="B1196" t="str">
            <v>Jenkins,Catherine M.</v>
          </cell>
          <cell r="C1196">
            <v>27.48</v>
          </cell>
        </row>
        <row r="1197">
          <cell r="B1197" t="str">
            <v>Proffer,Ricky L</v>
          </cell>
          <cell r="C1197">
            <v>38.340000000000003</v>
          </cell>
        </row>
        <row r="1198">
          <cell r="B1198" t="str">
            <v>McNichols,Benjamin J</v>
          </cell>
          <cell r="C1198">
            <v>68.2</v>
          </cell>
        </row>
        <row r="1199">
          <cell r="B1199" t="str">
            <v>Dyson,Jeffrey A</v>
          </cell>
          <cell r="C1199">
            <v>19.489999999999998</v>
          </cell>
        </row>
        <row r="1200">
          <cell r="B1200" t="str">
            <v>Lowry,Cheryl L</v>
          </cell>
          <cell r="C1200">
            <v>40.85</v>
          </cell>
        </row>
        <row r="1201">
          <cell r="B1201" t="str">
            <v>Hamilton,David A</v>
          </cell>
          <cell r="C1201">
            <v>17.71</v>
          </cell>
        </row>
        <row r="1202">
          <cell r="B1202" t="str">
            <v>Dean,Michael A.</v>
          </cell>
          <cell r="C1202">
            <v>49.47</v>
          </cell>
        </row>
        <row r="1203">
          <cell r="B1203" t="str">
            <v>Fura,David W</v>
          </cell>
          <cell r="C1203">
            <v>35.94</v>
          </cell>
        </row>
        <row r="1204">
          <cell r="B1204" t="str">
            <v>Donohue,Brian J</v>
          </cell>
          <cell r="C1204">
            <v>29.5</v>
          </cell>
        </row>
        <row r="1205">
          <cell r="B1205" t="str">
            <v>Smith,Malikah L.</v>
          </cell>
          <cell r="C1205">
            <v>33.03</v>
          </cell>
        </row>
        <row r="1206">
          <cell r="B1206" t="str">
            <v>Bartlett,Denise M</v>
          </cell>
          <cell r="C1206">
            <v>21.83</v>
          </cell>
        </row>
        <row r="1207">
          <cell r="B1207" t="str">
            <v>Peterson,Linda D</v>
          </cell>
          <cell r="C1207">
            <v>39.47</v>
          </cell>
        </row>
        <row r="1208">
          <cell r="B1208" t="str">
            <v>Headen,Kimberly R</v>
          </cell>
          <cell r="C1208">
            <v>30.5</v>
          </cell>
        </row>
        <row r="1209">
          <cell r="B1209" t="str">
            <v>Clark,Kerry A</v>
          </cell>
          <cell r="C1209">
            <v>14.14</v>
          </cell>
        </row>
        <row r="1210">
          <cell r="B1210" t="str">
            <v>McDermott,Brian W</v>
          </cell>
          <cell r="C1210">
            <v>37.51</v>
          </cell>
        </row>
        <row r="1211">
          <cell r="B1211" t="str">
            <v>Rice,Nancy H</v>
          </cell>
          <cell r="C1211">
            <v>40.799999999999997</v>
          </cell>
        </row>
        <row r="1212">
          <cell r="B1212" t="str">
            <v>Warren,Carl L</v>
          </cell>
          <cell r="C1212">
            <v>22.61</v>
          </cell>
        </row>
        <row r="1213">
          <cell r="B1213" t="str">
            <v>Williams,Kevin G</v>
          </cell>
          <cell r="C1213">
            <v>20.399999999999999</v>
          </cell>
        </row>
        <row r="1214">
          <cell r="B1214" t="str">
            <v>Kreiler,Christopher G</v>
          </cell>
          <cell r="C1214">
            <v>57.27</v>
          </cell>
        </row>
        <row r="1215">
          <cell r="B1215" t="str">
            <v>Grant,Paul D</v>
          </cell>
          <cell r="C1215">
            <v>24.45</v>
          </cell>
        </row>
        <row r="1216">
          <cell r="B1216" t="str">
            <v>Holaway,Pamela J</v>
          </cell>
          <cell r="C1216">
            <v>23.24</v>
          </cell>
        </row>
        <row r="1217">
          <cell r="B1217" t="str">
            <v>Nadzam,Gina F</v>
          </cell>
          <cell r="C1217">
            <v>32.049999999999997</v>
          </cell>
        </row>
        <row r="1218">
          <cell r="B1218" t="str">
            <v>Gamble,Alonzo H.</v>
          </cell>
          <cell r="C1218">
            <v>29</v>
          </cell>
        </row>
        <row r="1219">
          <cell r="B1219" t="str">
            <v>Edwards,Marlin D.</v>
          </cell>
          <cell r="C1219">
            <v>107.01</v>
          </cell>
        </row>
        <row r="1220">
          <cell r="B1220" t="str">
            <v>Gilroy,James M</v>
          </cell>
          <cell r="C1220">
            <v>32.68</v>
          </cell>
        </row>
        <row r="1221">
          <cell r="B1221" t="str">
            <v>Rearick,Jason W</v>
          </cell>
          <cell r="C1221">
            <v>66.16</v>
          </cell>
        </row>
        <row r="1222">
          <cell r="B1222" t="str">
            <v>Lusk,Karen M</v>
          </cell>
          <cell r="C1222">
            <v>54.21</v>
          </cell>
        </row>
        <row r="1223">
          <cell r="B1223" t="str">
            <v>Elliott,Jerod C</v>
          </cell>
          <cell r="C1223">
            <v>31.25</v>
          </cell>
        </row>
        <row r="1224">
          <cell r="B1224" t="str">
            <v>McKay,Michael A</v>
          </cell>
          <cell r="C1224">
            <v>53.75</v>
          </cell>
        </row>
        <row r="1225">
          <cell r="B1225" t="str">
            <v>Henry,Peter M</v>
          </cell>
          <cell r="C1225">
            <v>28</v>
          </cell>
        </row>
        <row r="1226">
          <cell r="B1226" t="str">
            <v>Pulley,Timothy C.</v>
          </cell>
          <cell r="C1226">
            <v>53.76</v>
          </cell>
        </row>
        <row r="1227">
          <cell r="B1227" t="str">
            <v>Smith,Olaf B</v>
          </cell>
          <cell r="C1227">
            <v>30.59</v>
          </cell>
        </row>
        <row r="1228">
          <cell r="B1228" t="str">
            <v>Thacker,Greg S.</v>
          </cell>
          <cell r="C1228">
            <v>64.680000000000007</v>
          </cell>
        </row>
        <row r="1229">
          <cell r="B1229" t="str">
            <v>Shearer,Scott J.</v>
          </cell>
          <cell r="C1229">
            <v>72.89</v>
          </cell>
        </row>
        <row r="1230">
          <cell r="B1230" t="str">
            <v>Green,Michael L</v>
          </cell>
          <cell r="C1230">
            <v>135</v>
          </cell>
        </row>
        <row r="1231">
          <cell r="B1231" t="str">
            <v>Miller,Charlene D.</v>
          </cell>
          <cell r="C1231">
            <v>28.76</v>
          </cell>
        </row>
        <row r="1232">
          <cell r="B1232" t="str">
            <v>Farnsworth,Karen</v>
          </cell>
          <cell r="C1232">
            <v>24.43</v>
          </cell>
        </row>
        <row r="1233">
          <cell r="B1233" t="str">
            <v>McNeely,Michael R</v>
          </cell>
          <cell r="C1233">
            <v>31.31</v>
          </cell>
        </row>
        <row r="1234">
          <cell r="B1234" t="str">
            <v>Cole,Jonathan</v>
          </cell>
          <cell r="C1234">
            <v>26.39</v>
          </cell>
        </row>
        <row r="1235">
          <cell r="B1235" t="str">
            <v>Wilson,Johnny A</v>
          </cell>
          <cell r="C1235">
            <v>37.46</v>
          </cell>
        </row>
        <row r="1236">
          <cell r="B1236" t="str">
            <v>Scantlin,Robert A</v>
          </cell>
          <cell r="C1236">
            <v>32.270000000000003</v>
          </cell>
        </row>
        <row r="1237">
          <cell r="B1237" t="str">
            <v>Barr,Evan W</v>
          </cell>
          <cell r="C1237">
            <v>21.04</v>
          </cell>
        </row>
        <row r="1238">
          <cell r="B1238" t="str">
            <v>Hemminger,Edgar G</v>
          </cell>
          <cell r="C1238">
            <v>63.96</v>
          </cell>
        </row>
        <row r="1239">
          <cell r="B1239" t="str">
            <v>White,Thomas J</v>
          </cell>
          <cell r="C1239">
            <v>50.2</v>
          </cell>
        </row>
        <row r="1240">
          <cell r="B1240" t="str">
            <v>Mack,Dyron O</v>
          </cell>
          <cell r="C1240">
            <v>36.06</v>
          </cell>
        </row>
        <row r="1241">
          <cell r="B1241" t="str">
            <v>Fisher,Rodney J.</v>
          </cell>
          <cell r="C1241">
            <v>31.94</v>
          </cell>
        </row>
        <row r="1242">
          <cell r="B1242" t="str">
            <v>Azoulay,Noa</v>
          </cell>
          <cell r="C1242">
            <v>30</v>
          </cell>
        </row>
        <row r="1243">
          <cell r="B1243" t="str">
            <v>Petrore,Dominec</v>
          </cell>
          <cell r="C1243">
            <v>22.14</v>
          </cell>
        </row>
        <row r="1244">
          <cell r="B1244" t="str">
            <v>German,LeRoy W.</v>
          </cell>
          <cell r="C1244">
            <v>30.33</v>
          </cell>
        </row>
        <row r="1245">
          <cell r="B1245" t="str">
            <v>Shaffer,Elsie D</v>
          </cell>
          <cell r="C1245">
            <v>16.64</v>
          </cell>
        </row>
        <row r="1246">
          <cell r="B1246" t="str">
            <v>Wilt,Christopher</v>
          </cell>
          <cell r="C1246">
            <v>50.44</v>
          </cell>
        </row>
        <row r="1247">
          <cell r="B1247" t="str">
            <v>Trent,Darryl M.</v>
          </cell>
          <cell r="C1247">
            <v>45.73</v>
          </cell>
        </row>
        <row r="1248">
          <cell r="B1248" t="str">
            <v>Stewart,Kenneth J.</v>
          </cell>
          <cell r="C1248">
            <v>22</v>
          </cell>
        </row>
        <row r="1249">
          <cell r="B1249" t="str">
            <v>Norris,Todd J</v>
          </cell>
          <cell r="C1249">
            <v>24.77</v>
          </cell>
        </row>
        <row r="1250">
          <cell r="B1250" t="str">
            <v>Nelson,Georgeanne M</v>
          </cell>
          <cell r="C1250">
            <v>32.4</v>
          </cell>
        </row>
        <row r="1251">
          <cell r="B1251" t="str">
            <v>Ashton,Karen L</v>
          </cell>
          <cell r="C1251">
            <v>61.81</v>
          </cell>
        </row>
        <row r="1252">
          <cell r="B1252" t="str">
            <v>Porter,Delton R</v>
          </cell>
          <cell r="C1252">
            <v>25.46</v>
          </cell>
        </row>
        <row r="1253">
          <cell r="B1253" t="str">
            <v>Collie,Charles D</v>
          </cell>
          <cell r="C1253">
            <v>40.869999999999997</v>
          </cell>
        </row>
        <row r="1254">
          <cell r="B1254" t="str">
            <v>Adams,Melissa S.</v>
          </cell>
          <cell r="C1254">
            <v>20.87</v>
          </cell>
        </row>
        <row r="1255">
          <cell r="B1255" t="str">
            <v>Perry,Kenneth D</v>
          </cell>
          <cell r="C1255">
            <v>36.1</v>
          </cell>
        </row>
        <row r="1256">
          <cell r="B1256" t="str">
            <v>Rowinski,David H</v>
          </cell>
          <cell r="C1256">
            <v>24.39</v>
          </cell>
        </row>
        <row r="1257">
          <cell r="B1257" t="str">
            <v>Carter,Phillip C</v>
          </cell>
          <cell r="C1257">
            <v>28.18</v>
          </cell>
        </row>
        <row r="1258">
          <cell r="B1258" t="str">
            <v>Potvin,Joseph M</v>
          </cell>
          <cell r="C1258">
            <v>40.04</v>
          </cell>
        </row>
        <row r="1259">
          <cell r="B1259" t="str">
            <v>French,Karlton J</v>
          </cell>
          <cell r="C1259">
            <v>51.93</v>
          </cell>
        </row>
        <row r="1260">
          <cell r="B1260" t="str">
            <v>King,Brian M</v>
          </cell>
          <cell r="C1260">
            <v>53.21</v>
          </cell>
        </row>
        <row r="1261">
          <cell r="B1261" t="str">
            <v>Bronkema Jr.,Jacob</v>
          </cell>
          <cell r="C1261">
            <v>54.16</v>
          </cell>
        </row>
        <row r="1262">
          <cell r="B1262" t="str">
            <v>Skjervem,Gloria J</v>
          </cell>
          <cell r="C1262">
            <v>24.18</v>
          </cell>
        </row>
        <row r="1263">
          <cell r="B1263" t="str">
            <v>Moore,Christopher J</v>
          </cell>
          <cell r="C1263">
            <v>34.770000000000003</v>
          </cell>
        </row>
        <row r="1264">
          <cell r="B1264" t="str">
            <v>Soule,Jeffrey S.</v>
          </cell>
          <cell r="C1264">
            <v>19.670000000000002</v>
          </cell>
        </row>
        <row r="1265">
          <cell r="B1265" t="str">
            <v>Neighbors,Robert W</v>
          </cell>
          <cell r="C1265">
            <v>64.540000000000006</v>
          </cell>
        </row>
        <row r="1266">
          <cell r="B1266" t="str">
            <v>Slaughter,Cynthia L</v>
          </cell>
          <cell r="C1266">
            <v>44.04</v>
          </cell>
        </row>
        <row r="1267">
          <cell r="B1267" t="str">
            <v>Scally,Sean M</v>
          </cell>
          <cell r="C1267">
            <v>48.09</v>
          </cell>
        </row>
        <row r="1268">
          <cell r="B1268" t="str">
            <v>Cody,Muge</v>
          </cell>
          <cell r="C1268">
            <v>78</v>
          </cell>
        </row>
        <row r="1269">
          <cell r="B1269" t="str">
            <v>Yocum,Todd E</v>
          </cell>
          <cell r="C1269">
            <v>40.93</v>
          </cell>
        </row>
        <row r="1270">
          <cell r="B1270" t="str">
            <v>Slotwinski,Thomas C</v>
          </cell>
          <cell r="C1270">
            <v>83.2</v>
          </cell>
        </row>
        <row r="1271">
          <cell r="B1271" t="str">
            <v>Peel,Jason E</v>
          </cell>
          <cell r="C1271">
            <v>56.26</v>
          </cell>
        </row>
        <row r="1272">
          <cell r="B1272" t="str">
            <v>Nash,Drake A</v>
          </cell>
          <cell r="C1272">
            <v>17.489999999999998</v>
          </cell>
        </row>
        <row r="1273">
          <cell r="B1273" t="str">
            <v>Lemire,Ryan R.</v>
          </cell>
          <cell r="C1273">
            <v>48.08</v>
          </cell>
        </row>
        <row r="1274">
          <cell r="B1274" t="str">
            <v>Spirgen,Dustin R</v>
          </cell>
          <cell r="C1274">
            <v>24.85</v>
          </cell>
        </row>
        <row r="1275">
          <cell r="B1275" t="str">
            <v>Williams,Timothy B.</v>
          </cell>
          <cell r="C1275">
            <v>25</v>
          </cell>
        </row>
        <row r="1276">
          <cell r="B1276" t="str">
            <v>Burke,Robert H</v>
          </cell>
          <cell r="C1276">
            <v>35</v>
          </cell>
        </row>
        <row r="1277">
          <cell r="B1277" t="str">
            <v>Dunphy,Antornisha N</v>
          </cell>
          <cell r="C1277">
            <v>16.13</v>
          </cell>
        </row>
        <row r="1278">
          <cell r="B1278" t="str">
            <v>McMillan,Octavia</v>
          </cell>
          <cell r="C1278">
            <v>19.670000000000002</v>
          </cell>
        </row>
        <row r="1279">
          <cell r="B1279" t="str">
            <v>Barnette,Anthony J</v>
          </cell>
          <cell r="C1279">
            <v>28.77</v>
          </cell>
        </row>
        <row r="1280">
          <cell r="B1280" t="str">
            <v>Gilroy,Amanda R</v>
          </cell>
          <cell r="C1280">
            <v>18.39</v>
          </cell>
        </row>
        <row r="1281">
          <cell r="B1281" t="str">
            <v>Paris,Jerry D</v>
          </cell>
          <cell r="C1281">
            <v>22.77</v>
          </cell>
        </row>
        <row r="1282">
          <cell r="B1282" t="str">
            <v>McKay,Peter E.</v>
          </cell>
          <cell r="C1282">
            <v>64.94</v>
          </cell>
        </row>
        <row r="1283">
          <cell r="B1283" t="str">
            <v>Fontanilla,Richard R.</v>
          </cell>
          <cell r="C1283">
            <v>62.5</v>
          </cell>
        </row>
        <row r="1284">
          <cell r="B1284" t="str">
            <v>Wimberly,Bonnie L</v>
          </cell>
          <cell r="C1284">
            <v>47.27</v>
          </cell>
        </row>
        <row r="1285">
          <cell r="B1285" t="str">
            <v>Piche,James I</v>
          </cell>
          <cell r="C1285">
            <v>44.05</v>
          </cell>
        </row>
        <row r="1286">
          <cell r="B1286" t="str">
            <v>Farah,Diane B</v>
          </cell>
          <cell r="C1286">
            <v>34.21</v>
          </cell>
        </row>
        <row r="1287">
          <cell r="B1287" t="str">
            <v>Free,Rebecca A</v>
          </cell>
          <cell r="C1287">
            <v>40.909999999999997</v>
          </cell>
        </row>
        <row r="1288">
          <cell r="B1288" t="str">
            <v>Posey,Sharon P.</v>
          </cell>
          <cell r="C1288">
            <v>40.369999999999997</v>
          </cell>
        </row>
        <row r="1289">
          <cell r="B1289" t="str">
            <v>Connelly,Michael J.</v>
          </cell>
          <cell r="C1289">
            <v>46.09</v>
          </cell>
        </row>
        <row r="1290">
          <cell r="B1290" t="str">
            <v>Silva,Alex A</v>
          </cell>
          <cell r="C1290">
            <v>45.52</v>
          </cell>
        </row>
        <row r="1291">
          <cell r="B1291" t="str">
            <v>Gilmore Jr.,Robert L</v>
          </cell>
          <cell r="C1291">
            <v>47.3</v>
          </cell>
        </row>
        <row r="1292">
          <cell r="B1292" t="str">
            <v>Allen,Rhonda Tilghman</v>
          </cell>
          <cell r="C1292">
            <v>57.02</v>
          </cell>
        </row>
        <row r="1293">
          <cell r="B1293" t="str">
            <v>Battle,Kenneth C</v>
          </cell>
          <cell r="C1293">
            <v>28.84</v>
          </cell>
        </row>
        <row r="1294">
          <cell r="B1294" t="str">
            <v>White,John T</v>
          </cell>
          <cell r="C1294">
            <v>37.729999999999997</v>
          </cell>
        </row>
        <row r="1295">
          <cell r="B1295" t="str">
            <v>Arndt,Larry W</v>
          </cell>
          <cell r="C1295">
            <v>43.99</v>
          </cell>
        </row>
        <row r="1296">
          <cell r="B1296" t="str">
            <v>Bustamante,John G</v>
          </cell>
          <cell r="C1296">
            <v>44.41</v>
          </cell>
        </row>
        <row r="1297">
          <cell r="B1297" t="str">
            <v>Hodges,Steven G.</v>
          </cell>
          <cell r="C1297">
            <v>48.96</v>
          </cell>
        </row>
        <row r="1298">
          <cell r="B1298" t="str">
            <v>McBride,Adrian L</v>
          </cell>
          <cell r="C1298">
            <v>22</v>
          </cell>
        </row>
        <row r="1299">
          <cell r="B1299" t="str">
            <v>Ratzlaff,Charlie W</v>
          </cell>
          <cell r="C1299">
            <v>39.71</v>
          </cell>
        </row>
        <row r="1300">
          <cell r="B1300" t="str">
            <v>Wilson,Tracy A</v>
          </cell>
          <cell r="C1300">
            <v>38.31</v>
          </cell>
        </row>
        <row r="1301">
          <cell r="B1301" t="str">
            <v>Hemberg,David M</v>
          </cell>
          <cell r="C1301">
            <v>37.79</v>
          </cell>
        </row>
        <row r="1302">
          <cell r="B1302" t="str">
            <v>Marino,Steven R</v>
          </cell>
          <cell r="C1302">
            <v>64.165800000000004</v>
          </cell>
        </row>
        <row r="1303">
          <cell r="B1303" t="str">
            <v>Theriot,Swakina K</v>
          </cell>
          <cell r="C1303">
            <v>18.5</v>
          </cell>
        </row>
        <row r="1304">
          <cell r="B1304" t="str">
            <v>Eskenazi,Jonathan I.</v>
          </cell>
          <cell r="C1304">
            <v>63.31</v>
          </cell>
        </row>
        <row r="1305">
          <cell r="B1305" t="str">
            <v>Guinn,Danny E.</v>
          </cell>
          <cell r="C1305">
            <v>22</v>
          </cell>
        </row>
        <row r="1306">
          <cell r="B1306" t="str">
            <v>Bice II,John B</v>
          </cell>
          <cell r="C1306">
            <v>41.28</v>
          </cell>
        </row>
        <row r="1307">
          <cell r="B1307" t="str">
            <v>LeBlanc,Christina L</v>
          </cell>
          <cell r="C1307">
            <v>34.869999999999997</v>
          </cell>
        </row>
        <row r="1308">
          <cell r="B1308" t="str">
            <v>Soisson,Scott J</v>
          </cell>
          <cell r="C1308">
            <v>56.06</v>
          </cell>
        </row>
        <row r="1309">
          <cell r="B1309" t="str">
            <v>Thore,Tracy N</v>
          </cell>
          <cell r="C1309">
            <v>32.47</v>
          </cell>
        </row>
        <row r="1310">
          <cell r="B1310" t="str">
            <v>West,Timothy S.</v>
          </cell>
          <cell r="C1310">
            <v>29.06</v>
          </cell>
        </row>
        <row r="1311">
          <cell r="B1311" t="str">
            <v>Aikens,Terrance R</v>
          </cell>
          <cell r="C1311">
            <v>49.76</v>
          </cell>
        </row>
        <row r="1312">
          <cell r="B1312" t="str">
            <v>Harvey,Maryland O.</v>
          </cell>
          <cell r="C1312">
            <v>26.05</v>
          </cell>
        </row>
        <row r="1313">
          <cell r="B1313" t="str">
            <v>Lorde,Elmo A</v>
          </cell>
          <cell r="C1313">
            <v>28.18</v>
          </cell>
        </row>
        <row r="1314">
          <cell r="B1314" t="str">
            <v>Becker,Christopher J</v>
          </cell>
          <cell r="C1314">
            <v>47.15</v>
          </cell>
        </row>
        <row r="1315">
          <cell r="B1315" t="str">
            <v>Farrell,Kevin L</v>
          </cell>
          <cell r="C1315">
            <v>39.61</v>
          </cell>
        </row>
        <row r="1316">
          <cell r="B1316" t="str">
            <v>Hurt,Scott M.</v>
          </cell>
          <cell r="C1316">
            <v>40.159999999999997</v>
          </cell>
        </row>
        <row r="1317">
          <cell r="B1317" t="str">
            <v>Gobeille,Edward D</v>
          </cell>
          <cell r="C1317">
            <v>46.04</v>
          </cell>
        </row>
        <row r="1318">
          <cell r="B1318" t="str">
            <v>Lukasik,Thomas J</v>
          </cell>
          <cell r="C1318">
            <v>32.130000000000003</v>
          </cell>
        </row>
        <row r="1319">
          <cell r="B1319" t="str">
            <v>Meier,Diana L.</v>
          </cell>
          <cell r="C1319">
            <v>27.89</v>
          </cell>
        </row>
        <row r="1320">
          <cell r="B1320" t="str">
            <v>Kelley,Jay W</v>
          </cell>
          <cell r="C1320">
            <v>137.51</v>
          </cell>
        </row>
        <row r="1321">
          <cell r="B1321" t="str">
            <v>Ruiz,William J</v>
          </cell>
          <cell r="C1321">
            <v>21</v>
          </cell>
        </row>
        <row r="1322">
          <cell r="B1322" t="str">
            <v>Knodt,Kenneth R</v>
          </cell>
          <cell r="C1322">
            <v>28.12</v>
          </cell>
        </row>
        <row r="1323">
          <cell r="B1323" t="str">
            <v>Bibbee,Christopher</v>
          </cell>
          <cell r="C1323">
            <v>60.16</v>
          </cell>
        </row>
        <row r="1324">
          <cell r="B1324" t="str">
            <v>Hannon,Jason A</v>
          </cell>
          <cell r="C1324">
            <v>42.84</v>
          </cell>
        </row>
        <row r="1325">
          <cell r="B1325" t="str">
            <v>Jones,Deborah E</v>
          </cell>
          <cell r="C1325">
            <v>37.229999999999997</v>
          </cell>
        </row>
        <row r="1326">
          <cell r="B1326" t="str">
            <v>Duffy,Ian P</v>
          </cell>
          <cell r="C1326">
            <v>61.37</v>
          </cell>
        </row>
        <row r="1327">
          <cell r="B1327" t="str">
            <v>Gill,Kristen L</v>
          </cell>
          <cell r="C1327">
            <v>25.63</v>
          </cell>
        </row>
        <row r="1328">
          <cell r="B1328" t="str">
            <v>Harkin,Patrick J</v>
          </cell>
          <cell r="C1328">
            <v>43.18</v>
          </cell>
        </row>
        <row r="1329">
          <cell r="B1329" t="str">
            <v>Hendren,Donald R</v>
          </cell>
          <cell r="C1329">
            <v>50.99</v>
          </cell>
        </row>
        <row r="1330">
          <cell r="B1330" t="str">
            <v>Wheelock,Tomas S.</v>
          </cell>
          <cell r="C1330">
            <v>33.630000000000003</v>
          </cell>
        </row>
        <row r="1331">
          <cell r="B1331" t="str">
            <v>New,Carolyn A</v>
          </cell>
          <cell r="C1331">
            <v>20.97</v>
          </cell>
        </row>
        <row r="1332">
          <cell r="B1332" t="str">
            <v>Tabor,Chester S</v>
          </cell>
          <cell r="C1332">
            <v>36.26</v>
          </cell>
        </row>
        <row r="1333">
          <cell r="B1333" t="str">
            <v>Key,Thomas L.</v>
          </cell>
          <cell r="C1333">
            <v>44.85</v>
          </cell>
        </row>
        <row r="1334">
          <cell r="B1334" t="str">
            <v>Joiner,John</v>
          </cell>
          <cell r="C1334">
            <v>45.63</v>
          </cell>
        </row>
        <row r="1335">
          <cell r="B1335" t="str">
            <v>Lendowski,Richard F.</v>
          </cell>
          <cell r="C1335">
            <v>45.3</v>
          </cell>
        </row>
        <row r="1336">
          <cell r="B1336" t="str">
            <v>Barba,Brenda J</v>
          </cell>
          <cell r="C1336">
            <v>39.72</v>
          </cell>
        </row>
        <row r="1337">
          <cell r="B1337" t="str">
            <v>Fortin,Michael W.</v>
          </cell>
          <cell r="C1337">
            <v>40.44</v>
          </cell>
        </row>
        <row r="1338">
          <cell r="B1338" t="str">
            <v>Chau,Lynn H.</v>
          </cell>
          <cell r="C1338">
            <v>34.33</v>
          </cell>
        </row>
        <row r="1339">
          <cell r="B1339" t="str">
            <v>Lendowski,Jane E.</v>
          </cell>
          <cell r="C1339">
            <v>42.59</v>
          </cell>
        </row>
        <row r="1340">
          <cell r="B1340" t="str">
            <v>Fason,Dannie R</v>
          </cell>
          <cell r="C1340">
            <v>33</v>
          </cell>
        </row>
        <row r="1341">
          <cell r="B1341" t="str">
            <v>Reed,James R</v>
          </cell>
          <cell r="C1341">
            <v>48.49</v>
          </cell>
        </row>
        <row r="1342">
          <cell r="B1342" t="str">
            <v>Ehlers,John H.</v>
          </cell>
          <cell r="C1342">
            <v>32.17</v>
          </cell>
        </row>
        <row r="1343">
          <cell r="B1343" t="str">
            <v>Baker,Christopher J</v>
          </cell>
          <cell r="C1343">
            <v>44.26</v>
          </cell>
        </row>
        <row r="1344">
          <cell r="B1344" t="str">
            <v>Hawkins Jr.,Algin S.</v>
          </cell>
          <cell r="C1344">
            <v>49.7</v>
          </cell>
        </row>
        <row r="1345">
          <cell r="B1345" t="str">
            <v>Hayles,Dwight G.</v>
          </cell>
          <cell r="C1345">
            <v>27.9</v>
          </cell>
        </row>
        <row r="1346">
          <cell r="B1346" t="str">
            <v>Ohm,Michael H.</v>
          </cell>
          <cell r="C1346">
            <v>56.16</v>
          </cell>
        </row>
        <row r="1347">
          <cell r="B1347" t="str">
            <v>Lawall,Bethann M</v>
          </cell>
          <cell r="C1347">
            <v>29.42</v>
          </cell>
        </row>
        <row r="1348">
          <cell r="B1348" t="str">
            <v>Ingram,Robert N</v>
          </cell>
          <cell r="C1348">
            <v>43.96</v>
          </cell>
        </row>
        <row r="1349">
          <cell r="B1349" t="str">
            <v>Dang,Hung T.</v>
          </cell>
          <cell r="C1349">
            <v>32.520000000000003</v>
          </cell>
        </row>
        <row r="1350">
          <cell r="B1350" t="str">
            <v>Junta,Salvatore J.</v>
          </cell>
          <cell r="C1350">
            <v>63.68</v>
          </cell>
        </row>
        <row r="1351">
          <cell r="B1351" t="str">
            <v>Watkins III,William W</v>
          </cell>
          <cell r="C1351">
            <v>48.08</v>
          </cell>
        </row>
        <row r="1352">
          <cell r="B1352" t="str">
            <v>Nickens-Johnson,Toye V</v>
          </cell>
          <cell r="C1352">
            <v>20.52</v>
          </cell>
        </row>
        <row r="1353">
          <cell r="B1353" t="str">
            <v>Blassingame,Jonathan D</v>
          </cell>
          <cell r="C1353">
            <v>24.1</v>
          </cell>
        </row>
        <row r="1354">
          <cell r="B1354" t="str">
            <v>Lambert,Michael S</v>
          </cell>
          <cell r="C1354">
            <v>32</v>
          </cell>
        </row>
        <row r="1355">
          <cell r="B1355" t="str">
            <v>Jones,Shirley M.</v>
          </cell>
          <cell r="C1355">
            <v>32.520000000000003</v>
          </cell>
        </row>
        <row r="1356">
          <cell r="B1356" t="str">
            <v>Freeman,Robert J</v>
          </cell>
          <cell r="C1356">
            <v>25.3</v>
          </cell>
        </row>
        <row r="1357">
          <cell r="B1357" t="str">
            <v>Manaois,Michael E</v>
          </cell>
          <cell r="C1357">
            <v>23.56</v>
          </cell>
        </row>
        <row r="1358">
          <cell r="B1358" t="str">
            <v>Sumer,Ferah Feza</v>
          </cell>
          <cell r="C1358">
            <v>34.32</v>
          </cell>
        </row>
        <row r="1359">
          <cell r="B1359" t="str">
            <v>Nicely,Jeffrey C</v>
          </cell>
          <cell r="C1359">
            <v>41.95</v>
          </cell>
        </row>
        <row r="1360">
          <cell r="B1360" t="str">
            <v>Makonnen,Leul</v>
          </cell>
          <cell r="C1360">
            <v>42.77</v>
          </cell>
        </row>
        <row r="1361">
          <cell r="B1361" t="str">
            <v>Gilchrist,Timothy D</v>
          </cell>
          <cell r="C1361">
            <v>38.51</v>
          </cell>
        </row>
        <row r="1362">
          <cell r="B1362" t="str">
            <v>Olson,James J</v>
          </cell>
          <cell r="C1362">
            <v>59.31</v>
          </cell>
        </row>
        <row r="1363">
          <cell r="B1363" t="str">
            <v>Romutis,Timothy J.</v>
          </cell>
          <cell r="C1363">
            <v>62.34</v>
          </cell>
        </row>
        <row r="1364">
          <cell r="B1364" t="str">
            <v>Rainey,Timothy G</v>
          </cell>
          <cell r="C1364">
            <v>64</v>
          </cell>
        </row>
        <row r="1365">
          <cell r="B1365" t="str">
            <v>Ro,Miriam A.</v>
          </cell>
          <cell r="C1365">
            <v>30.21</v>
          </cell>
        </row>
        <row r="1366">
          <cell r="B1366" t="str">
            <v>Flynn,Charles D</v>
          </cell>
          <cell r="C1366">
            <v>37.549999999999997</v>
          </cell>
        </row>
        <row r="1367">
          <cell r="B1367" t="str">
            <v>Bauer,Cindy J.</v>
          </cell>
          <cell r="C1367">
            <v>50</v>
          </cell>
        </row>
        <row r="1368">
          <cell r="B1368" t="str">
            <v>Lassiter Jr.,George L</v>
          </cell>
          <cell r="C1368">
            <v>41.91</v>
          </cell>
        </row>
        <row r="1369">
          <cell r="B1369" t="str">
            <v>Lee,Eric V</v>
          </cell>
          <cell r="C1369">
            <v>25.15</v>
          </cell>
        </row>
        <row r="1370">
          <cell r="B1370" t="str">
            <v>Ashourian,Allen</v>
          </cell>
          <cell r="C1370">
            <v>48.66</v>
          </cell>
        </row>
        <row r="1371">
          <cell r="B1371" t="str">
            <v>Sheladia,Neal N.</v>
          </cell>
          <cell r="C1371">
            <v>60.9</v>
          </cell>
        </row>
        <row r="1372">
          <cell r="B1372" t="str">
            <v>Jackson,Linda G</v>
          </cell>
          <cell r="C1372">
            <v>25.97</v>
          </cell>
        </row>
        <row r="1373">
          <cell r="B1373" t="str">
            <v>Yost,David R</v>
          </cell>
          <cell r="C1373">
            <v>48.98</v>
          </cell>
        </row>
        <row r="1374">
          <cell r="B1374" t="str">
            <v>Wilks,Joseph C.</v>
          </cell>
          <cell r="C1374">
            <v>50.9</v>
          </cell>
        </row>
        <row r="1375">
          <cell r="B1375" t="str">
            <v>Gray,Stephen A E</v>
          </cell>
          <cell r="C1375">
            <v>31.9</v>
          </cell>
        </row>
        <row r="1376">
          <cell r="B1376" t="str">
            <v>Wilson,Robert C.</v>
          </cell>
          <cell r="C1376">
            <v>41.59</v>
          </cell>
        </row>
        <row r="1377">
          <cell r="B1377" t="str">
            <v>Armour,Dwayne R</v>
          </cell>
          <cell r="C1377">
            <v>27.94</v>
          </cell>
        </row>
        <row r="1378">
          <cell r="B1378" t="str">
            <v>Shaw,Kevin W</v>
          </cell>
          <cell r="C1378">
            <v>34.39</v>
          </cell>
        </row>
        <row r="1379">
          <cell r="B1379" t="str">
            <v>Koseoglu,Dilek</v>
          </cell>
          <cell r="C1379">
            <v>15.99</v>
          </cell>
        </row>
        <row r="1380">
          <cell r="B1380" t="str">
            <v>Zittel,James L</v>
          </cell>
          <cell r="C1380">
            <v>62.4</v>
          </cell>
        </row>
        <row r="1381">
          <cell r="B1381" t="str">
            <v>Williams,Kevin D</v>
          </cell>
          <cell r="C1381">
            <v>15.83</v>
          </cell>
        </row>
        <row r="1382">
          <cell r="B1382" t="str">
            <v>Grottini,Michael J</v>
          </cell>
          <cell r="C1382">
            <v>56.81</v>
          </cell>
        </row>
        <row r="1383">
          <cell r="B1383" t="str">
            <v>Guy,Tracey L</v>
          </cell>
          <cell r="C1383">
            <v>45.6</v>
          </cell>
        </row>
        <row r="1384">
          <cell r="B1384" t="str">
            <v>Cales,Tracie L.</v>
          </cell>
          <cell r="C1384">
            <v>14.21</v>
          </cell>
        </row>
        <row r="1385">
          <cell r="B1385" t="str">
            <v>Flowers,Harold T</v>
          </cell>
          <cell r="C1385">
            <v>26.08</v>
          </cell>
        </row>
        <row r="1386">
          <cell r="B1386" t="str">
            <v>Newberg,Emma S</v>
          </cell>
          <cell r="C1386">
            <v>46.49</v>
          </cell>
        </row>
        <row r="1387">
          <cell r="B1387" t="str">
            <v>Armstrong,Sam H</v>
          </cell>
          <cell r="C1387">
            <v>24.42</v>
          </cell>
        </row>
        <row r="1388">
          <cell r="B1388" t="str">
            <v>Sager-Dean,Patricia M</v>
          </cell>
          <cell r="C1388">
            <v>51.49</v>
          </cell>
        </row>
        <row r="1389">
          <cell r="B1389" t="str">
            <v>Tijerina,Sandra D</v>
          </cell>
          <cell r="C1389">
            <v>22.09</v>
          </cell>
        </row>
        <row r="1390">
          <cell r="B1390" t="str">
            <v>Mondoy,Roy M.</v>
          </cell>
          <cell r="C1390">
            <v>27.61</v>
          </cell>
        </row>
        <row r="1391">
          <cell r="B1391" t="str">
            <v>Stewart,Napoleon</v>
          </cell>
          <cell r="C1391">
            <v>40.869999999999997</v>
          </cell>
        </row>
        <row r="1392">
          <cell r="B1392" t="str">
            <v>Ondish,Raymond J</v>
          </cell>
          <cell r="C1392">
            <v>60.19</v>
          </cell>
        </row>
        <row r="1393">
          <cell r="B1393" t="str">
            <v>Wardlow,Shannon R.</v>
          </cell>
          <cell r="C1393">
            <v>11.16</v>
          </cell>
        </row>
        <row r="1394">
          <cell r="B1394" t="str">
            <v>Minjarez,William Z.</v>
          </cell>
          <cell r="C1394">
            <v>17.91</v>
          </cell>
        </row>
        <row r="1395">
          <cell r="B1395" t="str">
            <v>Heffner,Daniel L</v>
          </cell>
          <cell r="C1395">
            <v>13.24</v>
          </cell>
        </row>
        <row r="1396">
          <cell r="B1396" t="str">
            <v>Anderson,Jackie W.</v>
          </cell>
          <cell r="C1396">
            <v>19.059999999999999</v>
          </cell>
        </row>
        <row r="1397">
          <cell r="B1397" t="str">
            <v>Best,Shauna Renee</v>
          </cell>
          <cell r="C1397">
            <v>18.96</v>
          </cell>
        </row>
        <row r="1398">
          <cell r="B1398" t="str">
            <v>Bockstege,John A</v>
          </cell>
          <cell r="C1398">
            <v>54.21</v>
          </cell>
        </row>
        <row r="1399">
          <cell r="B1399" t="str">
            <v>Krug,Keith A</v>
          </cell>
          <cell r="C1399">
            <v>58.37</v>
          </cell>
        </row>
        <row r="1400">
          <cell r="B1400" t="str">
            <v>Dartnell,Jeremy E</v>
          </cell>
          <cell r="C1400">
            <v>25.73</v>
          </cell>
        </row>
        <row r="1401">
          <cell r="B1401" t="str">
            <v>Oberholtzer,Joan L.</v>
          </cell>
          <cell r="C1401">
            <v>40.47</v>
          </cell>
        </row>
        <row r="1402">
          <cell r="B1402" t="str">
            <v>Lewis,Willie James</v>
          </cell>
          <cell r="C1402">
            <v>23.3</v>
          </cell>
        </row>
        <row r="1403">
          <cell r="B1403" t="str">
            <v>Hagen,David L</v>
          </cell>
          <cell r="C1403">
            <v>72.28</v>
          </cell>
        </row>
        <row r="1404">
          <cell r="B1404" t="str">
            <v>Billings Jr,Robert E.</v>
          </cell>
          <cell r="C1404">
            <v>62.26</v>
          </cell>
        </row>
        <row r="1405">
          <cell r="B1405" t="str">
            <v>Jaworski,Brian P</v>
          </cell>
          <cell r="C1405">
            <v>50.52</v>
          </cell>
        </row>
        <row r="1406">
          <cell r="B1406" t="str">
            <v>Mathieu,William R</v>
          </cell>
          <cell r="C1406">
            <v>47.51</v>
          </cell>
        </row>
        <row r="1407">
          <cell r="B1407" t="str">
            <v>Bowden,Ronald E</v>
          </cell>
          <cell r="C1407">
            <v>15.56</v>
          </cell>
        </row>
        <row r="1408">
          <cell r="B1408" t="str">
            <v>Johnson,Un-Joo</v>
          </cell>
          <cell r="C1408">
            <v>28.32</v>
          </cell>
        </row>
        <row r="1409">
          <cell r="B1409" t="str">
            <v>Bobbitt,Jeffrey A</v>
          </cell>
          <cell r="C1409">
            <v>36.97</v>
          </cell>
        </row>
        <row r="1410">
          <cell r="B1410" t="str">
            <v>Sanchez,Marco F.</v>
          </cell>
          <cell r="C1410">
            <v>43.32</v>
          </cell>
        </row>
        <row r="1411">
          <cell r="B1411" t="str">
            <v>Connelly,Thomas L</v>
          </cell>
          <cell r="C1411">
            <v>69.400000000000006</v>
          </cell>
        </row>
        <row r="1412">
          <cell r="B1412" t="str">
            <v>Passman,Bradley D.</v>
          </cell>
          <cell r="C1412">
            <v>69.239999999999995</v>
          </cell>
        </row>
        <row r="1413">
          <cell r="B1413" t="str">
            <v>Kalefsky,Neal</v>
          </cell>
          <cell r="C1413">
            <v>16.09</v>
          </cell>
        </row>
        <row r="1414">
          <cell r="B1414" t="str">
            <v>Corliss,Caleb W</v>
          </cell>
          <cell r="C1414">
            <v>57.7</v>
          </cell>
        </row>
        <row r="1415">
          <cell r="B1415" t="str">
            <v>Taylor,Bryan A</v>
          </cell>
          <cell r="C1415">
            <v>32.25</v>
          </cell>
        </row>
        <row r="1416">
          <cell r="B1416" t="str">
            <v>Underwood,Gary J</v>
          </cell>
          <cell r="C1416">
            <v>47.38</v>
          </cell>
        </row>
        <row r="1417">
          <cell r="B1417" t="str">
            <v>Hanks,Brian D</v>
          </cell>
          <cell r="C1417">
            <v>49.25</v>
          </cell>
        </row>
        <row r="1418">
          <cell r="B1418" t="str">
            <v>Morgan Jr.,Gilbert E</v>
          </cell>
          <cell r="C1418">
            <v>40.229999999999997</v>
          </cell>
        </row>
        <row r="1419">
          <cell r="B1419" t="str">
            <v>Washington,Vernon L.</v>
          </cell>
          <cell r="C1419">
            <v>44</v>
          </cell>
        </row>
        <row r="1420">
          <cell r="B1420" t="str">
            <v>Vega,Rafael A</v>
          </cell>
          <cell r="C1420">
            <v>47.39</v>
          </cell>
        </row>
        <row r="1421">
          <cell r="B1421" t="str">
            <v>Garcia,Nestor B</v>
          </cell>
          <cell r="C1421">
            <v>25.59</v>
          </cell>
        </row>
        <row r="1422">
          <cell r="B1422" t="str">
            <v>Breeden,Richard N</v>
          </cell>
          <cell r="C1422">
            <v>70.680000000000007</v>
          </cell>
        </row>
        <row r="1423">
          <cell r="B1423" t="str">
            <v>Leist,James M</v>
          </cell>
          <cell r="C1423">
            <v>57.06</v>
          </cell>
        </row>
        <row r="1424">
          <cell r="B1424" t="str">
            <v>Chandler,Marie E</v>
          </cell>
          <cell r="C1424">
            <v>15.2</v>
          </cell>
        </row>
        <row r="1425">
          <cell r="B1425" t="str">
            <v>Collins,Lester A</v>
          </cell>
          <cell r="C1425">
            <v>21.78</v>
          </cell>
        </row>
        <row r="1426">
          <cell r="B1426" t="str">
            <v>Boone,Thomas W.</v>
          </cell>
          <cell r="C1426">
            <v>51.25</v>
          </cell>
        </row>
        <row r="1427">
          <cell r="B1427" t="str">
            <v>McCracken,Debra K</v>
          </cell>
          <cell r="C1427">
            <v>47.51</v>
          </cell>
        </row>
        <row r="1428">
          <cell r="B1428" t="str">
            <v>Stocks,James T</v>
          </cell>
          <cell r="C1428">
            <v>51.93</v>
          </cell>
        </row>
        <row r="1429">
          <cell r="B1429" t="str">
            <v>Edwards,Anthony W.</v>
          </cell>
          <cell r="C1429">
            <v>52.28</v>
          </cell>
        </row>
        <row r="1430">
          <cell r="B1430" t="str">
            <v>Fincham,Angela M</v>
          </cell>
          <cell r="C1430">
            <v>25.96</v>
          </cell>
        </row>
        <row r="1431">
          <cell r="B1431" t="str">
            <v>Maxwell,Debby E.</v>
          </cell>
          <cell r="C1431">
            <v>37.409999999999997</v>
          </cell>
        </row>
        <row r="1432">
          <cell r="B1432" t="str">
            <v>Smalt,Rod E</v>
          </cell>
          <cell r="C1432">
            <v>48.75</v>
          </cell>
        </row>
        <row r="1433">
          <cell r="B1433" t="str">
            <v>Johnson,Patricia A</v>
          </cell>
          <cell r="C1433">
            <v>27.8</v>
          </cell>
        </row>
        <row r="1434">
          <cell r="B1434" t="str">
            <v>House-Linn,Joni S</v>
          </cell>
          <cell r="C1434">
            <v>25.51</v>
          </cell>
        </row>
        <row r="1435">
          <cell r="B1435" t="str">
            <v>Bouie,James A</v>
          </cell>
          <cell r="C1435">
            <v>41.51</v>
          </cell>
        </row>
        <row r="1436">
          <cell r="B1436" t="str">
            <v>Manno,Brenda L</v>
          </cell>
          <cell r="C1436">
            <v>34.99</v>
          </cell>
        </row>
        <row r="1437">
          <cell r="B1437" t="str">
            <v>Lee,Linda Lorraine</v>
          </cell>
          <cell r="C1437">
            <v>64.760000000000005</v>
          </cell>
        </row>
        <row r="1438">
          <cell r="B1438" t="str">
            <v>Baskin Jr.,Douglas S.</v>
          </cell>
          <cell r="C1438">
            <v>40.82</v>
          </cell>
        </row>
        <row r="1439">
          <cell r="B1439" t="str">
            <v>Staten Sr.,Michael B.</v>
          </cell>
          <cell r="C1439">
            <v>20.62</v>
          </cell>
        </row>
        <row r="1440">
          <cell r="B1440" t="str">
            <v>Lopez,Joe R</v>
          </cell>
          <cell r="C1440">
            <v>74.5</v>
          </cell>
        </row>
        <row r="1441">
          <cell r="B1441" t="str">
            <v>Montgomery,William S</v>
          </cell>
          <cell r="C1441">
            <v>48.25</v>
          </cell>
        </row>
        <row r="1442">
          <cell r="B1442" t="str">
            <v>Nickerson III,William J</v>
          </cell>
          <cell r="C1442">
            <v>25.83</v>
          </cell>
        </row>
        <row r="1443">
          <cell r="B1443" t="str">
            <v>Toelle,Elizabeth A.</v>
          </cell>
          <cell r="C1443">
            <v>40.479999999999997</v>
          </cell>
        </row>
        <row r="1444">
          <cell r="B1444" t="str">
            <v>Mendoza,Claudia C</v>
          </cell>
          <cell r="C1444">
            <v>23.74</v>
          </cell>
        </row>
        <row r="1445">
          <cell r="B1445" t="str">
            <v>Hart,Suzette M.</v>
          </cell>
          <cell r="C1445">
            <v>21.64</v>
          </cell>
        </row>
        <row r="1446">
          <cell r="B1446" t="str">
            <v>Rader,Richard W.</v>
          </cell>
          <cell r="C1446">
            <v>30.13</v>
          </cell>
        </row>
        <row r="1447">
          <cell r="B1447" t="str">
            <v>Dahlgren,Jasan C</v>
          </cell>
          <cell r="C1447">
            <v>36.93</v>
          </cell>
        </row>
        <row r="1448">
          <cell r="B1448" t="str">
            <v>Martin,Bryan M.</v>
          </cell>
          <cell r="C1448">
            <v>86.02</v>
          </cell>
        </row>
        <row r="1449">
          <cell r="B1449" t="str">
            <v>Shaffer,Ivan L</v>
          </cell>
          <cell r="C1449">
            <v>67.989999999999995</v>
          </cell>
        </row>
        <row r="1450">
          <cell r="B1450" t="str">
            <v>Cochran,Brian D</v>
          </cell>
          <cell r="C1450">
            <v>46.56</v>
          </cell>
        </row>
        <row r="1451">
          <cell r="B1451" t="str">
            <v>Limb,Alan R</v>
          </cell>
          <cell r="C1451">
            <v>31.2</v>
          </cell>
        </row>
        <row r="1452">
          <cell r="B1452" t="str">
            <v>Strauss,Christopher A</v>
          </cell>
          <cell r="C1452">
            <v>49.09</v>
          </cell>
        </row>
        <row r="1453">
          <cell r="B1453" t="str">
            <v>Arellano,Dion P</v>
          </cell>
          <cell r="C1453">
            <v>61.11</v>
          </cell>
        </row>
        <row r="1454">
          <cell r="B1454" t="str">
            <v>Daniel II,Clement</v>
          </cell>
          <cell r="C1454">
            <v>62.75</v>
          </cell>
        </row>
        <row r="1455">
          <cell r="B1455" t="str">
            <v>Foreman,Dallas M</v>
          </cell>
          <cell r="C1455">
            <v>27.87</v>
          </cell>
        </row>
        <row r="1456">
          <cell r="B1456" t="str">
            <v>Libby,Brendan R.</v>
          </cell>
          <cell r="C1456">
            <v>31.82</v>
          </cell>
        </row>
        <row r="1457">
          <cell r="B1457" t="str">
            <v>Thies,Cheryl S</v>
          </cell>
          <cell r="C1457">
            <v>40.33</v>
          </cell>
        </row>
        <row r="1458">
          <cell r="B1458" t="str">
            <v>Holdstock,Gary N</v>
          </cell>
          <cell r="C1458">
            <v>42.34</v>
          </cell>
        </row>
        <row r="1459">
          <cell r="B1459" t="str">
            <v>Nelson,David A.</v>
          </cell>
          <cell r="C1459">
            <v>17.920000000000002</v>
          </cell>
        </row>
        <row r="1460">
          <cell r="B1460" t="str">
            <v>Rogers,Eric M</v>
          </cell>
          <cell r="C1460">
            <v>45.2</v>
          </cell>
        </row>
        <row r="1461">
          <cell r="B1461" t="str">
            <v>Burke,Joann M.</v>
          </cell>
          <cell r="C1461">
            <v>40.270000000000003</v>
          </cell>
        </row>
        <row r="1462">
          <cell r="B1462" t="str">
            <v>Rodzankas,Lucinda A</v>
          </cell>
          <cell r="C1462">
            <v>30.91</v>
          </cell>
        </row>
        <row r="1463">
          <cell r="B1463" t="str">
            <v>Robinson,Randy</v>
          </cell>
          <cell r="C1463">
            <v>58.98</v>
          </cell>
        </row>
        <row r="1464">
          <cell r="B1464" t="str">
            <v>Brightbill,David P</v>
          </cell>
          <cell r="C1464">
            <v>44.5</v>
          </cell>
        </row>
        <row r="1465">
          <cell r="B1465" t="str">
            <v>Green,Martin L</v>
          </cell>
          <cell r="C1465">
            <v>21.21</v>
          </cell>
        </row>
        <row r="1466">
          <cell r="B1466" t="str">
            <v>Smith,Joanie A</v>
          </cell>
          <cell r="C1466">
            <v>11.98</v>
          </cell>
        </row>
        <row r="1467">
          <cell r="B1467" t="str">
            <v>Wszolek,Christine A</v>
          </cell>
          <cell r="C1467">
            <v>43.4</v>
          </cell>
        </row>
        <row r="1468">
          <cell r="B1468" t="str">
            <v>Pitts,Shelley M.</v>
          </cell>
          <cell r="C1468">
            <v>31.57</v>
          </cell>
        </row>
        <row r="1469">
          <cell r="B1469" t="str">
            <v>Anthony,Tyrone K.</v>
          </cell>
          <cell r="C1469">
            <v>24.15</v>
          </cell>
        </row>
        <row r="1470">
          <cell r="B1470" t="str">
            <v>Cutright,Donald E</v>
          </cell>
          <cell r="C1470">
            <v>28.44</v>
          </cell>
        </row>
        <row r="1471">
          <cell r="B1471" t="str">
            <v>Trakas Jr,Robert C</v>
          </cell>
          <cell r="C1471">
            <v>63.5</v>
          </cell>
        </row>
        <row r="1472">
          <cell r="B1472" t="str">
            <v>Leffingwell,Pearlita E</v>
          </cell>
          <cell r="C1472">
            <v>45.42</v>
          </cell>
        </row>
        <row r="1473">
          <cell r="B1473" t="str">
            <v>Calara,Eduardo B</v>
          </cell>
          <cell r="C1473">
            <v>31.17</v>
          </cell>
        </row>
        <row r="1474">
          <cell r="B1474" t="str">
            <v>Luedke,Alan D</v>
          </cell>
          <cell r="C1474">
            <v>42.83</v>
          </cell>
        </row>
        <row r="1475">
          <cell r="B1475" t="str">
            <v>Peck,Sheridan Lee</v>
          </cell>
          <cell r="C1475">
            <v>19.18</v>
          </cell>
        </row>
        <row r="1476">
          <cell r="B1476" t="str">
            <v>Berger,Kevin H</v>
          </cell>
          <cell r="C1476">
            <v>67.58</v>
          </cell>
        </row>
        <row r="1477">
          <cell r="B1477" t="str">
            <v>Horling,James E</v>
          </cell>
          <cell r="C1477">
            <v>59.29</v>
          </cell>
        </row>
        <row r="1478">
          <cell r="B1478" t="str">
            <v>Copp,William R</v>
          </cell>
          <cell r="C1478">
            <v>43.8</v>
          </cell>
        </row>
        <row r="1479">
          <cell r="B1479" t="str">
            <v>Carpenter,Janet S</v>
          </cell>
          <cell r="C1479">
            <v>19.38</v>
          </cell>
        </row>
        <row r="1480">
          <cell r="B1480" t="str">
            <v>Thomas,Vincent L.</v>
          </cell>
          <cell r="C1480">
            <v>41.33</v>
          </cell>
        </row>
        <row r="1481">
          <cell r="B1481" t="str">
            <v>Barnes,Oscar W.</v>
          </cell>
          <cell r="C1481">
            <v>45</v>
          </cell>
        </row>
        <row r="1482">
          <cell r="B1482" t="str">
            <v>Freeman Jr,Rodrick N</v>
          </cell>
          <cell r="C1482">
            <v>26.51</v>
          </cell>
        </row>
        <row r="1483">
          <cell r="B1483" t="str">
            <v>Drucker,Carl J</v>
          </cell>
          <cell r="C1483">
            <v>68.540000000000006</v>
          </cell>
        </row>
        <row r="1484">
          <cell r="B1484" t="str">
            <v>Reintzell,Mary Y</v>
          </cell>
          <cell r="C1484">
            <v>13.17</v>
          </cell>
        </row>
        <row r="1485">
          <cell r="B1485" t="str">
            <v>Martinez,Blane E</v>
          </cell>
          <cell r="C1485">
            <v>32.42</v>
          </cell>
        </row>
        <row r="1486">
          <cell r="B1486" t="str">
            <v>Gentry,John M</v>
          </cell>
          <cell r="C1486">
            <v>38</v>
          </cell>
        </row>
        <row r="1487">
          <cell r="B1487" t="str">
            <v>Wilson,Rodney D</v>
          </cell>
          <cell r="C1487">
            <v>32.840000000000003</v>
          </cell>
        </row>
        <row r="1488">
          <cell r="B1488" t="str">
            <v>Marcussen,Mark J</v>
          </cell>
          <cell r="C1488">
            <v>29</v>
          </cell>
        </row>
        <row r="1489">
          <cell r="B1489" t="str">
            <v>Holly,George W</v>
          </cell>
          <cell r="C1489">
            <v>35.64</v>
          </cell>
        </row>
        <row r="1490">
          <cell r="B1490" t="str">
            <v>Johnson,Travis I.</v>
          </cell>
          <cell r="C1490">
            <v>61.09</v>
          </cell>
        </row>
        <row r="1491">
          <cell r="B1491" t="str">
            <v>Winston,Dennis</v>
          </cell>
          <cell r="C1491">
            <v>32.43</v>
          </cell>
        </row>
        <row r="1492">
          <cell r="B1492" t="str">
            <v>Cabradilla,Sonny</v>
          </cell>
          <cell r="C1492">
            <v>22.32</v>
          </cell>
        </row>
        <row r="1493">
          <cell r="B1493" t="str">
            <v>White,Tracye R</v>
          </cell>
          <cell r="C1493">
            <v>27.73</v>
          </cell>
        </row>
        <row r="1494">
          <cell r="B1494" t="str">
            <v>Genova,Dominick J</v>
          </cell>
          <cell r="C1494">
            <v>40.21</v>
          </cell>
        </row>
        <row r="1495">
          <cell r="B1495" t="str">
            <v>Watts,Melvin</v>
          </cell>
          <cell r="C1495">
            <v>23</v>
          </cell>
        </row>
        <row r="1496">
          <cell r="B1496" t="str">
            <v>Clowser Jr,Roy T</v>
          </cell>
          <cell r="C1496">
            <v>63.14</v>
          </cell>
        </row>
        <row r="1497">
          <cell r="B1497" t="str">
            <v>Bui,Hoan C</v>
          </cell>
          <cell r="C1497">
            <v>51.02</v>
          </cell>
        </row>
        <row r="1498">
          <cell r="B1498" t="str">
            <v>Zimmerman,William C</v>
          </cell>
          <cell r="C1498">
            <v>78.3</v>
          </cell>
        </row>
        <row r="1499">
          <cell r="B1499" t="str">
            <v>Eckart,Glen A</v>
          </cell>
          <cell r="C1499">
            <v>44.79</v>
          </cell>
        </row>
        <row r="1500">
          <cell r="B1500" t="str">
            <v>Deaton,David L</v>
          </cell>
          <cell r="C1500">
            <v>34.33</v>
          </cell>
        </row>
        <row r="1501">
          <cell r="B1501" t="str">
            <v>Wright,Sharon L</v>
          </cell>
          <cell r="C1501">
            <v>27.14</v>
          </cell>
        </row>
        <row r="1502">
          <cell r="B1502" t="str">
            <v>Bargamento,Kenneth F</v>
          </cell>
          <cell r="C1502">
            <v>26.39</v>
          </cell>
        </row>
        <row r="1503">
          <cell r="B1503" t="str">
            <v>Ruane,Sean</v>
          </cell>
          <cell r="C1503">
            <v>23.43</v>
          </cell>
        </row>
        <row r="1504">
          <cell r="B1504" t="str">
            <v>Chavez,David P</v>
          </cell>
          <cell r="C1504">
            <v>20.66</v>
          </cell>
        </row>
        <row r="1505">
          <cell r="B1505" t="str">
            <v>Leslie,Timothy J</v>
          </cell>
          <cell r="C1505">
            <v>35.58</v>
          </cell>
        </row>
        <row r="1506">
          <cell r="B1506" t="str">
            <v>Jordan,Margaretanne</v>
          </cell>
          <cell r="C1506">
            <v>66.37</v>
          </cell>
        </row>
        <row r="1507">
          <cell r="B1507" t="str">
            <v>Hull,Wayne A</v>
          </cell>
          <cell r="C1507">
            <v>67.84</v>
          </cell>
        </row>
        <row r="1508">
          <cell r="B1508" t="str">
            <v>Presnell,David G.</v>
          </cell>
          <cell r="C1508">
            <v>31.09</v>
          </cell>
        </row>
        <row r="1509">
          <cell r="B1509" t="str">
            <v>Anderson,Stephen H</v>
          </cell>
          <cell r="C1509">
            <v>19.420000000000002</v>
          </cell>
        </row>
        <row r="1510">
          <cell r="B1510" t="str">
            <v>Molina III,Raphael R</v>
          </cell>
          <cell r="C1510">
            <v>22.55</v>
          </cell>
        </row>
        <row r="1511">
          <cell r="B1511" t="str">
            <v>Harris,Jeffrey E.</v>
          </cell>
          <cell r="C1511">
            <v>59.54</v>
          </cell>
        </row>
        <row r="1512">
          <cell r="B1512" t="str">
            <v>Parris Jr.,Mark</v>
          </cell>
          <cell r="C1512">
            <v>34.11</v>
          </cell>
        </row>
        <row r="1513">
          <cell r="B1513" t="str">
            <v>Kayson,Walter</v>
          </cell>
          <cell r="C1513">
            <v>40.229999999999997</v>
          </cell>
        </row>
        <row r="1514">
          <cell r="B1514" t="str">
            <v>Shaw,Richard</v>
          </cell>
          <cell r="C1514">
            <v>88.62</v>
          </cell>
        </row>
        <row r="1515">
          <cell r="B1515" t="str">
            <v>Wagner Jr.,Thomas E</v>
          </cell>
          <cell r="C1515">
            <v>40.229999999999997</v>
          </cell>
        </row>
        <row r="1516">
          <cell r="B1516" t="str">
            <v>Strayer,Shaun Vincent</v>
          </cell>
          <cell r="C1516">
            <v>28.64</v>
          </cell>
        </row>
        <row r="1517">
          <cell r="B1517" t="str">
            <v>Couick,Thomas J.</v>
          </cell>
          <cell r="C1517">
            <v>38.58</v>
          </cell>
        </row>
        <row r="1518">
          <cell r="B1518" t="str">
            <v>Smith,Douglas A</v>
          </cell>
          <cell r="C1518">
            <v>40.01</v>
          </cell>
        </row>
        <row r="1519">
          <cell r="B1519" t="str">
            <v>Martin,Felix</v>
          </cell>
          <cell r="C1519">
            <v>50.7</v>
          </cell>
        </row>
        <row r="1520">
          <cell r="B1520" t="str">
            <v>Hardman,Kurtis B</v>
          </cell>
          <cell r="C1520">
            <v>31.25</v>
          </cell>
        </row>
        <row r="1521">
          <cell r="B1521" t="str">
            <v>Mitchell,David S.</v>
          </cell>
          <cell r="C1521">
            <v>23.27</v>
          </cell>
        </row>
        <row r="1522">
          <cell r="B1522" t="str">
            <v>Stubbs,Gary P.</v>
          </cell>
          <cell r="C1522">
            <v>37.630000000000003</v>
          </cell>
        </row>
        <row r="1523">
          <cell r="B1523" t="str">
            <v>Toro,Radames</v>
          </cell>
          <cell r="C1523">
            <v>79.41</v>
          </cell>
        </row>
        <row r="1524">
          <cell r="B1524" t="str">
            <v>Allen,Tony C</v>
          </cell>
          <cell r="C1524">
            <v>47.68</v>
          </cell>
        </row>
        <row r="1525">
          <cell r="B1525" t="str">
            <v>Bezeredi,Katherine L</v>
          </cell>
          <cell r="C1525">
            <v>42.44</v>
          </cell>
        </row>
        <row r="1526">
          <cell r="B1526" t="str">
            <v>Leonard,Frank O</v>
          </cell>
          <cell r="C1526">
            <v>32.86</v>
          </cell>
        </row>
        <row r="1527">
          <cell r="B1527" t="str">
            <v>Woods,Aja D</v>
          </cell>
          <cell r="C1527">
            <v>53.02</v>
          </cell>
        </row>
        <row r="1528">
          <cell r="B1528" t="str">
            <v>Avendano,Lorene L</v>
          </cell>
          <cell r="C1528">
            <v>62.628599999999999</v>
          </cell>
        </row>
        <row r="1529">
          <cell r="B1529" t="str">
            <v>Reybrock,Nicholas W</v>
          </cell>
          <cell r="C1529">
            <v>70.611800000000002</v>
          </cell>
        </row>
        <row r="1530">
          <cell r="B1530" t="str">
            <v>Ries,Deann E</v>
          </cell>
          <cell r="C1530">
            <v>29.15</v>
          </cell>
        </row>
        <row r="1531">
          <cell r="B1531" t="str">
            <v>Viladegut,Vladimir</v>
          </cell>
          <cell r="C1531">
            <v>57.7</v>
          </cell>
        </row>
        <row r="1532">
          <cell r="B1532" t="str">
            <v>Bernal,Romeo B</v>
          </cell>
          <cell r="C1532">
            <v>32.58</v>
          </cell>
        </row>
        <row r="1533">
          <cell r="B1533" t="str">
            <v>Lee,Horace M</v>
          </cell>
          <cell r="C1533">
            <v>36.29</v>
          </cell>
        </row>
        <row r="1534">
          <cell r="B1534" t="str">
            <v>Santiago,Luis D.</v>
          </cell>
          <cell r="C1534">
            <v>39.72</v>
          </cell>
        </row>
        <row r="1535">
          <cell r="B1535" t="str">
            <v>Edwards,Derek A.</v>
          </cell>
          <cell r="C1535">
            <v>60.67</v>
          </cell>
        </row>
        <row r="1536">
          <cell r="B1536" t="str">
            <v>Naum,Jeff D</v>
          </cell>
          <cell r="C1536">
            <v>34</v>
          </cell>
        </row>
        <row r="1537">
          <cell r="B1537" t="str">
            <v>Reinhold,William F.</v>
          </cell>
          <cell r="C1537">
            <v>72.41</v>
          </cell>
        </row>
        <row r="1538">
          <cell r="B1538" t="str">
            <v>Jenkins,Tyrice E</v>
          </cell>
          <cell r="C1538">
            <v>38.200000000000003</v>
          </cell>
        </row>
        <row r="1539">
          <cell r="B1539" t="str">
            <v>Ashley,Mary V</v>
          </cell>
          <cell r="C1539">
            <v>20.99</v>
          </cell>
        </row>
        <row r="1540">
          <cell r="B1540" t="str">
            <v>Hoffman,Robert S</v>
          </cell>
          <cell r="C1540">
            <v>33.909999999999997</v>
          </cell>
        </row>
        <row r="1541">
          <cell r="B1541" t="str">
            <v>Kareski,Cynthia S</v>
          </cell>
          <cell r="C1541">
            <v>39.950000000000003</v>
          </cell>
        </row>
        <row r="1542">
          <cell r="B1542" t="str">
            <v>Collins,Michael Shon</v>
          </cell>
          <cell r="C1542">
            <v>31.46</v>
          </cell>
        </row>
        <row r="1543">
          <cell r="B1543" t="str">
            <v>Bachel,Bradley</v>
          </cell>
          <cell r="C1543">
            <v>28.24</v>
          </cell>
        </row>
        <row r="1544">
          <cell r="B1544" t="str">
            <v>Shumate,David S</v>
          </cell>
          <cell r="C1544">
            <v>30.62</v>
          </cell>
        </row>
        <row r="1545">
          <cell r="B1545" t="str">
            <v>Farkas,Nicholas M</v>
          </cell>
          <cell r="C1545">
            <v>33.58</v>
          </cell>
        </row>
        <row r="1546">
          <cell r="B1546" t="str">
            <v>Bateman,Ronald B</v>
          </cell>
          <cell r="C1546">
            <v>53.81</v>
          </cell>
        </row>
        <row r="1547">
          <cell r="B1547" t="str">
            <v>Bell,Jackie R</v>
          </cell>
          <cell r="C1547">
            <v>48.83</v>
          </cell>
        </row>
        <row r="1548">
          <cell r="B1548" t="str">
            <v>Boyd,Robert J</v>
          </cell>
          <cell r="C1548">
            <v>122.1561</v>
          </cell>
        </row>
        <row r="1549">
          <cell r="B1549" t="str">
            <v>Smith,John T</v>
          </cell>
          <cell r="C1549">
            <v>111.42</v>
          </cell>
        </row>
        <row r="1550">
          <cell r="B1550" t="str">
            <v>Nozares,Mark A</v>
          </cell>
          <cell r="C1550">
            <v>20.22</v>
          </cell>
        </row>
        <row r="1551">
          <cell r="B1551" t="str">
            <v>Yonker,Danielle R</v>
          </cell>
          <cell r="C1551">
            <v>32.700000000000003</v>
          </cell>
        </row>
        <row r="1552">
          <cell r="B1552" t="str">
            <v>Spencer,James W</v>
          </cell>
          <cell r="C1552">
            <v>29.57</v>
          </cell>
        </row>
        <row r="1553">
          <cell r="B1553" t="str">
            <v>Payne,Jerome C</v>
          </cell>
          <cell r="C1553">
            <v>34.32</v>
          </cell>
        </row>
        <row r="1554">
          <cell r="B1554" t="str">
            <v>Ramos,Francisco</v>
          </cell>
          <cell r="C1554">
            <v>44.07</v>
          </cell>
        </row>
        <row r="1555">
          <cell r="B1555" t="str">
            <v>Melton,Jeremy L</v>
          </cell>
          <cell r="C1555">
            <v>30.6</v>
          </cell>
        </row>
        <row r="1556">
          <cell r="B1556" t="str">
            <v>Turk,James C.</v>
          </cell>
          <cell r="C1556">
            <v>42.15</v>
          </cell>
        </row>
        <row r="1557">
          <cell r="B1557" t="str">
            <v>Rives,Virginia E</v>
          </cell>
          <cell r="C1557">
            <v>24.02</v>
          </cell>
        </row>
        <row r="1558">
          <cell r="B1558" t="str">
            <v>Pendleton,Scott L.</v>
          </cell>
          <cell r="C1558">
            <v>56.89</v>
          </cell>
        </row>
        <row r="1559">
          <cell r="B1559" t="str">
            <v>Posey,Justin B.</v>
          </cell>
          <cell r="C1559">
            <v>29.09</v>
          </cell>
        </row>
        <row r="1560">
          <cell r="B1560" t="str">
            <v>Guy,Jeffrey J</v>
          </cell>
          <cell r="C1560">
            <v>69.72</v>
          </cell>
        </row>
        <row r="1561">
          <cell r="B1561" t="str">
            <v>Fehl,Suzanne L.</v>
          </cell>
          <cell r="C1561">
            <v>40.17</v>
          </cell>
        </row>
        <row r="1562">
          <cell r="B1562" t="str">
            <v>Rumsey,David A.</v>
          </cell>
          <cell r="C1562">
            <v>23.93</v>
          </cell>
        </row>
        <row r="1563">
          <cell r="B1563" t="str">
            <v>Matsuoka,Alan Y</v>
          </cell>
          <cell r="C1563">
            <v>47.19</v>
          </cell>
        </row>
        <row r="1564">
          <cell r="B1564" t="str">
            <v>Pearlman,Aaron L.</v>
          </cell>
          <cell r="C1564">
            <v>44.27</v>
          </cell>
        </row>
        <row r="1565">
          <cell r="B1565" t="str">
            <v>Marner,Stacey A</v>
          </cell>
          <cell r="C1565">
            <v>26.65</v>
          </cell>
        </row>
        <row r="1566">
          <cell r="B1566" t="str">
            <v>Vallez,Rudy</v>
          </cell>
          <cell r="C1566">
            <v>30.24</v>
          </cell>
        </row>
        <row r="1567">
          <cell r="B1567" t="str">
            <v>Duke,Gary L.</v>
          </cell>
          <cell r="C1567">
            <v>24.9</v>
          </cell>
        </row>
        <row r="1568">
          <cell r="B1568" t="str">
            <v>Parnell,Margo L</v>
          </cell>
          <cell r="C1568">
            <v>23.5</v>
          </cell>
        </row>
        <row r="1569">
          <cell r="B1569" t="str">
            <v>Van Meter,Jonathan K</v>
          </cell>
          <cell r="C1569">
            <v>52.76</v>
          </cell>
        </row>
        <row r="1570">
          <cell r="B1570" t="str">
            <v>Eyres,Dean A</v>
          </cell>
          <cell r="C1570">
            <v>69.760000000000005</v>
          </cell>
        </row>
        <row r="1571">
          <cell r="B1571" t="str">
            <v>Gallagher,Diane V.</v>
          </cell>
          <cell r="C1571">
            <v>64.63</v>
          </cell>
        </row>
        <row r="1572">
          <cell r="B1572" t="str">
            <v>Rigopoulos,Mark A.</v>
          </cell>
          <cell r="C1572">
            <v>57.11</v>
          </cell>
        </row>
        <row r="1573">
          <cell r="B1573" t="str">
            <v>Johnson,Larry A.</v>
          </cell>
          <cell r="C1573">
            <v>60.62</v>
          </cell>
        </row>
        <row r="1574">
          <cell r="B1574" t="str">
            <v>Smith,Michael Eugene</v>
          </cell>
          <cell r="C1574">
            <v>22.59</v>
          </cell>
        </row>
        <row r="1575">
          <cell r="B1575" t="str">
            <v>Lake,Evangeline S</v>
          </cell>
          <cell r="C1575">
            <v>25.55</v>
          </cell>
        </row>
        <row r="1576">
          <cell r="B1576" t="str">
            <v>Holmes,Christopher M</v>
          </cell>
          <cell r="C1576">
            <v>67.510000000000005</v>
          </cell>
        </row>
        <row r="1577">
          <cell r="B1577" t="str">
            <v>Tahiliani,Babita</v>
          </cell>
          <cell r="C1577">
            <v>26.45</v>
          </cell>
        </row>
        <row r="1578">
          <cell r="B1578" t="str">
            <v>Scott,Michael L</v>
          </cell>
          <cell r="C1578">
            <v>28.51</v>
          </cell>
        </row>
        <row r="1579">
          <cell r="B1579" t="str">
            <v>Walton,Sheryl A.</v>
          </cell>
          <cell r="C1579">
            <v>42.38</v>
          </cell>
        </row>
        <row r="1580">
          <cell r="B1580" t="str">
            <v>Barbachano,Ruben</v>
          </cell>
          <cell r="C1580">
            <v>30.31</v>
          </cell>
        </row>
        <row r="1581">
          <cell r="B1581" t="str">
            <v>Coleman Jr.,Ronald L</v>
          </cell>
          <cell r="C1581">
            <v>17.84</v>
          </cell>
        </row>
        <row r="1582">
          <cell r="B1582" t="str">
            <v>Perez,Esther I</v>
          </cell>
          <cell r="C1582">
            <v>18.95</v>
          </cell>
        </row>
        <row r="1583">
          <cell r="B1583" t="str">
            <v>Spry,Joseph J</v>
          </cell>
          <cell r="C1583">
            <v>47.37</v>
          </cell>
        </row>
        <row r="1584">
          <cell r="B1584" t="str">
            <v>Crosby,Betty S</v>
          </cell>
          <cell r="C1584">
            <v>17.13</v>
          </cell>
        </row>
        <row r="1585">
          <cell r="B1585" t="str">
            <v>Steed,Sherrill C</v>
          </cell>
          <cell r="C1585">
            <v>56.36</v>
          </cell>
        </row>
        <row r="1586">
          <cell r="B1586" t="str">
            <v>Liban,Gregory A</v>
          </cell>
          <cell r="C1586">
            <v>28.7</v>
          </cell>
        </row>
        <row r="1587">
          <cell r="B1587" t="str">
            <v>Carter,Marvin E.</v>
          </cell>
          <cell r="C1587">
            <v>42.16</v>
          </cell>
        </row>
        <row r="1588">
          <cell r="B1588" t="str">
            <v>Carrion,Jorge D</v>
          </cell>
          <cell r="C1588">
            <v>34.86</v>
          </cell>
        </row>
        <row r="1589">
          <cell r="B1589" t="str">
            <v>Dolle,Deborah J</v>
          </cell>
          <cell r="C1589">
            <v>32.83</v>
          </cell>
        </row>
        <row r="1590">
          <cell r="B1590" t="str">
            <v>Crabtree,Gregory W</v>
          </cell>
          <cell r="C1590">
            <v>67.87</v>
          </cell>
        </row>
        <row r="1591">
          <cell r="B1591" t="str">
            <v>Stocker,Cheree A</v>
          </cell>
          <cell r="C1591">
            <v>41.82</v>
          </cell>
        </row>
        <row r="1592">
          <cell r="B1592" t="str">
            <v>Monaghan,Gregory F.</v>
          </cell>
          <cell r="C1592">
            <v>80.239999999999995</v>
          </cell>
        </row>
        <row r="1593">
          <cell r="B1593" t="str">
            <v>Crook,James F</v>
          </cell>
          <cell r="C1593">
            <v>20</v>
          </cell>
        </row>
        <row r="1594">
          <cell r="B1594" t="str">
            <v>Middleton,Derrick J</v>
          </cell>
          <cell r="C1594">
            <v>16.22</v>
          </cell>
        </row>
        <row r="1595">
          <cell r="B1595" t="str">
            <v>Davis,Paul L</v>
          </cell>
          <cell r="C1595">
            <v>18.78</v>
          </cell>
        </row>
        <row r="1596">
          <cell r="B1596" t="str">
            <v>Hinson,Jamie A</v>
          </cell>
          <cell r="C1596">
            <v>35.47</v>
          </cell>
        </row>
        <row r="1597">
          <cell r="B1597" t="str">
            <v>Bishop,James A</v>
          </cell>
          <cell r="C1597">
            <v>39.67</v>
          </cell>
        </row>
        <row r="1598">
          <cell r="B1598" t="str">
            <v>Soto,Juan B.</v>
          </cell>
          <cell r="C1598">
            <v>49.66</v>
          </cell>
        </row>
        <row r="1599">
          <cell r="B1599" t="str">
            <v>Meadows,David R</v>
          </cell>
          <cell r="C1599">
            <v>30.5</v>
          </cell>
        </row>
        <row r="1600">
          <cell r="B1600" t="str">
            <v>Dodson,Leon J</v>
          </cell>
          <cell r="C1600">
            <v>19</v>
          </cell>
        </row>
        <row r="1601">
          <cell r="B1601" t="str">
            <v>Rabinovitch,Marina</v>
          </cell>
          <cell r="C1601">
            <v>25.49</v>
          </cell>
        </row>
        <row r="1602">
          <cell r="B1602" t="str">
            <v>Branch,Gwen M</v>
          </cell>
          <cell r="C1602">
            <v>42.56</v>
          </cell>
        </row>
        <row r="1603">
          <cell r="B1603" t="str">
            <v>Causey,Dwayne R</v>
          </cell>
          <cell r="C1603">
            <v>25.5</v>
          </cell>
        </row>
        <row r="1604">
          <cell r="B1604" t="str">
            <v>Warrell,Virginia L.</v>
          </cell>
          <cell r="C1604">
            <v>39.19</v>
          </cell>
        </row>
        <row r="1605">
          <cell r="B1605" t="str">
            <v>Holstrom,Patrick Bruce</v>
          </cell>
          <cell r="C1605">
            <v>33.68</v>
          </cell>
        </row>
        <row r="1606">
          <cell r="B1606" t="str">
            <v>Davis,Jeffrey B.</v>
          </cell>
          <cell r="C1606">
            <v>40.799999999999997</v>
          </cell>
        </row>
        <row r="1607">
          <cell r="B1607" t="str">
            <v>Palmer,Rolf S</v>
          </cell>
          <cell r="C1607">
            <v>87.95</v>
          </cell>
        </row>
        <row r="1608">
          <cell r="B1608" t="str">
            <v>Friedenberger,Edward T</v>
          </cell>
          <cell r="C1608">
            <v>20.73</v>
          </cell>
        </row>
        <row r="1609">
          <cell r="B1609" t="str">
            <v>Garza III,Esteban S.</v>
          </cell>
          <cell r="C1609">
            <v>23.79</v>
          </cell>
        </row>
        <row r="1610">
          <cell r="B1610" t="str">
            <v>Uhlig,Maynard M</v>
          </cell>
          <cell r="C1610">
            <v>36.090000000000003</v>
          </cell>
        </row>
        <row r="1611">
          <cell r="B1611" t="str">
            <v>Irvin,Janet G</v>
          </cell>
          <cell r="C1611">
            <v>73.599999999999994</v>
          </cell>
        </row>
        <row r="1612">
          <cell r="B1612" t="str">
            <v>Alleva,Amy V</v>
          </cell>
          <cell r="C1612">
            <v>54.76</v>
          </cell>
        </row>
        <row r="1613">
          <cell r="B1613" t="str">
            <v>Cunningham,Larry J</v>
          </cell>
          <cell r="C1613">
            <v>23.89</v>
          </cell>
        </row>
        <row r="1614">
          <cell r="B1614" t="str">
            <v>Campbell,Ross O</v>
          </cell>
          <cell r="C1614">
            <v>45.61</v>
          </cell>
        </row>
        <row r="1615">
          <cell r="B1615" t="str">
            <v>Gorecki,Donette P</v>
          </cell>
          <cell r="C1615">
            <v>73.8</v>
          </cell>
        </row>
        <row r="1616">
          <cell r="B1616" t="str">
            <v>Moschette,Deanna M.</v>
          </cell>
          <cell r="C1616">
            <v>38.770000000000003</v>
          </cell>
        </row>
        <row r="1617">
          <cell r="B1617" t="str">
            <v>Hagans,Jamil V</v>
          </cell>
          <cell r="C1617">
            <v>28.36</v>
          </cell>
        </row>
        <row r="1618">
          <cell r="B1618" t="str">
            <v>Snow,Lawrence L</v>
          </cell>
          <cell r="C1618">
            <v>47.33</v>
          </cell>
        </row>
        <row r="1619">
          <cell r="B1619" t="str">
            <v>Hunley,Brandon S</v>
          </cell>
          <cell r="C1619">
            <v>57.7</v>
          </cell>
        </row>
        <row r="1620">
          <cell r="B1620" t="str">
            <v>Woods,Troy R.</v>
          </cell>
          <cell r="C1620">
            <v>39.74</v>
          </cell>
        </row>
        <row r="1621">
          <cell r="B1621" t="str">
            <v>Lysaght,Lorelei F</v>
          </cell>
          <cell r="C1621">
            <v>35.32</v>
          </cell>
        </row>
        <row r="1622">
          <cell r="B1622" t="str">
            <v>Mays Sr.,Derrick C</v>
          </cell>
          <cell r="C1622">
            <v>26.05</v>
          </cell>
        </row>
        <row r="1623">
          <cell r="B1623" t="str">
            <v>Stewart,Sherman M</v>
          </cell>
          <cell r="C1623">
            <v>20.05</v>
          </cell>
        </row>
        <row r="1624">
          <cell r="B1624" t="str">
            <v>Bethel,John S</v>
          </cell>
          <cell r="C1624">
            <v>23.8</v>
          </cell>
        </row>
        <row r="1625">
          <cell r="B1625" t="str">
            <v>Brower,Karl F.</v>
          </cell>
          <cell r="C1625">
            <v>61.35</v>
          </cell>
        </row>
        <row r="1626">
          <cell r="B1626" t="str">
            <v>Campbell,William J</v>
          </cell>
          <cell r="C1626">
            <v>29.77</v>
          </cell>
        </row>
        <row r="1627">
          <cell r="B1627" t="str">
            <v>Sullivan,W Patrick</v>
          </cell>
          <cell r="C1627">
            <v>34.17</v>
          </cell>
        </row>
        <row r="1628">
          <cell r="B1628" t="str">
            <v>Williams,James I</v>
          </cell>
          <cell r="C1628">
            <v>22.55</v>
          </cell>
        </row>
        <row r="1629">
          <cell r="B1629" t="str">
            <v>Sommer,Susan P</v>
          </cell>
          <cell r="C1629">
            <v>34.86</v>
          </cell>
        </row>
        <row r="1630">
          <cell r="B1630" t="str">
            <v>White,Michael G</v>
          </cell>
          <cell r="C1630">
            <v>20.91</v>
          </cell>
        </row>
        <row r="1631">
          <cell r="B1631" t="str">
            <v>Yohman,Timothy J</v>
          </cell>
          <cell r="C1631">
            <v>27.73</v>
          </cell>
        </row>
        <row r="1632">
          <cell r="B1632" t="str">
            <v>St. John,Akita R</v>
          </cell>
          <cell r="C1632">
            <v>17.48</v>
          </cell>
        </row>
        <row r="1633">
          <cell r="B1633" t="str">
            <v>Washam,David R.</v>
          </cell>
          <cell r="C1633">
            <v>26.01</v>
          </cell>
        </row>
        <row r="1634">
          <cell r="B1634" t="str">
            <v>Tibbetts,Wendy R</v>
          </cell>
          <cell r="C1634">
            <v>34.950000000000003</v>
          </cell>
        </row>
        <row r="1635">
          <cell r="B1635" t="str">
            <v>Strohmeyer,Troy</v>
          </cell>
          <cell r="C1635">
            <v>43.79</v>
          </cell>
        </row>
        <row r="1636">
          <cell r="B1636" t="str">
            <v>Soliz,Phillip J</v>
          </cell>
          <cell r="C1636">
            <v>47.37</v>
          </cell>
        </row>
        <row r="1637">
          <cell r="B1637" t="str">
            <v>Devers,Glen R</v>
          </cell>
          <cell r="C1637">
            <v>33.06</v>
          </cell>
        </row>
        <row r="1638">
          <cell r="B1638" t="str">
            <v>Hayes,Michael J</v>
          </cell>
          <cell r="C1638">
            <v>25.55</v>
          </cell>
        </row>
        <row r="1639">
          <cell r="B1639" t="str">
            <v>Mitchell,Bret H</v>
          </cell>
          <cell r="C1639">
            <v>38.53</v>
          </cell>
        </row>
        <row r="1640">
          <cell r="B1640" t="str">
            <v>Benton,Antoinette G</v>
          </cell>
          <cell r="C1640">
            <v>42.52</v>
          </cell>
        </row>
        <row r="1641">
          <cell r="B1641" t="str">
            <v>Tobin,Jacqueline A</v>
          </cell>
          <cell r="C1641">
            <v>77.133799999999994</v>
          </cell>
        </row>
        <row r="1642">
          <cell r="B1642" t="str">
            <v>Swann,Sheri E</v>
          </cell>
          <cell r="C1642">
            <v>27.7</v>
          </cell>
        </row>
        <row r="1643">
          <cell r="B1643" t="str">
            <v>Callahan,Michael J</v>
          </cell>
          <cell r="C1643">
            <v>22.14</v>
          </cell>
        </row>
        <row r="1644">
          <cell r="B1644" t="str">
            <v>Kreul,Mary M</v>
          </cell>
          <cell r="C1644">
            <v>39.43</v>
          </cell>
        </row>
        <row r="1645">
          <cell r="B1645" t="str">
            <v>Cox,Richard R</v>
          </cell>
          <cell r="C1645">
            <v>26.59</v>
          </cell>
        </row>
        <row r="1646">
          <cell r="B1646" t="str">
            <v>Gallagher,Patrick M.</v>
          </cell>
          <cell r="C1646">
            <v>66.91</v>
          </cell>
        </row>
        <row r="1647">
          <cell r="B1647" t="str">
            <v>LePage,Gregory</v>
          </cell>
          <cell r="C1647">
            <v>39.9</v>
          </cell>
        </row>
        <row r="1648">
          <cell r="B1648" t="str">
            <v>Sharkey,Kathryn</v>
          </cell>
          <cell r="C1648">
            <v>39.4</v>
          </cell>
        </row>
        <row r="1649">
          <cell r="B1649" t="str">
            <v>Gilmore,Jerrold E</v>
          </cell>
          <cell r="C1649">
            <v>58.18</v>
          </cell>
        </row>
        <row r="1650">
          <cell r="B1650" t="str">
            <v>Rejon,Vincent T.</v>
          </cell>
          <cell r="C1650">
            <v>26.54</v>
          </cell>
        </row>
        <row r="1651">
          <cell r="B1651" t="str">
            <v>White Jr.,David E</v>
          </cell>
          <cell r="C1651">
            <v>22</v>
          </cell>
        </row>
        <row r="1652">
          <cell r="B1652" t="str">
            <v>Robertson,Timothy J</v>
          </cell>
          <cell r="C1652">
            <v>52.246400000000001</v>
          </cell>
        </row>
        <row r="1653">
          <cell r="B1653" t="str">
            <v>Zimmer,David A</v>
          </cell>
          <cell r="C1653">
            <v>57.743299999999998</v>
          </cell>
        </row>
        <row r="1654">
          <cell r="B1654" t="str">
            <v>Kane,Mark A</v>
          </cell>
          <cell r="C1654">
            <v>21.32</v>
          </cell>
        </row>
        <row r="1655">
          <cell r="B1655" t="str">
            <v>Preston,James D</v>
          </cell>
          <cell r="C1655">
            <v>19.86</v>
          </cell>
        </row>
        <row r="1656">
          <cell r="B1656" t="str">
            <v>Drummond,Kenneth E</v>
          </cell>
          <cell r="C1656">
            <v>31.97</v>
          </cell>
        </row>
        <row r="1657">
          <cell r="B1657" t="str">
            <v>Taylor,Walter L</v>
          </cell>
          <cell r="C1657">
            <v>39.65</v>
          </cell>
        </row>
        <row r="1658">
          <cell r="B1658" t="str">
            <v>Moloney,Timothy M</v>
          </cell>
          <cell r="C1658">
            <v>68.84</v>
          </cell>
        </row>
        <row r="1659">
          <cell r="B1659" t="str">
            <v>Smith,Charles W.</v>
          </cell>
          <cell r="C1659">
            <v>65.39</v>
          </cell>
        </row>
        <row r="1660">
          <cell r="B1660" t="str">
            <v>Brooks,Chris L</v>
          </cell>
          <cell r="C1660">
            <v>33.92</v>
          </cell>
        </row>
        <row r="1661">
          <cell r="B1661" t="str">
            <v>Meiser,Thomas A</v>
          </cell>
          <cell r="C1661">
            <v>41.82</v>
          </cell>
        </row>
        <row r="1662">
          <cell r="B1662" t="str">
            <v>Cole,Curtis E</v>
          </cell>
          <cell r="C1662">
            <v>20.07</v>
          </cell>
        </row>
        <row r="1663">
          <cell r="B1663" t="str">
            <v>Blancard,Stephen F</v>
          </cell>
          <cell r="C1663">
            <v>51.41</v>
          </cell>
        </row>
        <row r="1664">
          <cell r="B1664" t="str">
            <v>Cecil,Darius G</v>
          </cell>
          <cell r="C1664">
            <v>24.96</v>
          </cell>
        </row>
        <row r="1665">
          <cell r="B1665" t="str">
            <v>Pipkin,Steven P</v>
          </cell>
          <cell r="C1665">
            <v>30.46</v>
          </cell>
        </row>
        <row r="1666">
          <cell r="B1666" t="str">
            <v>Makel,Andrinna D</v>
          </cell>
          <cell r="C1666">
            <v>24.9527</v>
          </cell>
        </row>
        <row r="1667">
          <cell r="B1667" t="str">
            <v>Massenburg,Peter M</v>
          </cell>
          <cell r="C1667">
            <v>22</v>
          </cell>
        </row>
        <row r="1668">
          <cell r="B1668" t="str">
            <v>Zaleski III,John P</v>
          </cell>
          <cell r="C1668">
            <v>28.71</v>
          </cell>
        </row>
        <row r="1669">
          <cell r="B1669" t="str">
            <v>Davis,John L</v>
          </cell>
          <cell r="C1669">
            <v>36.06</v>
          </cell>
        </row>
        <row r="1670">
          <cell r="B1670" t="str">
            <v>Degarmo,Teresa M</v>
          </cell>
          <cell r="C1670">
            <v>25.43</v>
          </cell>
        </row>
        <row r="1671">
          <cell r="B1671" t="str">
            <v>Soughers,Daniel V</v>
          </cell>
          <cell r="C1671">
            <v>55.21</v>
          </cell>
        </row>
        <row r="1672">
          <cell r="B1672" t="str">
            <v>Taylor,Tammy L</v>
          </cell>
          <cell r="C1672">
            <v>21.64</v>
          </cell>
        </row>
        <row r="1673">
          <cell r="B1673" t="str">
            <v>Myers,Jerry L</v>
          </cell>
          <cell r="C1673">
            <v>38.630000000000003</v>
          </cell>
        </row>
        <row r="1674">
          <cell r="B1674" t="str">
            <v>Saunders,Ricky J</v>
          </cell>
          <cell r="C1674">
            <v>40.69</v>
          </cell>
        </row>
        <row r="1675">
          <cell r="B1675" t="str">
            <v>Rivera,Carol A</v>
          </cell>
          <cell r="C1675">
            <v>39.75</v>
          </cell>
        </row>
        <row r="1676">
          <cell r="B1676" t="str">
            <v>Lewis,Ahmad</v>
          </cell>
          <cell r="C1676">
            <v>16.22</v>
          </cell>
        </row>
        <row r="1677">
          <cell r="B1677" t="str">
            <v>Christianson,Paul J</v>
          </cell>
          <cell r="C1677">
            <v>57.52</v>
          </cell>
        </row>
        <row r="1678">
          <cell r="B1678" t="str">
            <v>Nichols,Patrick A</v>
          </cell>
          <cell r="C1678">
            <v>40.119999999999997</v>
          </cell>
        </row>
        <row r="1679">
          <cell r="B1679" t="str">
            <v>Bell,Jacqueline Marie</v>
          </cell>
          <cell r="C1679">
            <v>28.75</v>
          </cell>
        </row>
        <row r="1680">
          <cell r="B1680" t="str">
            <v>Woods Sr,Robert M</v>
          </cell>
          <cell r="C1680">
            <v>42.54</v>
          </cell>
        </row>
        <row r="1681">
          <cell r="B1681" t="str">
            <v>Ruiz,Robert A</v>
          </cell>
          <cell r="C1681">
            <v>17.78</v>
          </cell>
        </row>
        <row r="1682">
          <cell r="B1682" t="str">
            <v>Woodard Jr.,Earl G</v>
          </cell>
          <cell r="C1682">
            <v>28.85</v>
          </cell>
        </row>
        <row r="1683">
          <cell r="B1683" t="str">
            <v>Sosa,Arthur J</v>
          </cell>
          <cell r="C1683">
            <v>50.38</v>
          </cell>
        </row>
        <row r="1684">
          <cell r="B1684" t="str">
            <v>Woods,Edward G</v>
          </cell>
          <cell r="C1684">
            <v>20.190000000000001</v>
          </cell>
        </row>
        <row r="1685">
          <cell r="B1685" t="str">
            <v>Walkowiak,William A</v>
          </cell>
          <cell r="C1685">
            <v>18.38</v>
          </cell>
        </row>
        <row r="1686">
          <cell r="B1686" t="str">
            <v>Grondzki,David J.</v>
          </cell>
          <cell r="C1686">
            <v>41.28</v>
          </cell>
        </row>
        <row r="1687">
          <cell r="B1687" t="str">
            <v>Bartlett,Stephen J</v>
          </cell>
          <cell r="C1687">
            <v>21</v>
          </cell>
        </row>
        <row r="1688">
          <cell r="B1688" t="str">
            <v>Look,Nicholas A</v>
          </cell>
          <cell r="C1688">
            <v>29.5</v>
          </cell>
        </row>
        <row r="1689">
          <cell r="B1689" t="str">
            <v>Barth,William M</v>
          </cell>
          <cell r="C1689">
            <v>50.58</v>
          </cell>
        </row>
        <row r="1690">
          <cell r="B1690" t="str">
            <v>Chase,Harlan C.</v>
          </cell>
          <cell r="C1690">
            <v>65.67</v>
          </cell>
        </row>
        <row r="1691">
          <cell r="B1691" t="str">
            <v>Russell,Sherry A</v>
          </cell>
          <cell r="C1691">
            <v>43.43</v>
          </cell>
        </row>
        <row r="1692">
          <cell r="B1692" t="str">
            <v>Vancisin,Thomas G</v>
          </cell>
          <cell r="C1692">
            <v>43.97</v>
          </cell>
        </row>
        <row r="1693">
          <cell r="B1693" t="str">
            <v>Cull,Brian S</v>
          </cell>
          <cell r="C1693">
            <v>20.91</v>
          </cell>
        </row>
        <row r="1694">
          <cell r="B1694" t="str">
            <v>Craig,William T</v>
          </cell>
          <cell r="C1694">
            <v>24.65</v>
          </cell>
        </row>
        <row r="1695">
          <cell r="B1695" t="str">
            <v>Moreno,Nicole S</v>
          </cell>
          <cell r="C1695">
            <v>23.24</v>
          </cell>
        </row>
        <row r="1696">
          <cell r="B1696" t="str">
            <v>Gilson,James W</v>
          </cell>
          <cell r="C1696">
            <v>32.74</v>
          </cell>
        </row>
        <row r="1697">
          <cell r="B1697" t="str">
            <v>Ball,Morgan L</v>
          </cell>
          <cell r="C1697">
            <v>30.484999999999999</v>
          </cell>
        </row>
        <row r="1698">
          <cell r="B1698" t="str">
            <v>McCumber,Shawn M.</v>
          </cell>
          <cell r="C1698">
            <v>33.64</v>
          </cell>
        </row>
        <row r="1699">
          <cell r="B1699" t="str">
            <v>Reid,Neville M</v>
          </cell>
          <cell r="C1699">
            <v>22.5</v>
          </cell>
        </row>
        <row r="1700">
          <cell r="B1700" t="str">
            <v>Lowe,Ronnie J</v>
          </cell>
          <cell r="C1700">
            <v>60.2</v>
          </cell>
        </row>
        <row r="1701">
          <cell r="B1701" t="str">
            <v>Lockley,Wayne T</v>
          </cell>
          <cell r="C1701">
            <v>57.65</v>
          </cell>
        </row>
        <row r="1702">
          <cell r="B1702" t="str">
            <v>Krawczyk,Carllise Y</v>
          </cell>
          <cell r="C1702">
            <v>47.39</v>
          </cell>
        </row>
        <row r="1703">
          <cell r="B1703" t="str">
            <v>Smith-Barry,David A</v>
          </cell>
          <cell r="C1703">
            <v>31.09</v>
          </cell>
        </row>
        <row r="1704">
          <cell r="B1704" t="str">
            <v>Reed,Justin A</v>
          </cell>
          <cell r="C1704">
            <v>24</v>
          </cell>
        </row>
        <row r="1705">
          <cell r="B1705" t="str">
            <v>Beaulieu,Sandra S</v>
          </cell>
          <cell r="C1705">
            <v>66.438000000000002</v>
          </cell>
        </row>
        <row r="1706">
          <cell r="B1706" t="str">
            <v>Padilla,Jason M</v>
          </cell>
          <cell r="C1706">
            <v>22.38</v>
          </cell>
        </row>
        <row r="1707">
          <cell r="B1707" t="str">
            <v>Terhune,Michael P</v>
          </cell>
          <cell r="C1707">
            <v>39.35</v>
          </cell>
        </row>
        <row r="1708">
          <cell r="B1708" t="str">
            <v>Rader,Jonathon P</v>
          </cell>
          <cell r="C1708">
            <v>30.87</v>
          </cell>
        </row>
        <row r="1709">
          <cell r="B1709" t="str">
            <v>NeSmith,Dale</v>
          </cell>
          <cell r="C1709">
            <v>20.2</v>
          </cell>
        </row>
        <row r="1710">
          <cell r="B1710" t="str">
            <v>Ammerman,Jon A</v>
          </cell>
          <cell r="C1710">
            <v>37.549999999999997</v>
          </cell>
        </row>
        <row r="1711">
          <cell r="B1711" t="str">
            <v>Furka,Joseph</v>
          </cell>
          <cell r="C1711">
            <v>20.91</v>
          </cell>
        </row>
        <row r="1712">
          <cell r="B1712" t="str">
            <v>Jordan,Akarra</v>
          </cell>
          <cell r="C1712">
            <v>20.34</v>
          </cell>
        </row>
        <row r="1713">
          <cell r="B1713" t="str">
            <v>Grubb III,David A</v>
          </cell>
          <cell r="C1713">
            <v>69.5</v>
          </cell>
        </row>
        <row r="1714">
          <cell r="B1714" t="str">
            <v>Blanks,Todd D</v>
          </cell>
          <cell r="C1714">
            <v>37.5</v>
          </cell>
        </row>
        <row r="1715">
          <cell r="B1715" t="str">
            <v>Bell,Eugene</v>
          </cell>
          <cell r="C1715">
            <v>28.34</v>
          </cell>
        </row>
        <row r="1716">
          <cell r="B1716" t="str">
            <v>Vassaur,Richard D</v>
          </cell>
          <cell r="C1716">
            <v>55.075899999999997</v>
          </cell>
        </row>
        <row r="1717">
          <cell r="B1717" t="str">
            <v>Shovely Jr,Hubert L</v>
          </cell>
          <cell r="C1717">
            <v>41.6</v>
          </cell>
        </row>
        <row r="1718">
          <cell r="B1718" t="str">
            <v>McKerroll,Todd W</v>
          </cell>
          <cell r="C1718">
            <v>20.79</v>
          </cell>
        </row>
        <row r="1719">
          <cell r="B1719" t="str">
            <v>Stewart,Rosario M.</v>
          </cell>
          <cell r="C1719">
            <v>22.16</v>
          </cell>
        </row>
        <row r="1720">
          <cell r="B1720" t="str">
            <v>Ortiz-Claudio,Tana</v>
          </cell>
          <cell r="C1720">
            <v>28.84</v>
          </cell>
        </row>
        <row r="1721">
          <cell r="B1721" t="str">
            <v>Claiborne Sr,Mark R.</v>
          </cell>
          <cell r="C1721">
            <v>55.41</v>
          </cell>
        </row>
        <row r="1722">
          <cell r="B1722" t="str">
            <v>Konopka,Crystal L.</v>
          </cell>
          <cell r="C1722">
            <v>42.63</v>
          </cell>
        </row>
        <row r="1723">
          <cell r="B1723" t="str">
            <v>Hopson,Sonya Y</v>
          </cell>
          <cell r="C1723">
            <v>64.490200000000002</v>
          </cell>
        </row>
        <row r="1724">
          <cell r="B1724" t="str">
            <v>Alleyne,Osbert R</v>
          </cell>
          <cell r="C1724">
            <v>21.32</v>
          </cell>
        </row>
        <row r="1725">
          <cell r="B1725" t="str">
            <v>Garces,Anna M</v>
          </cell>
          <cell r="C1725">
            <v>20.59</v>
          </cell>
        </row>
        <row r="1726">
          <cell r="B1726" t="str">
            <v>Hazlett Sr.,Thomas W</v>
          </cell>
          <cell r="C1726">
            <v>34.53</v>
          </cell>
        </row>
        <row r="1727">
          <cell r="B1727" t="str">
            <v>Galletta,Frank A</v>
          </cell>
          <cell r="C1727">
            <v>60.46</v>
          </cell>
        </row>
        <row r="1728">
          <cell r="B1728" t="str">
            <v>Pena,Martina A</v>
          </cell>
          <cell r="C1728">
            <v>19.5</v>
          </cell>
        </row>
        <row r="1729">
          <cell r="B1729" t="str">
            <v>Miller,Deborah L.</v>
          </cell>
          <cell r="C1729">
            <v>43.92</v>
          </cell>
        </row>
        <row r="1730">
          <cell r="B1730" t="str">
            <v>Ranalli,Raymond</v>
          </cell>
          <cell r="C1730">
            <v>32.5</v>
          </cell>
        </row>
        <row r="1731">
          <cell r="B1731" t="str">
            <v>Henderson,Monique R</v>
          </cell>
          <cell r="C1731">
            <v>17.89</v>
          </cell>
        </row>
        <row r="1732">
          <cell r="B1732" t="str">
            <v>Quinones,Guillermo</v>
          </cell>
          <cell r="C1732">
            <v>27.55</v>
          </cell>
        </row>
        <row r="1733">
          <cell r="B1733" t="str">
            <v>Roberts,Timothy K</v>
          </cell>
          <cell r="C1733">
            <v>44.6</v>
          </cell>
        </row>
        <row r="1734">
          <cell r="B1734" t="str">
            <v>Smith,Shirl D.</v>
          </cell>
          <cell r="C1734">
            <v>20</v>
          </cell>
        </row>
        <row r="1735">
          <cell r="B1735" t="str">
            <v>Mosley,Joshua L</v>
          </cell>
          <cell r="C1735">
            <v>54.08</v>
          </cell>
        </row>
        <row r="1736">
          <cell r="B1736" t="str">
            <v>West,Kevin S.</v>
          </cell>
          <cell r="C1736">
            <v>64</v>
          </cell>
        </row>
        <row r="1737">
          <cell r="B1737" t="str">
            <v>Mackanick,Rose M</v>
          </cell>
          <cell r="C1737">
            <v>26.37</v>
          </cell>
        </row>
        <row r="1738">
          <cell r="B1738" t="str">
            <v>Grove,Kelly B</v>
          </cell>
          <cell r="C1738">
            <v>41.43</v>
          </cell>
        </row>
        <row r="1739">
          <cell r="B1739" t="str">
            <v>Massey,Brent A</v>
          </cell>
          <cell r="C1739">
            <v>28.66</v>
          </cell>
        </row>
        <row r="1740">
          <cell r="B1740" t="str">
            <v>Bowen,Sandra</v>
          </cell>
          <cell r="C1740">
            <v>77.459999999999994</v>
          </cell>
        </row>
        <row r="1741">
          <cell r="B1741" t="str">
            <v>Holland,John E</v>
          </cell>
          <cell r="C1741">
            <v>20.55</v>
          </cell>
        </row>
        <row r="1742">
          <cell r="B1742" t="str">
            <v>Hatfield,Byron L</v>
          </cell>
          <cell r="C1742">
            <v>25</v>
          </cell>
        </row>
        <row r="1743">
          <cell r="B1743" t="str">
            <v>Cudd,David M</v>
          </cell>
          <cell r="C1743">
            <v>30.78</v>
          </cell>
        </row>
        <row r="1744">
          <cell r="B1744" t="str">
            <v>Fox,Terence J</v>
          </cell>
          <cell r="C1744">
            <v>32.83</v>
          </cell>
        </row>
        <row r="1745">
          <cell r="B1745" t="str">
            <v>Padron,Luis E</v>
          </cell>
          <cell r="C1745">
            <v>30.43</v>
          </cell>
        </row>
        <row r="1746">
          <cell r="B1746" t="str">
            <v>Meyers,Shirley J</v>
          </cell>
          <cell r="C1746">
            <v>46.66</v>
          </cell>
        </row>
        <row r="1747">
          <cell r="B1747" t="str">
            <v>Reis,James</v>
          </cell>
          <cell r="C1747">
            <v>51.92</v>
          </cell>
        </row>
        <row r="1748">
          <cell r="B1748" t="str">
            <v>Moore Jr.,James D</v>
          </cell>
          <cell r="C1748">
            <v>77.67</v>
          </cell>
        </row>
        <row r="1749">
          <cell r="B1749" t="str">
            <v>Bilokonsky,Wolodymer</v>
          </cell>
          <cell r="C1749">
            <v>30.24</v>
          </cell>
        </row>
        <row r="1750">
          <cell r="B1750" t="str">
            <v>Atkins,Shedrick</v>
          </cell>
          <cell r="C1750">
            <v>19.84</v>
          </cell>
        </row>
        <row r="1751">
          <cell r="B1751" t="str">
            <v>Geyster,Christopher R</v>
          </cell>
          <cell r="C1751">
            <v>68.599999999999994</v>
          </cell>
        </row>
        <row r="1752">
          <cell r="B1752" t="str">
            <v>Spurlock,David W</v>
          </cell>
          <cell r="C1752">
            <v>23.66</v>
          </cell>
        </row>
        <row r="1753">
          <cell r="B1753" t="str">
            <v>Fox,Edward J.</v>
          </cell>
          <cell r="C1753">
            <v>20.72</v>
          </cell>
        </row>
        <row r="1754">
          <cell r="B1754" t="str">
            <v>Bierman,Jeffrey H</v>
          </cell>
          <cell r="C1754">
            <v>35.39</v>
          </cell>
        </row>
        <row r="1755">
          <cell r="B1755" t="str">
            <v>Shealey,Carl L</v>
          </cell>
          <cell r="C1755">
            <v>20.7</v>
          </cell>
        </row>
        <row r="1756">
          <cell r="B1756" t="str">
            <v>Smith,Cynthia A</v>
          </cell>
          <cell r="C1756">
            <v>39.5</v>
          </cell>
        </row>
        <row r="1757">
          <cell r="B1757" t="str">
            <v>Dunay,Benjamin M</v>
          </cell>
          <cell r="C1757">
            <v>42.68</v>
          </cell>
        </row>
        <row r="1758">
          <cell r="B1758" t="str">
            <v>VanOort,Michael W</v>
          </cell>
          <cell r="C1758">
            <v>27.35</v>
          </cell>
        </row>
        <row r="1759">
          <cell r="B1759" t="str">
            <v>Cannon,Jackie L</v>
          </cell>
          <cell r="C1759">
            <v>22.5</v>
          </cell>
        </row>
        <row r="1760">
          <cell r="B1760" t="str">
            <v>Calvanese,Robert F.</v>
          </cell>
          <cell r="C1760">
            <v>38.57</v>
          </cell>
        </row>
        <row r="1761">
          <cell r="B1761" t="str">
            <v>Harris,Shirley J</v>
          </cell>
          <cell r="C1761">
            <v>48.95</v>
          </cell>
        </row>
        <row r="1762">
          <cell r="B1762" t="str">
            <v>Crowley,Christopher M</v>
          </cell>
          <cell r="C1762">
            <v>65.16</v>
          </cell>
        </row>
        <row r="1763">
          <cell r="B1763" t="str">
            <v>Hale,James R</v>
          </cell>
          <cell r="C1763">
            <v>47.003999999999998</v>
          </cell>
        </row>
        <row r="1764">
          <cell r="B1764" t="str">
            <v>Brooks,Matthew E</v>
          </cell>
          <cell r="C1764">
            <v>23.73</v>
          </cell>
        </row>
        <row r="1765">
          <cell r="B1765" t="str">
            <v>Foster III,James H.</v>
          </cell>
          <cell r="C1765">
            <v>28</v>
          </cell>
        </row>
        <row r="1766">
          <cell r="B1766" t="str">
            <v>Sancher III,Abraham H.</v>
          </cell>
          <cell r="C1766">
            <v>46.15</v>
          </cell>
        </row>
        <row r="1767">
          <cell r="B1767" t="str">
            <v>Wedemeyer,Bradley T.</v>
          </cell>
          <cell r="C1767">
            <v>67.319999999999993</v>
          </cell>
        </row>
        <row r="1768">
          <cell r="B1768" t="str">
            <v>Fischer,Julian A.</v>
          </cell>
          <cell r="C1768">
            <v>24.51</v>
          </cell>
        </row>
        <row r="1769">
          <cell r="B1769" t="str">
            <v>O'Connor,Rosemary M</v>
          </cell>
          <cell r="C1769">
            <v>79.34</v>
          </cell>
        </row>
        <row r="1770">
          <cell r="B1770" t="str">
            <v>Kiser,Chris A</v>
          </cell>
          <cell r="C1770">
            <v>19.72</v>
          </cell>
        </row>
        <row r="1771">
          <cell r="B1771" t="str">
            <v>Kubal,Phillip A</v>
          </cell>
          <cell r="C1771">
            <v>36.619999999999997</v>
          </cell>
        </row>
        <row r="1772">
          <cell r="B1772" t="str">
            <v>Martin,Cynthia M</v>
          </cell>
          <cell r="C1772">
            <v>36.06</v>
          </cell>
        </row>
        <row r="1773">
          <cell r="B1773" t="str">
            <v>Fortunato,Steve</v>
          </cell>
          <cell r="C1773">
            <v>35.19</v>
          </cell>
        </row>
        <row r="1774">
          <cell r="B1774" t="str">
            <v>Zamorski,James S</v>
          </cell>
          <cell r="C1774">
            <v>47.06</v>
          </cell>
        </row>
        <row r="1775">
          <cell r="B1775" t="str">
            <v>Vix,Grant A</v>
          </cell>
          <cell r="C1775">
            <v>70.72</v>
          </cell>
        </row>
        <row r="1776">
          <cell r="B1776" t="str">
            <v>Albanese,Wes A</v>
          </cell>
          <cell r="C1776">
            <v>20.86</v>
          </cell>
        </row>
        <row r="1777">
          <cell r="B1777" t="str">
            <v>Burton Sr.,Thomas C</v>
          </cell>
          <cell r="C1777">
            <v>21.65</v>
          </cell>
        </row>
        <row r="1778">
          <cell r="B1778" t="str">
            <v>Kirby,John M</v>
          </cell>
          <cell r="C1778">
            <v>64.430000000000007</v>
          </cell>
        </row>
        <row r="1779">
          <cell r="B1779" t="str">
            <v>Cosentino,Cheryl</v>
          </cell>
          <cell r="C1779">
            <v>26.89</v>
          </cell>
        </row>
        <row r="1780">
          <cell r="B1780" t="str">
            <v>Bales Jr.,John Z</v>
          </cell>
          <cell r="C1780">
            <v>17.5</v>
          </cell>
        </row>
        <row r="1781">
          <cell r="B1781" t="str">
            <v>Rohrbacher,Mark</v>
          </cell>
          <cell r="C1781">
            <v>16.809999999999999</v>
          </cell>
        </row>
        <row r="1782">
          <cell r="B1782" t="str">
            <v>Baird,Tonya M</v>
          </cell>
          <cell r="C1782">
            <v>31.785299999999999</v>
          </cell>
        </row>
        <row r="1783">
          <cell r="B1783" t="str">
            <v>McMillian,William H</v>
          </cell>
          <cell r="C1783">
            <v>33.5</v>
          </cell>
        </row>
        <row r="1784">
          <cell r="B1784" t="str">
            <v>Underhill,Anthony M</v>
          </cell>
          <cell r="C1784">
            <v>49.253900000000002</v>
          </cell>
        </row>
        <row r="1785">
          <cell r="B1785" t="str">
            <v>Westfall,Scott W</v>
          </cell>
          <cell r="C1785">
            <v>62.426600000000001</v>
          </cell>
        </row>
        <row r="1786">
          <cell r="B1786" t="str">
            <v>Holmes,Michael A.</v>
          </cell>
          <cell r="C1786">
            <v>34.82</v>
          </cell>
        </row>
        <row r="1787">
          <cell r="B1787" t="str">
            <v>O'Dell,Scott E</v>
          </cell>
          <cell r="C1787">
            <v>24.18</v>
          </cell>
        </row>
        <row r="1788">
          <cell r="B1788" t="str">
            <v>Helm Jr.,Paul R</v>
          </cell>
          <cell r="C1788">
            <v>46.64</v>
          </cell>
        </row>
        <row r="1789">
          <cell r="B1789" t="str">
            <v>Yantz,David R.</v>
          </cell>
          <cell r="C1789">
            <v>58.66</v>
          </cell>
        </row>
        <row r="1790">
          <cell r="B1790" t="str">
            <v>Zamberlan,Mark</v>
          </cell>
          <cell r="C1790">
            <v>42.317599999999999</v>
          </cell>
        </row>
        <row r="1791">
          <cell r="B1791" t="str">
            <v>Walters,Kenneth J</v>
          </cell>
          <cell r="C1791">
            <v>52.5</v>
          </cell>
        </row>
        <row r="1792">
          <cell r="B1792" t="str">
            <v>McKenzie,Eileen J</v>
          </cell>
          <cell r="C1792">
            <v>28.8462</v>
          </cell>
        </row>
        <row r="1793">
          <cell r="B1793" t="str">
            <v>Porch,Dexter T</v>
          </cell>
          <cell r="C1793">
            <v>15.32</v>
          </cell>
        </row>
        <row r="1794">
          <cell r="B1794" t="str">
            <v>Eggemeyer,Jacob H</v>
          </cell>
          <cell r="C1794">
            <v>28.3</v>
          </cell>
        </row>
        <row r="1795">
          <cell r="B1795" t="str">
            <v>Lopshire,David L</v>
          </cell>
          <cell r="C1795">
            <v>23.69</v>
          </cell>
        </row>
        <row r="1796">
          <cell r="B1796" t="str">
            <v>Webber,Christopher B</v>
          </cell>
          <cell r="C1796">
            <v>52.43</v>
          </cell>
        </row>
        <row r="1797">
          <cell r="B1797" t="str">
            <v>Smith,Gordon C</v>
          </cell>
          <cell r="C1797">
            <v>20.149999999999999</v>
          </cell>
        </row>
        <row r="1798">
          <cell r="B1798" t="str">
            <v>Esplana Jr.,Gil F</v>
          </cell>
          <cell r="C1798">
            <v>21.74</v>
          </cell>
        </row>
        <row r="1799">
          <cell r="B1799" t="str">
            <v>Kramer-Noren,Shawn</v>
          </cell>
          <cell r="C1799">
            <v>19.149999999999999</v>
          </cell>
        </row>
        <row r="1800">
          <cell r="B1800" t="str">
            <v>Townsend,April L</v>
          </cell>
          <cell r="C1800">
            <v>20.74</v>
          </cell>
        </row>
        <row r="1801">
          <cell r="B1801" t="str">
            <v>Douglas,Robert J</v>
          </cell>
          <cell r="C1801">
            <v>69.64</v>
          </cell>
        </row>
        <row r="1802">
          <cell r="B1802" t="str">
            <v>Hopkins,Robert G</v>
          </cell>
          <cell r="C1802">
            <v>45.866199999999999</v>
          </cell>
        </row>
        <row r="1803">
          <cell r="B1803" t="str">
            <v>Alexander,Jeffrey P</v>
          </cell>
          <cell r="C1803">
            <v>20.059999999999999</v>
          </cell>
        </row>
        <row r="1804">
          <cell r="B1804" t="str">
            <v>Ronco,Samuel P</v>
          </cell>
          <cell r="C1804">
            <v>20.6</v>
          </cell>
        </row>
        <row r="1805">
          <cell r="B1805" t="str">
            <v>Holley,Diedra A</v>
          </cell>
          <cell r="C1805">
            <v>17.23</v>
          </cell>
        </row>
        <row r="1806">
          <cell r="B1806" t="str">
            <v>Wright,Paul</v>
          </cell>
          <cell r="C1806">
            <v>21.88</v>
          </cell>
        </row>
        <row r="1807">
          <cell r="B1807" t="str">
            <v>Jones,Alan W.</v>
          </cell>
          <cell r="C1807">
            <v>64.819999999999993</v>
          </cell>
        </row>
        <row r="1808">
          <cell r="B1808" t="str">
            <v>Manuel,Demetrius</v>
          </cell>
          <cell r="C1808">
            <v>37.96</v>
          </cell>
        </row>
        <row r="1809">
          <cell r="B1809" t="str">
            <v>Caswell,Randy L</v>
          </cell>
          <cell r="C1809">
            <v>25.55</v>
          </cell>
        </row>
        <row r="1810">
          <cell r="B1810" t="str">
            <v>Fields,Donald B</v>
          </cell>
          <cell r="C1810">
            <v>23.8276</v>
          </cell>
        </row>
        <row r="1811">
          <cell r="B1811" t="str">
            <v>Nelson,Michael A</v>
          </cell>
          <cell r="C1811">
            <v>23.030799999999999</v>
          </cell>
        </row>
        <row r="1812">
          <cell r="B1812" t="str">
            <v>Filz,Warren O</v>
          </cell>
          <cell r="C1812">
            <v>65.22</v>
          </cell>
        </row>
        <row r="1813">
          <cell r="B1813" t="str">
            <v>Gusha,Charles M</v>
          </cell>
          <cell r="C1813">
            <v>51.46</v>
          </cell>
        </row>
        <row r="1814">
          <cell r="B1814" t="str">
            <v>Doty,Douglas L</v>
          </cell>
          <cell r="C1814">
            <v>33.08</v>
          </cell>
        </row>
        <row r="1815">
          <cell r="B1815" t="str">
            <v>Jones,David A</v>
          </cell>
          <cell r="C1815">
            <v>41.57</v>
          </cell>
        </row>
        <row r="1816">
          <cell r="B1816" t="str">
            <v>Owens,Thomas L</v>
          </cell>
          <cell r="C1816">
            <v>35.479999999999997</v>
          </cell>
        </row>
        <row r="1817">
          <cell r="B1817" t="str">
            <v>Gonzales,Larry L</v>
          </cell>
          <cell r="C1817">
            <v>23.68</v>
          </cell>
        </row>
        <row r="1818">
          <cell r="B1818" t="str">
            <v>Bauman,Lonnie J</v>
          </cell>
          <cell r="C1818">
            <v>25.14</v>
          </cell>
        </row>
        <row r="1819">
          <cell r="B1819" t="str">
            <v>Espinosa,Ben Q</v>
          </cell>
          <cell r="C1819">
            <v>20.2</v>
          </cell>
        </row>
        <row r="1820">
          <cell r="B1820" t="str">
            <v>Councell,Thomas R.</v>
          </cell>
          <cell r="C1820">
            <v>72.12</v>
          </cell>
        </row>
        <row r="1821">
          <cell r="B1821" t="str">
            <v>Morgan,Timothy A</v>
          </cell>
          <cell r="C1821">
            <v>42.07</v>
          </cell>
        </row>
        <row r="1822">
          <cell r="B1822" t="str">
            <v>Emery,Michael R</v>
          </cell>
          <cell r="C1822">
            <v>41.2</v>
          </cell>
        </row>
        <row r="1823">
          <cell r="B1823" t="str">
            <v>Edwards,Brian S.</v>
          </cell>
          <cell r="C1823">
            <v>24.44</v>
          </cell>
        </row>
        <row r="1824">
          <cell r="B1824" t="str">
            <v>Altman,Lottie C.</v>
          </cell>
          <cell r="C1824">
            <v>23.07</v>
          </cell>
        </row>
        <row r="1825">
          <cell r="B1825" t="str">
            <v>Seegar,James F</v>
          </cell>
          <cell r="C1825">
            <v>25.13</v>
          </cell>
        </row>
        <row r="1826">
          <cell r="B1826" t="str">
            <v>Walters,Sean M.</v>
          </cell>
          <cell r="C1826">
            <v>62.7</v>
          </cell>
        </row>
        <row r="1827">
          <cell r="B1827" t="str">
            <v>Sincell,Jeffry F</v>
          </cell>
          <cell r="C1827">
            <v>82.369</v>
          </cell>
        </row>
        <row r="1828">
          <cell r="B1828" t="str">
            <v>Khanal,Sagar Sharma</v>
          </cell>
          <cell r="C1828">
            <v>39.14</v>
          </cell>
        </row>
        <row r="1829">
          <cell r="B1829" t="str">
            <v>Gonzalez,Isabel</v>
          </cell>
          <cell r="C1829">
            <v>29.89</v>
          </cell>
        </row>
        <row r="1830">
          <cell r="B1830" t="str">
            <v>Mack Jr,Gilbert</v>
          </cell>
          <cell r="C1830">
            <v>34.71</v>
          </cell>
        </row>
        <row r="1831">
          <cell r="B1831" t="str">
            <v>Barnard,Darren L</v>
          </cell>
          <cell r="C1831">
            <v>36.36</v>
          </cell>
        </row>
        <row r="1832">
          <cell r="B1832" t="str">
            <v>Fox,Victoria</v>
          </cell>
          <cell r="C1832">
            <v>58.25</v>
          </cell>
        </row>
        <row r="1833">
          <cell r="B1833" t="str">
            <v>Glithero,Sean B</v>
          </cell>
          <cell r="C1833">
            <v>51.37</v>
          </cell>
        </row>
        <row r="1834">
          <cell r="B1834" t="str">
            <v>Wagner,Diana M.</v>
          </cell>
          <cell r="C1834">
            <v>40.409999999999997</v>
          </cell>
        </row>
        <row r="1835">
          <cell r="B1835" t="str">
            <v>Bordelon III,Alfred J.</v>
          </cell>
          <cell r="C1835">
            <v>32.799999999999997</v>
          </cell>
        </row>
        <row r="1836">
          <cell r="B1836" t="str">
            <v>Ibanez,Haydee</v>
          </cell>
          <cell r="C1836">
            <v>29.24</v>
          </cell>
        </row>
        <row r="1837">
          <cell r="B1837" t="str">
            <v>Owens Jr.,Robert L</v>
          </cell>
          <cell r="C1837">
            <v>20.07</v>
          </cell>
        </row>
        <row r="1838">
          <cell r="B1838" t="str">
            <v>Murphy,Devin P</v>
          </cell>
          <cell r="C1838">
            <v>27.8</v>
          </cell>
        </row>
        <row r="1839">
          <cell r="B1839" t="str">
            <v>Johnson,Minh T.</v>
          </cell>
          <cell r="C1839">
            <v>33.65</v>
          </cell>
        </row>
        <row r="1840">
          <cell r="B1840" t="str">
            <v>Harper,William M</v>
          </cell>
          <cell r="C1840">
            <v>38.9</v>
          </cell>
        </row>
        <row r="1841">
          <cell r="B1841" t="str">
            <v>Kevwitch,Donald R</v>
          </cell>
          <cell r="C1841">
            <v>58.14</v>
          </cell>
        </row>
        <row r="1842">
          <cell r="B1842" t="str">
            <v>Hurnyak,John N</v>
          </cell>
          <cell r="C1842">
            <v>55.82</v>
          </cell>
        </row>
        <row r="1843">
          <cell r="B1843" t="str">
            <v>Rader,Trenton L</v>
          </cell>
          <cell r="C1843">
            <v>71.05</v>
          </cell>
        </row>
        <row r="1844">
          <cell r="B1844" t="str">
            <v>Ziegler,Earl L</v>
          </cell>
          <cell r="C1844">
            <v>38.729999999999997</v>
          </cell>
        </row>
        <row r="1845">
          <cell r="B1845" t="str">
            <v>Wright,Nathaniel L</v>
          </cell>
          <cell r="C1845">
            <v>59.02</v>
          </cell>
        </row>
        <row r="1846">
          <cell r="B1846" t="str">
            <v>Carter,Sandra D</v>
          </cell>
          <cell r="C1846">
            <v>43.46</v>
          </cell>
        </row>
        <row r="1847">
          <cell r="B1847" t="str">
            <v>Ramos,Nelson N</v>
          </cell>
          <cell r="C1847">
            <v>29.01</v>
          </cell>
        </row>
        <row r="1848">
          <cell r="B1848" t="str">
            <v>Thompson,Andrew T.</v>
          </cell>
          <cell r="C1848">
            <v>53.3</v>
          </cell>
        </row>
        <row r="1849">
          <cell r="B1849" t="str">
            <v>Carbo,Alberto</v>
          </cell>
          <cell r="C1849">
            <v>63.15</v>
          </cell>
        </row>
        <row r="1850">
          <cell r="B1850" t="str">
            <v>Willis,Clifford G</v>
          </cell>
          <cell r="C1850">
            <v>57.22</v>
          </cell>
        </row>
        <row r="1851">
          <cell r="B1851" t="str">
            <v>Bryan,Sara Z</v>
          </cell>
          <cell r="C1851">
            <v>27.3</v>
          </cell>
        </row>
        <row r="1852">
          <cell r="B1852" t="str">
            <v>Apple,Wayne</v>
          </cell>
          <cell r="C1852">
            <v>71.31</v>
          </cell>
        </row>
        <row r="1853">
          <cell r="B1853" t="str">
            <v>Griffith,Adrian S</v>
          </cell>
          <cell r="C1853">
            <v>63.71</v>
          </cell>
        </row>
        <row r="1854">
          <cell r="B1854" t="str">
            <v>Jacobs,James C</v>
          </cell>
          <cell r="C1854">
            <v>61.19</v>
          </cell>
        </row>
        <row r="1855">
          <cell r="B1855" t="str">
            <v>Eidson,David A</v>
          </cell>
          <cell r="C1855">
            <v>90.865399999999994</v>
          </cell>
        </row>
        <row r="1856">
          <cell r="B1856" t="str">
            <v>Brewington,Muriel S</v>
          </cell>
          <cell r="C1856">
            <v>12.21</v>
          </cell>
        </row>
        <row r="1857">
          <cell r="B1857" t="str">
            <v>Medina Jr,Benjamin</v>
          </cell>
          <cell r="C1857">
            <v>12.8</v>
          </cell>
        </row>
        <row r="1858">
          <cell r="B1858" t="str">
            <v>Long,William D</v>
          </cell>
          <cell r="C1858">
            <v>27.89</v>
          </cell>
        </row>
        <row r="1859">
          <cell r="B1859" t="str">
            <v>Renfrow,Judith L</v>
          </cell>
          <cell r="C1859">
            <v>30.62</v>
          </cell>
        </row>
        <row r="1860">
          <cell r="B1860" t="str">
            <v>Kalinowsky Jr.,Robert D</v>
          </cell>
          <cell r="C1860">
            <v>63.77</v>
          </cell>
        </row>
        <row r="1861">
          <cell r="B1861" t="str">
            <v>Liu,Jinhua</v>
          </cell>
          <cell r="C1861">
            <v>36.03</v>
          </cell>
        </row>
        <row r="1862">
          <cell r="B1862" t="str">
            <v>Cliff,Robert F</v>
          </cell>
          <cell r="C1862">
            <v>29.73</v>
          </cell>
        </row>
        <row r="1863">
          <cell r="B1863" t="str">
            <v>Voltz,Frank T.</v>
          </cell>
          <cell r="C1863">
            <v>51.4</v>
          </cell>
        </row>
        <row r="1864">
          <cell r="B1864" t="str">
            <v>Higdon,James M</v>
          </cell>
          <cell r="C1864">
            <v>41</v>
          </cell>
        </row>
        <row r="1865">
          <cell r="B1865" t="str">
            <v>Martin,Sherry L</v>
          </cell>
          <cell r="C1865">
            <v>28.76</v>
          </cell>
        </row>
        <row r="1866">
          <cell r="B1866" t="str">
            <v>Higgs,Melissa C</v>
          </cell>
          <cell r="C1866">
            <v>41.02</v>
          </cell>
        </row>
        <row r="1867">
          <cell r="B1867" t="str">
            <v>Caulfield,Elizabeth P</v>
          </cell>
          <cell r="C1867">
            <v>65.004999999999995</v>
          </cell>
        </row>
        <row r="1868">
          <cell r="B1868" t="str">
            <v>Broderick,Ronald L</v>
          </cell>
          <cell r="C1868">
            <v>88.899299999999997</v>
          </cell>
        </row>
        <row r="1869">
          <cell r="B1869" t="str">
            <v>Weigand,Gregory J.</v>
          </cell>
          <cell r="C1869">
            <v>61.04</v>
          </cell>
        </row>
        <row r="1870">
          <cell r="B1870" t="str">
            <v>Hoefler,John L</v>
          </cell>
          <cell r="C1870">
            <v>58.7</v>
          </cell>
        </row>
        <row r="1871">
          <cell r="B1871" t="str">
            <v>Purdy,Marvin E</v>
          </cell>
          <cell r="C1871">
            <v>36.020000000000003</v>
          </cell>
        </row>
        <row r="1872">
          <cell r="B1872" t="str">
            <v>Rodriguez,Juan</v>
          </cell>
          <cell r="C1872">
            <v>23.95</v>
          </cell>
        </row>
        <row r="1873">
          <cell r="B1873" t="str">
            <v>Johnson,Michael L.</v>
          </cell>
          <cell r="C1873">
            <v>29.05</v>
          </cell>
        </row>
        <row r="1874">
          <cell r="B1874" t="str">
            <v>Brown,Samuel J.</v>
          </cell>
          <cell r="C1874">
            <v>42.77</v>
          </cell>
        </row>
        <row r="1875">
          <cell r="B1875" t="str">
            <v>MacLellan,Keith R</v>
          </cell>
          <cell r="C1875">
            <v>18.100000000000001</v>
          </cell>
        </row>
        <row r="1876">
          <cell r="B1876" t="str">
            <v>Weisenberger,Joanne M</v>
          </cell>
          <cell r="C1876">
            <v>30.66</v>
          </cell>
        </row>
        <row r="1877">
          <cell r="B1877" t="str">
            <v>Price,George W</v>
          </cell>
          <cell r="C1877">
            <v>51.52</v>
          </cell>
        </row>
        <row r="1878">
          <cell r="B1878" t="str">
            <v>Price,David H</v>
          </cell>
          <cell r="C1878">
            <v>21.9</v>
          </cell>
        </row>
        <row r="1879">
          <cell r="B1879" t="str">
            <v>Landis,Steven C</v>
          </cell>
          <cell r="C1879">
            <v>21.5</v>
          </cell>
        </row>
        <row r="1880">
          <cell r="B1880" t="str">
            <v>Figueroa,Ramon J</v>
          </cell>
          <cell r="C1880">
            <v>22.4</v>
          </cell>
        </row>
        <row r="1881">
          <cell r="B1881" t="str">
            <v>Dusterwald,William G</v>
          </cell>
          <cell r="C1881">
            <v>51.266249999999999</v>
          </cell>
        </row>
        <row r="1882">
          <cell r="B1882" t="str">
            <v>Rasmussen,Arthur E</v>
          </cell>
          <cell r="C1882">
            <v>43.75</v>
          </cell>
        </row>
        <row r="1883">
          <cell r="B1883" t="str">
            <v>Gleason,Mark V.</v>
          </cell>
          <cell r="C1883">
            <v>46.49</v>
          </cell>
        </row>
        <row r="1884">
          <cell r="B1884" t="str">
            <v>Young,David F</v>
          </cell>
          <cell r="C1884">
            <v>67.98</v>
          </cell>
        </row>
        <row r="1885">
          <cell r="B1885" t="str">
            <v>Daniels,Marlon G</v>
          </cell>
          <cell r="C1885">
            <v>19.89</v>
          </cell>
        </row>
        <row r="1886">
          <cell r="B1886" t="str">
            <v>Desrosiers IV,Arthur J</v>
          </cell>
          <cell r="C1886">
            <v>32.56</v>
          </cell>
        </row>
        <row r="1887">
          <cell r="B1887" t="str">
            <v>Hershfield,Garth T</v>
          </cell>
          <cell r="C1887">
            <v>59.62</v>
          </cell>
        </row>
        <row r="1888">
          <cell r="B1888" t="str">
            <v>Vazquez,Carlos</v>
          </cell>
          <cell r="C1888">
            <v>24.06</v>
          </cell>
        </row>
        <row r="1889">
          <cell r="B1889" t="str">
            <v>Ferrell,Robert D.</v>
          </cell>
          <cell r="C1889">
            <v>25.03</v>
          </cell>
        </row>
        <row r="1890">
          <cell r="B1890" t="str">
            <v>Hansberry,Kenneth E</v>
          </cell>
          <cell r="C1890">
            <v>37.82</v>
          </cell>
        </row>
        <row r="1891">
          <cell r="B1891" t="str">
            <v>Bello,Edmond</v>
          </cell>
          <cell r="C1891">
            <v>38.799999999999997</v>
          </cell>
        </row>
        <row r="1892">
          <cell r="B1892" t="str">
            <v>Tester,Joel W</v>
          </cell>
          <cell r="C1892">
            <v>40.76</v>
          </cell>
        </row>
        <row r="1893">
          <cell r="B1893" t="str">
            <v>Hicks,Arlene S</v>
          </cell>
          <cell r="C1893">
            <v>30.25</v>
          </cell>
        </row>
        <row r="1894">
          <cell r="B1894" t="str">
            <v>Russo,James D</v>
          </cell>
          <cell r="C1894">
            <v>33.409999999999997</v>
          </cell>
        </row>
        <row r="1895">
          <cell r="B1895" t="str">
            <v>Traenkner Jr.,Carl D.</v>
          </cell>
          <cell r="C1895">
            <v>75.709999999999994</v>
          </cell>
        </row>
        <row r="1896">
          <cell r="B1896" t="str">
            <v>Blow,Shakita R</v>
          </cell>
          <cell r="C1896">
            <v>15.17</v>
          </cell>
        </row>
        <row r="1897">
          <cell r="B1897" t="str">
            <v>Hubbard,Richard L</v>
          </cell>
          <cell r="C1897">
            <v>49.58</v>
          </cell>
        </row>
        <row r="1898">
          <cell r="B1898" t="str">
            <v>Sebastian,Matthew J</v>
          </cell>
          <cell r="C1898">
            <v>20.149999999999999</v>
          </cell>
        </row>
        <row r="1899">
          <cell r="B1899" t="str">
            <v>Stryjewski,Casimir A</v>
          </cell>
          <cell r="C1899">
            <v>24.63</v>
          </cell>
        </row>
        <row r="1900">
          <cell r="B1900" t="str">
            <v>Whitman,Michael C</v>
          </cell>
          <cell r="C1900">
            <v>68.540000000000006</v>
          </cell>
        </row>
        <row r="1901">
          <cell r="B1901" t="str">
            <v>Marshall,Orlando</v>
          </cell>
          <cell r="C1901">
            <v>20.12</v>
          </cell>
        </row>
        <row r="1902">
          <cell r="B1902" t="str">
            <v>Gultakan,Edip</v>
          </cell>
          <cell r="C1902">
            <v>15.58</v>
          </cell>
        </row>
        <row r="1903">
          <cell r="B1903" t="str">
            <v>Kawanaka,Yuji</v>
          </cell>
          <cell r="C1903">
            <v>26.85</v>
          </cell>
        </row>
        <row r="1904">
          <cell r="B1904" t="str">
            <v>Martin,Scott D</v>
          </cell>
          <cell r="C1904">
            <v>57.7</v>
          </cell>
        </row>
        <row r="1905">
          <cell r="B1905" t="str">
            <v>Vester,Amy E.</v>
          </cell>
          <cell r="C1905">
            <v>41.44</v>
          </cell>
        </row>
        <row r="1906">
          <cell r="B1906" t="str">
            <v>Earl,Howard R</v>
          </cell>
          <cell r="C1906">
            <v>29.32</v>
          </cell>
        </row>
        <row r="1907">
          <cell r="B1907" t="str">
            <v>Bell,Angel L</v>
          </cell>
          <cell r="C1907">
            <v>18.5</v>
          </cell>
        </row>
        <row r="1908">
          <cell r="B1908" t="str">
            <v>Martinez,Crystal L</v>
          </cell>
          <cell r="C1908">
            <v>24.15</v>
          </cell>
        </row>
        <row r="1909">
          <cell r="B1909" t="str">
            <v>Baker,William K.</v>
          </cell>
          <cell r="C1909">
            <v>67.08</v>
          </cell>
        </row>
        <row r="1910">
          <cell r="B1910" t="str">
            <v>Van Ryswick,Kelly D</v>
          </cell>
          <cell r="C1910">
            <v>32.58</v>
          </cell>
        </row>
        <row r="1911">
          <cell r="B1911" t="str">
            <v>Ali,Mustafa A</v>
          </cell>
          <cell r="C1911">
            <v>20.53</v>
          </cell>
        </row>
        <row r="1912">
          <cell r="B1912" t="str">
            <v>Lampone,Todd A</v>
          </cell>
          <cell r="C1912">
            <v>40.11</v>
          </cell>
        </row>
        <row r="1913">
          <cell r="B1913" t="str">
            <v>Markus,Darin A</v>
          </cell>
          <cell r="C1913">
            <v>38.520000000000003</v>
          </cell>
        </row>
        <row r="1914">
          <cell r="B1914" t="str">
            <v>McKnight,Marlon O</v>
          </cell>
          <cell r="C1914">
            <v>21.12</v>
          </cell>
        </row>
        <row r="1915">
          <cell r="B1915" t="str">
            <v>Keiper,Carol A</v>
          </cell>
          <cell r="C1915">
            <v>19.149999999999999</v>
          </cell>
        </row>
        <row r="1916">
          <cell r="B1916" t="str">
            <v>Dukek,Russell R</v>
          </cell>
          <cell r="C1916">
            <v>70.94</v>
          </cell>
        </row>
        <row r="1917">
          <cell r="B1917" t="str">
            <v>Patrick,Coleman L</v>
          </cell>
          <cell r="C1917">
            <v>25.13</v>
          </cell>
        </row>
        <row r="1918">
          <cell r="B1918" t="str">
            <v>Hopkins,Avis Y</v>
          </cell>
          <cell r="C1918">
            <v>39.58</v>
          </cell>
        </row>
        <row r="1919">
          <cell r="B1919" t="str">
            <v>Jones,Bryan O</v>
          </cell>
          <cell r="C1919">
            <v>16.18</v>
          </cell>
        </row>
        <row r="1920">
          <cell r="B1920" t="str">
            <v>Westfall,Joshua D</v>
          </cell>
          <cell r="C1920">
            <v>48.12</v>
          </cell>
        </row>
        <row r="1921">
          <cell r="B1921" t="str">
            <v>Rodgers II,John M.</v>
          </cell>
          <cell r="C1921">
            <v>58.17</v>
          </cell>
        </row>
        <row r="1922">
          <cell r="B1922" t="str">
            <v>Curtis,Jeffrey L</v>
          </cell>
          <cell r="C1922">
            <v>31.66</v>
          </cell>
        </row>
        <row r="1923">
          <cell r="B1923" t="str">
            <v>Whiteree,Jennifer A.</v>
          </cell>
          <cell r="C1923">
            <v>34.85</v>
          </cell>
        </row>
        <row r="1924">
          <cell r="B1924" t="str">
            <v>Jencks,Linda A.</v>
          </cell>
          <cell r="C1924">
            <v>41.85</v>
          </cell>
        </row>
        <row r="1925">
          <cell r="B1925" t="str">
            <v>Wingert,Stephanie B</v>
          </cell>
          <cell r="C1925">
            <v>65.650000000000006</v>
          </cell>
        </row>
        <row r="1926">
          <cell r="B1926" t="str">
            <v>Hoflich,Michael H</v>
          </cell>
          <cell r="C1926">
            <v>42.38</v>
          </cell>
        </row>
        <row r="1927">
          <cell r="B1927" t="str">
            <v>Jensen,Nicolas A</v>
          </cell>
          <cell r="C1927">
            <v>48.08</v>
          </cell>
        </row>
        <row r="1928">
          <cell r="B1928" t="str">
            <v>Wolpoff,David M</v>
          </cell>
          <cell r="C1928">
            <v>48.34</v>
          </cell>
        </row>
        <row r="1929">
          <cell r="B1929" t="str">
            <v>Coleman Jr.,James A</v>
          </cell>
          <cell r="C1929">
            <v>23.5</v>
          </cell>
        </row>
        <row r="1930">
          <cell r="B1930" t="str">
            <v>Smith,Joseph B</v>
          </cell>
          <cell r="C1930">
            <v>29.02</v>
          </cell>
        </row>
        <row r="1931">
          <cell r="B1931" t="str">
            <v>Jones,Kenneth G</v>
          </cell>
          <cell r="C1931">
            <v>29.72</v>
          </cell>
        </row>
        <row r="1932">
          <cell r="B1932" t="str">
            <v>Smith,Michael G</v>
          </cell>
          <cell r="C1932">
            <v>43.33</v>
          </cell>
        </row>
        <row r="1933">
          <cell r="B1933" t="str">
            <v>Turrini,Mark A.</v>
          </cell>
          <cell r="C1933">
            <v>27.5</v>
          </cell>
        </row>
        <row r="1934">
          <cell r="B1934" t="str">
            <v>Schapley II,Ramon F</v>
          </cell>
          <cell r="C1934">
            <v>40</v>
          </cell>
        </row>
        <row r="1935">
          <cell r="B1935" t="str">
            <v>Kiernan Jr.,Eugene P</v>
          </cell>
          <cell r="C1935">
            <v>61.4</v>
          </cell>
        </row>
        <row r="1936">
          <cell r="B1936" t="str">
            <v>Wells,Steven M</v>
          </cell>
          <cell r="C1936">
            <v>70</v>
          </cell>
        </row>
        <row r="1937">
          <cell r="B1937" t="str">
            <v>Haseltine,Daniel W</v>
          </cell>
          <cell r="C1937">
            <v>23.81</v>
          </cell>
        </row>
        <row r="1938">
          <cell r="B1938" t="str">
            <v>Green,Vital A.</v>
          </cell>
          <cell r="C1938">
            <v>50.11</v>
          </cell>
        </row>
        <row r="1939">
          <cell r="B1939" t="str">
            <v>Lopez,John</v>
          </cell>
          <cell r="C1939">
            <v>6.41</v>
          </cell>
        </row>
        <row r="1940">
          <cell r="B1940" t="str">
            <v>Griffin,Michael J</v>
          </cell>
          <cell r="C1940">
            <v>40.630000000000003</v>
          </cell>
        </row>
        <row r="1941">
          <cell r="B1941" t="str">
            <v>Fredette,Daniel A.</v>
          </cell>
          <cell r="C1941">
            <v>56.78</v>
          </cell>
        </row>
        <row r="1942">
          <cell r="B1942" t="str">
            <v>Bryant III,Mills R</v>
          </cell>
          <cell r="C1942">
            <v>73.819999999999993</v>
          </cell>
        </row>
        <row r="1943">
          <cell r="B1943" t="str">
            <v>Bissonnette,Nancy I</v>
          </cell>
          <cell r="C1943">
            <v>55.83</v>
          </cell>
        </row>
        <row r="1944">
          <cell r="B1944" t="str">
            <v>Metz,Larry J</v>
          </cell>
          <cell r="C1944">
            <v>39.26</v>
          </cell>
        </row>
        <row r="1945">
          <cell r="B1945" t="str">
            <v>Gage,Jeremy R</v>
          </cell>
          <cell r="C1945">
            <v>67.319999999999993</v>
          </cell>
        </row>
        <row r="1946">
          <cell r="B1946" t="str">
            <v>Stevens,Daniel R</v>
          </cell>
          <cell r="C1946">
            <v>16.03</v>
          </cell>
        </row>
        <row r="1947">
          <cell r="B1947" t="str">
            <v>Vella IV,John H</v>
          </cell>
          <cell r="C1947">
            <v>32.14</v>
          </cell>
        </row>
        <row r="1948">
          <cell r="B1948" t="str">
            <v>DeJong,Jos T</v>
          </cell>
          <cell r="C1948">
            <v>53.818300000000001</v>
          </cell>
        </row>
        <row r="1949">
          <cell r="B1949" t="str">
            <v>D'Angelo,Paul M</v>
          </cell>
          <cell r="C1949">
            <v>39.950000000000003</v>
          </cell>
        </row>
        <row r="1950">
          <cell r="B1950" t="str">
            <v>Hutchison,George E</v>
          </cell>
          <cell r="C1950">
            <v>11.66</v>
          </cell>
        </row>
        <row r="1951">
          <cell r="B1951" t="str">
            <v>Severe,Jesse M.</v>
          </cell>
          <cell r="C1951">
            <v>35.01</v>
          </cell>
        </row>
        <row r="1952">
          <cell r="B1952" t="str">
            <v>Wendler,James</v>
          </cell>
          <cell r="C1952">
            <v>34.9</v>
          </cell>
        </row>
        <row r="1953">
          <cell r="B1953" t="str">
            <v>Harris,Elizabeth</v>
          </cell>
          <cell r="C1953">
            <v>20.66</v>
          </cell>
        </row>
        <row r="1954">
          <cell r="B1954" t="str">
            <v>Tominaga,Glenn S</v>
          </cell>
          <cell r="C1954">
            <v>28.85</v>
          </cell>
        </row>
        <row r="1955">
          <cell r="B1955" t="str">
            <v>Mainous,Carl</v>
          </cell>
          <cell r="C1955">
            <v>23.46</v>
          </cell>
        </row>
        <row r="1956">
          <cell r="B1956" t="str">
            <v>Baker,Rachel S</v>
          </cell>
          <cell r="C1956">
            <v>29.01</v>
          </cell>
        </row>
        <row r="1957">
          <cell r="B1957" t="str">
            <v>Ramdeholl,Michelle A</v>
          </cell>
          <cell r="C1957">
            <v>46.79</v>
          </cell>
        </row>
        <row r="1958">
          <cell r="B1958" t="str">
            <v>Yeaman,Harry L</v>
          </cell>
          <cell r="C1958">
            <v>42.27</v>
          </cell>
        </row>
        <row r="1959">
          <cell r="B1959" t="str">
            <v>Bowles,Tommy W.</v>
          </cell>
          <cell r="C1959">
            <v>44.5</v>
          </cell>
        </row>
        <row r="1960">
          <cell r="B1960" t="str">
            <v>Monesmith,Ronald A</v>
          </cell>
          <cell r="C1960">
            <v>53.24</v>
          </cell>
        </row>
        <row r="1961">
          <cell r="B1961" t="str">
            <v>Mueller,Maradee E.</v>
          </cell>
          <cell r="C1961">
            <v>59.81</v>
          </cell>
        </row>
        <row r="1962">
          <cell r="B1962" t="str">
            <v>Dooley,Valerie J.</v>
          </cell>
          <cell r="C1962">
            <v>39.71</v>
          </cell>
        </row>
        <row r="1963">
          <cell r="B1963" t="str">
            <v>Redon,Christine M</v>
          </cell>
          <cell r="C1963">
            <v>48.08</v>
          </cell>
        </row>
        <row r="1964">
          <cell r="B1964" t="str">
            <v>Cameron,William E</v>
          </cell>
          <cell r="C1964">
            <v>21</v>
          </cell>
        </row>
        <row r="1965">
          <cell r="B1965" t="str">
            <v>Mitchell,Syretta G</v>
          </cell>
          <cell r="C1965">
            <v>23.54</v>
          </cell>
        </row>
        <row r="1966">
          <cell r="B1966" t="str">
            <v>Trusty,Tiffany S</v>
          </cell>
          <cell r="C1966">
            <v>33.08</v>
          </cell>
        </row>
        <row r="1967">
          <cell r="B1967" t="str">
            <v>French,Ronald G</v>
          </cell>
          <cell r="C1967">
            <v>43.37</v>
          </cell>
        </row>
        <row r="1968">
          <cell r="B1968" t="str">
            <v>Santiago,Luis A.</v>
          </cell>
          <cell r="C1968">
            <v>43.85</v>
          </cell>
        </row>
        <row r="1969">
          <cell r="B1969" t="str">
            <v>Gilhuly,Patrick M</v>
          </cell>
          <cell r="C1969">
            <v>70.98</v>
          </cell>
        </row>
        <row r="1970">
          <cell r="B1970" t="str">
            <v>Christ,Edward L</v>
          </cell>
          <cell r="C1970">
            <v>40.69</v>
          </cell>
        </row>
        <row r="1971">
          <cell r="B1971" t="str">
            <v>Cunningham,Lynne S</v>
          </cell>
          <cell r="C1971">
            <v>27.59</v>
          </cell>
        </row>
        <row r="1972">
          <cell r="B1972" t="str">
            <v>Otero,Angel L.</v>
          </cell>
          <cell r="C1972">
            <v>30.15</v>
          </cell>
        </row>
        <row r="1973">
          <cell r="B1973" t="str">
            <v>Brown,John S</v>
          </cell>
          <cell r="C1973">
            <v>45.2</v>
          </cell>
        </row>
        <row r="1974">
          <cell r="B1974" t="str">
            <v>Hunt,James D</v>
          </cell>
          <cell r="C1974">
            <v>24.55</v>
          </cell>
        </row>
        <row r="1975">
          <cell r="B1975" t="str">
            <v>Capino,Timothy L</v>
          </cell>
          <cell r="C1975">
            <v>21.85</v>
          </cell>
        </row>
        <row r="1976">
          <cell r="B1976" t="str">
            <v>Shellhammer Jr.,Lawrence A</v>
          </cell>
          <cell r="C1976">
            <v>24.65</v>
          </cell>
        </row>
        <row r="1977">
          <cell r="B1977" t="str">
            <v>Jackson,Justin McGee</v>
          </cell>
          <cell r="C1977">
            <v>47.14</v>
          </cell>
        </row>
        <row r="1978">
          <cell r="B1978" t="str">
            <v>Peters,John R</v>
          </cell>
          <cell r="C1978">
            <v>56.28</v>
          </cell>
        </row>
        <row r="1979">
          <cell r="B1979" t="str">
            <v>Wesley,Yolanda Y</v>
          </cell>
          <cell r="C1979">
            <v>46.72</v>
          </cell>
        </row>
        <row r="1980">
          <cell r="B1980" t="str">
            <v>Huang,Haiyan</v>
          </cell>
          <cell r="C1980">
            <v>31.25</v>
          </cell>
        </row>
        <row r="1981">
          <cell r="B1981" t="str">
            <v>Pint,Martin L</v>
          </cell>
          <cell r="C1981">
            <v>22.61</v>
          </cell>
        </row>
        <row r="1982">
          <cell r="B1982" t="str">
            <v>Woods,James A</v>
          </cell>
          <cell r="C1982">
            <v>22.68</v>
          </cell>
        </row>
        <row r="1983">
          <cell r="B1983" t="str">
            <v>Barney,Laura L</v>
          </cell>
          <cell r="C1983">
            <v>36.99</v>
          </cell>
        </row>
        <row r="1984">
          <cell r="B1984" t="str">
            <v>Potoka,Dennis P</v>
          </cell>
          <cell r="C1984">
            <v>42.03</v>
          </cell>
        </row>
        <row r="1985">
          <cell r="B1985" t="str">
            <v>Okabayashi,Jason K</v>
          </cell>
          <cell r="C1985">
            <v>52.33</v>
          </cell>
        </row>
        <row r="1986">
          <cell r="B1986" t="str">
            <v>Dinka,Sandra J</v>
          </cell>
          <cell r="C1986">
            <v>31.83</v>
          </cell>
        </row>
        <row r="1987">
          <cell r="B1987" t="str">
            <v>Myrick,Paul J</v>
          </cell>
          <cell r="C1987">
            <v>100.97</v>
          </cell>
        </row>
        <row r="1988">
          <cell r="B1988" t="str">
            <v>Pinkston,Keith S.</v>
          </cell>
          <cell r="C1988">
            <v>42.46</v>
          </cell>
        </row>
        <row r="1989">
          <cell r="B1989" t="str">
            <v>Stevens,Kristofer Erik</v>
          </cell>
          <cell r="C1989">
            <v>34.56</v>
          </cell>
        </row>
        <row r="1990">
          <cell r="B1990" t="str">
            <v>Lavalais,Michael D</v>
          </cell>
          <cell r="C1990">
            <v>18.350000000000001</v>
          </cell>
        </row>
        <row r="1991">
          <cell r="B1991" t="str">
            <v>Conley,Stephen C.</v>
          </cell>
          <cell r="C1991">
            <v>59.58</v>
          </cell>
        </row>
        <row r="1992">
          <cell r="B1992" t="str">
            <v>King,Stacy H</v>
          </cell>
          <cell r="C1992">
            <v>55.24</v>
          </cell>
        </row>
        <row r="1993">
          <cell r="B1993" t="str">
            <v>Little,MaryJane V</v>
          </cell>
          <cell r="C1993">
            <v>29.7</v>
          </cell>
        </row>
        <row r="1994">
          <cell r="B1994" t="str">
            <v>Ducksworth,Dwight D</v>
          </cell>
          <cell r="C1994">
            <v>47.75</v>
          </cell>
        </row>
        <row r="1995">
          <cell r="B1995" t="str">
            <v>Pearson,George W.</v>
          </cell>
          <cell r="C1995">
            <v>51.45</v>
          </cell>
        </row>
        <row r="1996">
          <cell r="B1996" t="str">
            <v>McCoy-Rogers,Patrice</v>
          </cell>
          <cell r="C1996">
            <v>50.48</v>
          </cell>
        </row>
        <row r="1997">
          <cell r="B1997" t="str">
            <v>Williams,Shelton</v>
          </cell>
          <cell r="C1997">
            <v>16.02</v>
          </cell>
        </row>
        <row r="1998">
          <cell r="B1998" t="str">
            <v>Thomas,Stephanie Anne</v>
          </cell>
          <cell r="C1998">
            <v>32.4</v>
          </cell>
        </row>
        <row r="1999">
          <cell r="B1999" t="str">
            <v>Evanoff,Michael D</v>
          </cell>
          <cell r="C1999">
            <v>58.35</v>
          </cell>
        </row>
        <row r="2000">
          <cell r="B2000" t="str">
            <v>Hollen,Dale S</v>
          </cell>
          <cell r="C2000">
            <v>77.040000000000006</v>
          </cell>
        </row>
        <row r="2001">
          <cell r="B2001" t="str">
            <v>Easter,Phyllis T</v>
          </cell>
          <cell r="C2001">
            <v>37.32</v>
          </cell>
        </row>
        <row r="2002">
          <cell r="B2002" t="str">
            <v>Fulwiler,Kenneth D</v>
          </cell>
          <cell r="C2002">
            <v>53.0259</v>
          </cell>
        </row>
        <row r="2003">
          <cell r="B2003" t="str">
            <v>Ross,Steven</v>
          </cell>
          <cell r="C2003">
            <v>54.97</v>
          </cell>
        </row>
        <row r="2004">
          <cell r="B2004" t="str">
            <v>Harris,Andrew C</v>
          </cell>
          <cell r="C2004">
            <v>49.31</v>
          </cell>
        </row>
        <row r="2005">
          <cell r="B2005" t="str">
            <v>Maple,Theresa F</v>
          </cell>
          <cell r="C2005">
            <v>29.63</v>
          </cell>
        </row>
        <row r="2006">
          <cell r="B2006" t="str">
            <v>Burton Jr.,Thomas C</v>
          </cell>
          <cell r="C2006">
            <v>21.3</v>
          </cell>
        </row>
        <row r="2007">
          <cell r="B2007" t="str">
            <v>Gervais,Noel A</v>
          </cell>
          <cell r="C2007">
            <v>38</v>
          </cell>
        </row>
        <row r="2008">
          <cell r="B2008" t="str">
            <v>French,Krista N.</v>
          </cell>
          <cell r="C2008">
            <v>42.83</v>
          </cell>
        </row>
        <row r="2009">
          <cell r="B2009" t="str">
            <v>Maudlin,Mark E</v>
          </cell>
          <cell r="C2009">
            <v>23.69</v>
          </cell>
        </row>
        <row r="2010">
          <cell r="B2010" t="str">
            <v>Milam,Pamela J</v>
          </cell>
          <cell r="C2010">
            <v>28.87</v>
          </cell>
        </row>
        <row r="2011">
          <cell r="B2011" t="str">
            <v>Smith,Connie L</v>
          </cell>
          <cell r="C2011">
            <v>32.64</v>
          </cell>
        </row>
        <row r="2012">
          <cell r="B2012" t="str">
            <v>Brooks Jr,George J</v>
          </cell>
          <cell r="C2012">
            <v>22.8</v>
          </cell>
        </row>
        <row r="2013">
          <cell r="B2013" t="str">
            <v>Cordray,Kirk S</v>
          </cell>
          <cell r="C2013">
            <v>40.869999999999997</v>
          </cell>
        </row>
        <row r="2014">
          <cell r="B2014" t="str">
            <v>Atkins,Vallerie E</v>
          </cell>
          <cell r="C2014">
            <v>18.29</v>
          </cell>
        </row>
        <row r="2015">
          <cell r="B2015" t="str">
            <v>Jones,Shannon R</v>
          </cell>
          <cell r="C2015">
            <v>41.19</v>
          </cell>
        </row>
        <row r="2016">
          <cell r="B2016" t="str">
            <v>Richardson,Ho Sook</v>
          </cell>
          <cell r="C2016">
            <v>30.29</v>
          </cell>
        </row>
        <row r="2017">
          <cell r="B2017" t="str">
            <v>Deeley,John P</v>
          </cell>
          <cell r="C2017">
            <v>23.5</v>
          </cell>
        </row>
        <row r="2018">
          <cell r="B2018" t="str">
            <v>Abalos,Martin D</v>
          </cell>
          <cell r="C2018">
            <v>22.02</v>
          </cell>
        </row>
        <row r="2019">
          <cell r="B2019" t="str">
            <v>Murillo,Carlos A</v>
          </cell>
          <cell r="C2019">
            <v>61.74</v>
          </cell>
        </row>
        <row r="2020">
          <cell r="B2020" t="str">
            <v>Dobis,James A</v>
          </cell>
          <cell r="C2020">
            <v>34.409999999999997</v>
          </cell>
        </row>
        <row r="2021">
          <cell r="B2021" t="str">
            <v>Wemyss,Alan S</v>
          </cell>
          <cell r="C2021">
            <v>44.55</v>
          </cell>
        </row>
        <row r="2022">
          <cell r="B2022" t="str">
            <v>Pile,William W</v>
          </cell>
          <cell r="C2022">
            <v>52.68</v>
          </cell>
        </row>
        <row r="2023">
          <cell r="B2023" t="str">
            <v>Moller,Grant E</v>
          </cell>
          <cell r="C2023">
            <v>42.91</v>
          </cell>
        </row>
        <row r="2024">
          <cell r="B2024" t="str">
            <v>LeCompte,Wayne V</v>
          </cell>
          <cell r="C2024">
            <v>72.686800000000005</v>
          </cell>
        </row>
        <row r="2025">
          <cell r="B2025" t="str">
            <v>Butts,Lawrence A</v>
          </cell>
          <cell r="C2025">
            <v>40.19</v>
          </cell>
        </row>
        <row r="2026">
          <cell r="B2026" t="str">
            <v>Purchell,Maria C.</v>
          </cell>
          <cell r="C2026">
            <v>45.76</v>
          </cell>
        </row>
        <row r="2027">
          <cell r="B2027" t="str">
            <v>Morse,Eric R.</v>
          </cell>
          <cell r="C2027">
            <v>30</v>
          </cell>
        </row>
        <row r="2028">
          <cell r="B2028" t="str">
            <v>Pasko,Jena L</v>
          </cell>
          <cell r="C2028">
            <v>24.04</v>
          </cell>
        </row>
        <row r="2029">
          <cell r="B2029" t="str">
            <v>Thomas,Joseph A</v>
          </cell>
          <cell r="C2029">
            <v>43.61</v>
          </cell>
        </row>
        <row r="2030">
          <cell r="B2030" t="str">
            <v>Hernandez,Guillermo</v>
          </cell>
          <cell r="C2030">
            <v>44.62</v>
          </cell>
        </row>
        <row r="2031">
          <cell r="B2031" t="str">
            <v>Harrell,Naaman R</v>
          </cell>
          <cell r="C2031">
            <v>37.21</v>
          </cell>
        </row>
        <row r="2032">
          <cell r="B2032" t="str">
            <v>Lyerla,Lonnie G</v>
          </cell>
          <cell r="C2032">
            <v>23</v>
          </cell>
        </row>
        <row r="2033">
          <cell r="B2033" t="str">
            <v>Wetzel,Kitty R</v>
          </cell>
          <cell r="C2033">
            <v>18.899999999999999</v>
          </cell>
        </row>
        <row r="2034">
          <cell r="B2034" t="str">
            <v>Reiser,Frank A</v>
          </cell>
          <cell r="C2034">
            <v>52.17</v>
          </cell>
        </row>
        <row r="2035">
          <cell r="B2035" t="str">
            <v>Cody,Kevin C</v>
          </cell>
          <cell r="C2035">
            <v>103.37</v>
          </cell>
        </row>
        <row r="2036">
          <cell r="B2036" t="str">
            <v>Smith-Barry,Katherine Ann</v>
          </cell>
          <cell r="C2036">
            <v>33.26</v>
          </cell>
        </row>
        <row r="2037">
          <cell r="B2037" t="str">
            <v>Salnick,Jonathan K.</v>
          </cell>
          <cell r="C2037">
            <v>59.11</v>
          </cell>
        </row>
        <row r="2038">
          <cell r="B2038" t="str">
            <v>Keady,James M</v>
          </cell>
          <cell r="C2038">
            <v>30.05</v>
          </cell>
        </row>
        <row r="2039">
          <cell r="B2039" t="str">
            <v>Wooden,Rickie L</v>
          </cell>
          <cell r="C2039">
            <v>38.47</v>
          </cell>
        </row>
        <row r="2040">
          <cell r="B2040" t="str">
            <v>Price,Christopher M.</v>
          </cell>
          <cell r="C2040">
            <v>25.93</v>
          </cell>
        </row>
        <row r="2041">
          <cell r="B2041" t="str">
            <v>Williams-Martin,Tyhessia A</v>
          </cell>
          <cell r="C2041">
            <v>31</v>
          </cell>
        </row>
        <row r="2042">
          <cell r="B2042" t="str">
            <v>Harbot,Jeffrey P</v>
          </cell>
          <cell r="C2042">
            <v>31.56</v>
          </cell>
        </row>
        <row r="2043">
          <cell r="B2043" t="str">
            <v>Ashworth,Rene A</v>
          </cell>
          <cell r="C2043">
            <v>54.35</v>
          </cell>
        </row>
        <row r="2044">
          <cell r="B2044" t="str">
            <v>Prochazka,William D</v>
          </cell>
          <cell r="C2044">
            <v>52.93</v>
          </cell>
        </row>
        <row r="2045">
          <cell r="B2045" t="str">
            <v>Griffith,Burton C</v>
          </cell>
          <cell r="C2045">
            <v>59.43</v>
          </cell>
        </row>
        <row r="2046">
          <cell r="B2046" t="str">
            <v>Mabine,Dominic D</v>
          </cell>
          <cell r="C2046">
            <v>20</v>
          </cell>
        </row>
        <row r="2047">
          <cell r="B2047" t="str">
            <v>Williams,Leon T.</v>
          </cell>
          <cell r="C2047">
            <v>32.909999999999997</v>
          </cell>
        </row>
        <row r="2048">
          <cell r="B2048" t="str">
            <v>Daen,Jocelyn V</v>
          </cell>
          <cell r="C2048">
            <v>20</v>
          </cell>
        </row>
        <row r="2049">
          <cell r="B2049" t="str">
            <v>Davis,Joel H</v>
          </cell>
          <cell r="C2049">
            <v>67.95</v>
          </cell>
        </row>
        <row r="2050">
          <cell r="B2050" t="str">
            <v>Richardson,Jeffrey A</v>
          </cell>
          <cell r="C2050">
            <v>38.729999999999997</v>
          </cell>
        </row>
        <row r="2051">
          <cell r="B2051" t="str">
            <v>Thoma Jr.,Thomas F.</v>
          </cell>
          <cell r="C2051">
            <v>50</v>
          </cell>
        </row>
        <row r="2052">
          <cell r="B2052" t="str">
            <v>Williamson,Jon C.</v>
          </cell>
          <cell r="C2052">
            <v>42.07</v>
          </cell>
        </row>
        <row r="2053">
          <cell r="B2053" t="str">
            <v>Parker,Roshanna</v>
          </cell>
          <cell r="C2053">
            <v>29.56</v>
          </cell>
        </row>
        <row r="2054">
          <cell r="B2054" t="str">
            <v>Keith,Daniel P</v>
          </cell>
          <cell r="C2054">
            <v>45</v>
          </cell>
        </row>
        <row r="2055">
          <cell r="B2055" t="str">
            <v>Green,Ryan M.</v>
          </cell>
          <cell r="C2055">
            <v>47.34</v>
          </cell>
        </row>
        <row r="2056">
          <cell r="B2056" t="str">
            <v>Dorsey,Charles E</v>
          </cell>
          <cell r="C2056">
            <v>39.17</v>
          </cell>
        </row>
        <row r="2057">
          <cell r="B2057" t="str">
            <v>Salehi,Kamran</v>
          </cell>
          <cell r="C2057">
            <v>21.46</v>
          </cell>
        </row>
        <row r="2058">
          <cell r="B2058" t="str">
            <v>Lowman Jr.,Charles W</v>
          </cell>
          <cell r="C2058">
            <v>48.08</v>
          </cell>
        </row>
        <row r="2059">
          <cell r="B2059" t="str">
            <v>Bello,Ena</v>
          </cell>
          <cell r="C2059">
            <v>38.229999999999997</v>
          </cell>
        </row>
        <row r="2060">
          <cell r="B2060" t="str">
            <v>Sherrard,Stacy R</v>
          </cell>
          <cell r="C2060">
            <v>35.14</v>
          </cell>
        </row>
        <row r="2061">
          <cell r="B2061" t="str">
            <v>Beard,David C</v>
          </cell>
          <cell r="C2061">
            <v>45.94</v>
          </cell>
        </row>
        <row r="2062">
          <cell r="B2062" t="str">
            <v>Narayan,Dian H</v>
          </cell>
          <cell r="C2062">
            <v>19.48</v>
          </cell>
        </row>
        <row r="2063">
          <cell r="B2063" t="str">
            <v>Broderick,Kevin J</v>
          </cell>
          <cell r="C2063">
            <v>31.61</v>
          </cell>
        </row>
        <row r="2064">
          <cell r="B2064" t="str">
            <v>Simmons,David H</v>
          </cell>
          <cell r="C2064">
            <v>33.58</v>
          </cell>
        </row>
        <row r="2065">
          <cell r="B2065" t="str">
            <v>Wade,Sherwin A</v>
          </cell>
          <cell r="C2065">
            <v>18.829999999999998</v>
          </cell>
        </row>
        <row r="2066">
          <cell r="B2066" t="str">
            <v>Wasser,Felica G</v>
          </cell>
          <cell r="C2066">
            <v>32.46</v>
          </cell>
        </row>
        <row r="2067">
          <cell r="B2067" t="str">
            <v>Hoyt,Paul M</v>
          </cell>
          <cell r="C2067">
            <v>54.9</v>
          </cell>
        </row>
        <row r="2068">
          <cell r="B2068" t="str">
            <v>Winingham,Charles M.</v>
          </cell>
          <cell r="C2068">
            <v>47.07</v>
          </cell>
        </row>
        <row r="2069">
          <cell r="B2069" t="str">
            <v>Krug,George M.</v>
          </cell>
          <cell r="C2069">
            <v>28.37</v>
          </cell>
        </row>
        <row r="2070">
          <cell r="B2070" t="str">
            <v>Bell,Leroy</v>
          </cell>
          <cell r="C2070">
            <v>66.45</v>
          </cell>
        </row>
        <row r="2071">
          <cell r="B2071" t="str">
            <v>Schoenfelt,Stephen E.</v>
          </cell>
          <cell r="C2071">
            <v>39.82</v>
          </cell>
        </row>
        <row r="2072">
          <cell r="B2072" t="str">
            <v>Parker,William C</v>
          </cell>
          <cell r="C2072">
            <v>27.97</v>
          </cell>
        </row>
        <row r="2073">
          <cell r="B2073" t="str">
            <v>Radtke,Cindy L</v>
          </cell>
          <cell r="C2073">
            <v>46.05</v>
          </cell>
        </row>
        <row r="2074">
          <cell r="B2074" t="str">
            <v>Boone,Miki S</v>
          </cell>
          <cell r="C2074">
            <v>38.479999999999997</v>
          </cell>
        </row>
        <row r="2075">
          <cell r="B2075" t="str">
            <v>Huffman Jr.,Grady C</v>
          </cell>
          <cell r="C2075">
            <v>36.28</v>
          </cell>
        </row>
        <row r="2076">
          <cell r="B2076" t="str">
            <v>Myers,Robert E</v>
          </cell>
          <cell r="C2076">
            <v>90.82</v>
          </cell>
        </row>
        <row r="2077">
          <cell r="B2077" t="str">
            <v>Grudier II,Thomas H</v>
          </cell>
          <cell r="C2077">
            <v>52.16</v>
          </cell>
        </row>
        <row r="2078">
          <cell r="B2078" t="str">
            <v>Depaul,Kevin J.</v>
          </cell>
          <cell r="C2078">
            <v>65.73</v>
          </cell>
        </row>
        <row r="2079">
          <cell r="B2079" t="str">
            <v>Yusko Jr.,Donald J</v>
          </cell>
          <cell r="C2079">
            <v>47.17</v>
          </cell>
        </row>
        <row r="2080">
          <cell r="B2080" t="str">
            <v>Bryan,Richard P.</v>
          </cell>
          <cell r="C2080">
            <v>38.96</v>
          </cell>
        </row>
        <row r="2081">
          <cell r="B2081" t="str">
            <v>Thomas,Leslie V</v>
          </cell>
          <cell r="C2081">
            <v>35.32</v>
          </cell>
        </row>
        <row r="2082">
          <cell r="B2082" t="str">
            <v>O'Hara,Barbara J</v>
          </cell>
          <cell r="C2082">
            <v>30.95</v>
          </cell>
        </row>
        <row r="2083">
          <cell r="B2083" t="str">
            <v>Stover III,Mack</v>
          </cell>
          <cell r="C2083">
            <v>21.84</v>
          </cell>
        </row>
        <row r="2084">
          <cell r="B2084" t="str">
            <v>Brownlee,Judy W.</v>
          </cell>
          <cell r="C2084">
            <v>40.57</v>
          </cell>
        </row>
        <row r="2085">
          <cell r="B2085" t="str">
            <v>Reyes,Conrado C</v>
          </cell>
          <cell r="C2085">
            <v>22.95</v>
          </cell>
        </row>
        <row r="2086">
          <cell r="B2086" t="str">
            <v>Grzankowski,David</v>
          </cell>
          <cell r="C2086">
            <v>64.430000000000007</v>
          </cell>
        </row>
        <row r="2087">
          <cell r="B2087" t="str">
            <v>Pittman,Eric C</v>
          </cell>
          <cell r="C2087">
            <v>41.27</v>
          </cell>
        </row>
        <row r="2088">
          <cell r="B2088" t="str">
            <v>Zeger,Mary K</v>
          </cell>
          <cell r="C2088">
            <v>33.979999999999997</v>
          </cell>
        </row>
        <row r="2089">
          <cell r="B2089" t="str">
            <v>Lewis,Velma M</v>
          </cell>
          <cell r="C2089">
            <v>33.630000000000003</v>
          </cell>
        </row>
        <row r="2090">
          <cell r="B2090" t="str">
            <v>Perdue,Seth A</v>
          </cell>
          <cell r="C2090">
            <v>36.35</v>
          </cell>
        </row>
        <row r="2091">
          <cell r="B2091" t="str">
            <v>Lewis,Flora A</v>
          </cell>
          <cell r="C2091">
            <v>46.89</v>
          </cell>
        </row>
        <row r="2092">
          <cell r="B2092" t="str">
            <v>Madigan,Paul</v>
          </cell>
          <cell r="C2092">
            <v>27.5</v>
          </cell>
        </row>
        <row r="2093">
          <cell r="B2093" t="str">
            <v>Rose,Dean T</v>
          </cell>
          <cell r="C2093">
            <v>37.18</v>
          </cell>
        </row>
        <row r="2094">
          <cell r="B2094" t="str">
            <v>Taylor,Antonio D</v>
          </cell>
          <cell r="C2094">
            <v>30.2</v>
          </cell>
        </row>
        <row r="2095">
          <cell r="B2095" t="str">
            <v>Sambol,Joseph E</v>
          </cell>
          <cell r="C2095">
            <v>46.29</v>
          </cell>
        </row>
        <row r="2096">
          <cell r="B2096" t="str">
            <v>Douglass,Barry L</v>
          </cell>
          <cell r="C2096">
            <v>94.66</v>
          </cell>
        </row>
        <row r="2097">
          <cell r="B2097" t="str">
            <v>McElhaney,Collin A</v>
          </cell>
          <cell r="C2097">
            <v>33.85</v>
          </cell>
        </row>
        <row r="2098">
          <cell r="B2098" t="str">
            <v>Escobar,Edward</v>
          </cell>
          <cell r="C2098">
            <v>20</v>
          </cell>
        </row>
        <row r="2099">
          <cell r="B2099" t="str">
            <v>Murphy,Patricia E</v>
          </cell>
          <cell r="C2099">
            <v>30.32</v>
          </cell>
        </row>
        <row r="2100">
          <cell r="B2100" t="str">
            <v>Dale Jr,Harry I</v>
          </cell>
          <cell r="C2100">
            <v>38.75</v>
          </cell>
        </row>
        <row r="2101">
          <cell r="B2101" t="str">
            <v>Van Fossen,Mark W</v>
          </cell>
          <cell r="C2101">
            <v>25.07</v>
          </cell>
        </row>
        <row r="2102">
          <cell r="B2102" t="str">
            <v>Musick,Murphy L.</v>
          </cell>
          <cell r="C2102">
            <v>27.8</v>
          </cell>
        </row>
        <row r="2103">
          <cell r="B2103" t="str">
            <v>Whitworth,Trevor J</v>
          </cell>
          <cell r="C2103">
            <v>50.62</v>
          </cell>
        </row>
        <row r="2104">
          <cell r="B2104" t="str">
            <v>Bedgar Jr.,Dean L.</v>
          </cell>
          <cell r="C2104">
            <v>43.93</v>
          </cell>
        </row>
        <row r="2105">
          <cell r="B2105" t="str">
            <v>Glynn,Michael J</v>
          </cell>
          <cell r="C2105">
            <v>51.92</v>
          </cell>
        </row>
        <row r="2106">
          <cell r="B2106" t="str">
            <v>Miller,Thomas R</v>
          </cell>
          <cell r="C2106">
            <v>23.18</v>
          </cell>
        </row>
        <row r="2107">
          <cell r="B2107" t="str">
            <v>Rider,James E.</v>
          </cell>
          <cell r="C2107">
            <v>46.67</v>
          </cell>
        </row>
        <row r="2108">
          <cell r="B2108" t="str">
            <v>Civerolo,Eric M</v>
          </cell>
          <cell r="C2108">
            <v>46.68</v>
          </cell>
        </row>
        <row r="2109">
          <cell r="B2109" t="str">
            <v>Shehan,Robert E</v>
          </cell>
          <cell r="C2109">
            <v>38</v>
          </cell>
        </row>
        <row r="2110">
          <cell r="B2110" t="str">
            <v>Mickens,Zanova R</v>
          </cell>
          <cell r="C2110">
            <v>21.03</v>
          </cell>
        </row>
        <row r="2111">
          <cell r="B2111" t="str">
            <v>McKinney,John W</v>
          </cell>
          <cell r="C2111">
            <v>63.41</v>
          </cell>
        </row>
        <row r="2112">
          <cell r="B2112" t="str">
            <v>Reyes,Herbert H</v>
          </cell>
          <cell r="C2112">
            <v>31.92</v>
          </cell>
        </row>
        <row r="2113">
          <cell r="B2113" t="str">
            <v>Bell,Donna D</v>
          </cell>
          <cell r="C2113">
            <v>30.8</v>
          </cell>
        </row>
        <row r="2114">
          <cell r="B2114" t="str">
            <v>Stultz-Moats,Deborah L.</v>
          </cell>
          <cell r="C2114">
            <v>31.08</v>
          </cell>
        </row>
        <row r="2115">
          <cell r="B2115" t="str">
            <v>Gano,Richard D</v>
          </cell>
          <cell r="C2115">
            <v>39.54</v>
          </cell>
        </row>
        <row r="2116">
          <cell r="B2116" t="str">
            <v>Tarsia,Michael J</v>
          </cell>
          <cell r="C2116">
            <v>25.26</v>
          </cell>
        </row>
        <row r="2117">
          <cell r="B2117" t="str">
            <v>Schreckengost Jr.,Clifford L.</v>
          </cell>
          <cell r="C2117">
            <v>31.32</v>
          </cell>
        </row>
        <row r="2118">
          <cell r="B2118" t="str">
            <v>Bober,Jason S</v>
          </cell>
          <cell r="C2118">
            <v>61.95</v>
          </cell>
        </row>
        <row r="2119">
          <cell r="B2119" t="str">
            <v>Standish,Wayne W</v>
          </cell>
          <cell r="C2119">
            <v>18.5</v>
          </cell>
        </row>
        <row r="2120">
          <cell r="B2120" t="str">
            <v>Blom,Christina A</v>
          </cell>
          <cell r="C2120">
            <v>22.33</v>
          </cell>
        </row>
        <row r="2121">
          <cell r="B2121" t="str">
            <v>Wheeler,John R</v>
          </cell>
          <cell r="C2121">
            <v>31.62</v>
          </cell>
        </row>
        <row r="2122">
          <cell r="B2122" t="str">
            <v>Evers,Stephan D</v>
          </cell>
          <cell r="C2122">
            <v>43.38</v>
          </cell>
        </row>
        <row r="2123">
          <cell r="B2123" t="str">
            <v>Russo,Brian E</v>
          </cell>
          <cell r="C2123">
            <v>51.83</v>
          </cell>
        </row>
        <row r="2124">
          <cell r="B2124" t="str">
            <v>Cavallo,Dawn M.</v>
          </cell>
          <cell r="C2124">
            <v>36.909999999999997</v>
          </cell>
        </row>
        <row r="2125">
          <cell r="B2125" t="str">
            <v>Bortscheller,Mark J</v>
          </cell>
          <cell r="C2125">
            <v>29.5</v>
          </cell>
        </row>
        <row r="2126">
          <cell r="B2126" t="str">
            <v>Harvey,Bradley W.</v>
          </cell>
          <cell r="C2126">
            <v>33.630000000000003</v>
          </cell>
        </row>
        <row r="2127">
          <cell r="B2127" t="str">
            <v>Abshire Jr.,James W</v>
          </cell>
          <cell r="C2127">
            <v>27</v>
          </cell>
        </row>
        <row r="2128">
          <cell r="B2128" t="str">
            <v>Schoenberger,Robert B</v>
          </cell>
          <cell r="C2128">
            <v>69.7</v>
          </cell>
        </row>
        <row r="2129">
          <cell r="B2129" t="str">
            <v>Gutierrez,Jose N</v>
          </cell>
          <cell r="C2129">
            <v>30.07</v>
          </cell>
        </row>
        <row r="2130">
          <cell r="B2130" t="str">
            <v>Witcher,Michelle E</v>
          </cell>
          <cell r="C2130">
            <v>29.85</v>
          </cell>
        </row>
        <row r="2131">
          <cell r="B2131" t="str">
            <v>Rawls,Janet M.</v>
          </cell>
          <cell r="C2131">
            <v>18.54</v>
          </cell>
        </row>
        <row r="2132">
          <cell r="B2132" t="str">
            <v>Woodard,Gil K.</v>
          </cell>
          <cell r="C2132">
            <v>48.15</v>
          </cell>
        </row>
        <row r="2133">
          <cell r="B2133" t="str">
            <v>Pallone,Ryan J</v>
          </cell>
          <cell r="C2133">
            <v>54.21</v>
          </cell>
        </row>
        <row r="2134">
          <cell r="B2134" t="str">
            <v>Bailey,Margaret C</v>
          </cell>
          <cell r="C2134">
            <v>35.15</v>
          </cell>
        </row>
        <row r="2135">
          <cell r="B2135" t="str">
            <v>Jennings,Douglas C</v>
          </cell>
          <cell r="C2135">
            <v>29.8</v>
          </cell>
        </row>
        <row r="2136">
          <cell r="B2136" t="str">
            <v>Hodgson,David R</v>
          </cell>
          <cell r="C2136">
            <v>30.69</v>
          </cell>
        </row>
        <row r="2137">
          <cell r="B2137" t="str">
            <v>Trievel,Thomas P</v>
          </cell>
          <cell r="C2137">
            <v>53.72</v>
          </cell>
        </row>
        <row r="2138">
          <cell r="B2138" t="str">
            <v>Bethea,Taylor R</v>
          </cell>
          <cell r="C2138">
            <v>24.72</v>
          </cell>
        </row>
        <row r="2139">
          <cell r="B2139" t="str">
            <v>Downs,Paul A</v>
          </cell>
          <cell r="C2139">
            <v>39.049999999999997</v>
          </cell>
        </row>
        <row r="2140">
          <cell r="B2140" t="str">
            <v>Hutchins,Jerry</v>
          </cell>
          <cell r="C2140">
            <v>14.28</v>
          </cell>
        </row>
        <row r="2141">
          <cell r="B2141" t="str">
            <v>Hawes,Matthew G.</v>
          </cell>
          <cell r="C2141">
            <v>31.16</v>
          </cell>
        </row>
        <row r="2142">
          <cell r="B2142" t="str">
            <v>Washburn,Robert L</v>
          </cell>
          <cell r="C2142">
            <v>37.14</v>
          </cell>
        </row>
        <row r="2143">
          <cell r="B2143" t="str">
            <v>Hill,Bruce J</v>
          </cell>
          <cell r="C2143">
            <v>73</v>
          </cell>
        </row>
        <row r="2144">
          <cell r="B2144" t="str">
            <v>Cathers,Melissa M</v>
          </cell>
          <cell r="C2144">
            <v>37.909999999999997</v>
          </cell>
        </row>
        <row r="2145">
          <cell r="B2145" t="str">
            <v>Krenisky,Erik J</v>
          </cell>
          <cell r="C2145">
            <v>21.09</v>
          </cell>
        </row>
        <row r="2146">
          <cell r="B2146" t="str">
            <v>Leyba,Laura G.</v>
          </cell>
          <cell r="C2146">
            <v>34.22</v>
          </cell>
        </row>
        <row r="2147">
          <cell r="B2147" t="str">
            <v>Higgins,Gregory A</v>
          </cell>
          <cell r="C2147">
            <v>56.15</v>
          </cell>
        </row>
        <row r="2148">
          <cell r="B2148" t="str">
            <v>Childs,Sandra J</v>
          </cell>
          <cell r="C2148">
            <v>41.6</v>
          </cell>
        </row>
        <row r="2149">
          <cell r="B2149" t="str">
            <v>Conroy III,William T</v>
          </cell>
          <cell r="C2149">
            <v>68.36</v>
          </cell>
        </row>
        <row r="2150">
          <cell r="B2150" t="str">
            <v>Tompkins,Sandra J</v>
          </cell>
          <cell r="C2150">
            <v>43.28</v>
          </cell>
        </row>
        <row r="2151">
          <cell r="B2151" t="str">
            <v>Lawrence,Lauren R.</v>
          </cell>
          <cell r="C2151">
            <v>45.08</v>
          </cell>
        </row>
        <row r="2152">
          <cell r="B2152" t="str">
            <v>Dennis,Bennie C</v>
          </cell>
          <cell r="C2152">
            <v>11.49</v>
          </cell>
        </row>
        <row r="2153">
          <cell r="B2153" t="str">
            <v>Gaylord,Patrick J</v>
          </cell>
          <cell r="C2153">
            <v>50.74</v>
          </cell>
        </row>
        <row r="2154">
          <cell r="B2154" t="str">
            <v>Morris,Tiffany M</v>
          </cell>
          <cell r="C2154">
            <v>47.79</v>
          </cell>
        </row>
        <row r="2155">
          <cell r="B2155" t="str">
            <v>Morris,Colleen E</v>
          </cell>
          <cell r="C2155">
            <v>29.84</v>
          </cell>
        </row>
        <row r="2156">
          <cell r="B2156" t="str">
            <v>Elkabir,Sue S</v>
          </cell>
          <cell r="C2156">
            <v>56</v>
          </cell>
        </row>
        <row r="2157">
          <cell r="B2157" t="str">
            <v>Butler,William E</v>
          </cell>
          <cell r="C2157">
            <v>62.72</v>
          </cell>
        </row>
        <row r="2158">
          <cell r="B2158" t="str">
            <v>Weekes,Daniel R</v>
          </cell>
          <cell r="C2158">
            <v>41.48</v>
          </cell>
        </row>
        <row r="2159">
          <cell r="B2159" t="str">
            <v>Gurrola,Mathew J</v>
          </cell>
          <cell r="C2159">
            <v>34.14</v>
          </cell>
        </row>
        <row r="2160">
          <cell r="B2160" t="str">
            <v>Myers,Cheryl L</v>
          </cell>
          <cell r="C2160">
            <v>34.81</v>
          </cell>
        </row>
        <row r="2161">
          <cell r="B2161" t="str">
            <v>McGriff,James T</v>
          </cell>
          <cell r="C2161">
            <v>45.53</v>
          </cell>
        </row>
        <row r="2162">
          <cell r="B2162" t="str">
            <v>Harrison,Carrie M</v>
          </cell>
          <cell r="C2162">
            <v>18.170000000000002</v>
          </cell>
        </row>
        <row r="2163">
          <cell r="B2163" t="str">
            <v>Yeary,Casey R</v>
          </cell>
          <cell r="C2163">
            <v>22.93</v>
          </cell>
        </row>
        <row r="2164">
          <cell r="B2164" t="str">
            <v>Thompson,Oscar R</v>
          </cell>
          <cell r="C2164">
            <v>28.16</v>
          </cell>
        </row>
        <row r="2165">
          <cell r="B2165" t="str">
            <v>Velazquez,Pedro A.</v>
          </cell>
          <cell r="C2165">
            <v>27.58</v>
          </cell>
        </row>
        <row r="2166">
          <cell r="B2166" t="str">
            <v>Antalan,Pacifico Garke</v>
          </cell>
          <cell r="C2166">
            <v>22.44</v>
          </cell>
        </row>
        <row r="2167">
          <cell r="B2167" t="str">
            <v>Smith,Jennifer M</v>
          </cell>
          <cell r="C2167">
            <v>37.53</v>
          </cell>
        </row>
        <row r="2168">
          <cell r="B2168" t="str">
            <v>Dibene,Steven P.</v>
          </cell>
          <cell r="C2168">
            <v>48.72</v>
          </cell>
        </row>
        <row r="2169">
          <cell r="B2169" t="str">
            <v>Phillips,Londa I.</v>
          </cell>
          <cell r="C2169">
            <v>55.7</v>
          </cell>
        </row>
        <row r="2170">
          <cell r="B2170" t="str">
            <v>Reigel,David Brett</v>
          </cell>
          <cell r="C2170">
            <v>46.53</v>
          </cell>
        </row>
        <row r="2171">
          <cell r="B2171" t="str">
            <v>Randolph,William S</v>
          </cell>
          <cell r="C2171">
            <v>42.31</v>
          </cell>
        </row>
        <row r="2172">
          <cell r="B2172" t="str">
            <v>DeLidle,Daven R</v>
          </cell>
          <cell r="C2172">
            <v>46.7</v>
          </cell>
        </row>
        <row r="2173">
          <cell r="B2173" t="str">
            <v>Jones,Melvin</v>
          </cell>
          <cell r="C2173">
            <v>46.96</v>
          </cell>
        </row>
        <row r="2174">
          <cell r="B2174" t="str">
            <v>Woods,Catherine R.</v>
          </cell>
          <cell r="C2174">
            <v>33.380000000000003</v>
          </cell>
        </row>
        <row r="2175">
          <cell r="B2175" t="str">
            <v>Wilson,William G</v>
          </cell>
          <cell r="C2175">
            <v>37.56</v>
          </cell>
        </row>
        <row r="2176">
          <cell r="B2176" t="str">
            <v>Khalilallah,Saladin Al-Rashad</v>
          </cell>
          <cell r="C2176">
            <v>23.5</v>
          </cell>
        </row>
        <row r="2177">
          <cell r="B2177" t="str">
            <v>Kay,Kamile L</v>
          </cell>
          <cell r="C2177">
            <v>46.38</v>
          </cell>
        </row>
        <row r="2178">
          <cell r="B2178" t="str">
            <v>Foreman,Michael E</v>
          </cell>
          <cell r="C2178">
            <v>62.01</v>
          </cell>
        </row>
        <row r="2179">
          <cell r="B2179" t="str">
            <v>Gergely,Curt H.</v>
          </cell>
          <cell r="C2179">
            <v>79.88</v>
          </cell>
        </row>
        <row r="2180">
          <cell r="B2180" t="str">
            <v>Bennett,Adrienne</v>
          </cell>
          <cell r="C2180">
            <v>30.8</v>
          </cell>
        </row>
        <row r="2181">
          <cell r="B2181" t="str">
            <v>Holmes,Leroy</v>
          </cell>
          <cell r="C2181">
            <v>25.5</v>
          </cell>
        </row>
        <row r="2182">
          <cell r="B2182" t="str">
            <v>Davis II,Ronald K</v>
          </cell>
          <cell r="C2182">
            <v>38.200000000000003</v>
          </cell>
        </row>
        <row r="2183">
          <cell r="B2183" t="str">
            <v>Hayden,Ernest L</v>
          </cell>
          <cell r="C2183">
            <v>38.04</v>
          </cell>
        </row>
        <row r="2184">
          <cell r="B2184" t="str">
            <v>Wong,Jose L</v>
          </cell>
          <cell r="C2184">
            <v>18.29</v>
          </cell>
        </row>
        <row r="2185">
          <cell r="B2185" t="str">
            <v>Wemhoff,David W</v>
          </cell>
          <cell r="C2185">
            <v>46.74</v>
          </cell>
        </row>
        <row r="2186">
          <cell r="B2186" t="str">
            <v>Beasey,James A</v>
          </cell>
          <cell r="C2186">
            <v>61.18</v>
          </cell>
        </row>
        <row r="2187">
          <cell r="B2187" t="str">
            <v>Meadows,Elizabeth M</v>
          </cell>
          <cell r="C2187">
            <v>14.92</v>
          </cell>
        </row>
        <row r="2188">
          <cell r="B2188" t="str">
            <v>Wallen,Henry C.</v>
          </cell>
          <cell r="C2188">
            <v>46.45</v>
          </cell>
        </row>
        <row r="2189">
          <cell r="B2189" t="str">
            <v>Clancy,Agnes C.</v>
          </cell>
          <cell r="C2189">
            <v>35.75</v>
          </cell>
        </row>
        <row r="2190">
          <cell r="B2190" t="str">
            <v>Smith,Fletcher L</v>
          </cell>
          <cell r="C2190">
            <v>20.79</v>
          </cell>
        </row>
        <row r="2191">
          <cell r="B2191" t="str">
            <v>Rothe,Theresa A</v>
          </cell>
          <cell r="C2191">
            <v>31.51</v>
          </cell>
        </row>
        <row r="2192">
          <cell r="B2192" t="str">
            <v>Lancaster,Howard Jerome</v>
          </cell>
          <cell r="C2192">
            <v>35.130000000000003</v>
          </cell>
        </row>
        <row r="2193">
          <cell r="B2193" t="str">
            <v>Ohls II,Michael J</v>
          </cell>
          <cell r="C2193">
            <v>21.64</v>
          </cell>
        </row>
        <row r="2194">
          <cell r="B2194" t="str">
            <v>Peters,Matt A</v>
          </cell>
          <cell r="C2194">
            <v>58.58</v>
          </cell>
        </row>
        <row r="2195">
          <cell r="B2195" t="str">
            <v>Willis,Richard S</v>
          </cell>
          <cell r="C2195">
            <v>69.14</v>
          </cell>
        </row>
        <row r="2196">
          <cell r="B2196" t="str">
            <v>Schaufus,Genesee A</v>
          </cell>
          <cell r="C2196">
            <v>34.880000000000003</v>
          </cell>
        </row>
        <row r="2197">
          <cell r="B2197" t="str">
            <v>Herrera,Alonzo F</v>
          </cell>
          <cell r="C2197">
            <v>28.51</v>
          </cell>
        </row>
        <row r="2198">
          <cell r="B2198" t="str">
            <v>Hulslander,Thomas R.</v>
          </cell>
          <cell r="C2198">
            <v>49.04</v>
          </cell>
        </row>
        <row r="2199">
          <cell r="B2199" t="str">
            <v>Gallagher,John F</v>
          </cell>
          <cell r="C2199">
            <v>111.43</v>
          </cell>
        </row>
        <row r="2200">
          <cell r="B2200" t="str">
            <v>Anderson,Regina J.</v>
          </cell>
          <cell r="C2200">
            <v>31.84</v>
          </cell>
        </row>
        <row r="2201">
          <cell r="B2201" t="str">
            <v>Williams,Kevin R.</v>
          </cell>
          <cell r="C2201">
            <v>55.75</v>
          </cell>
        </row>
        <row r="2202">
          <cell r="B2202" t="str">
            <v>Efe,Bekir</v>
          </cell>
          <cell r="C2202">
            <v>21</v>
          </cell>
        </row>
        <row r="2203">
          <cell r="B2203" t="str">
            <v>Carhart,Dominic J.</v>
          </cell>
          <cell r="C2203">
            <v>57.74</v>
          </cell>
        </row>
        <row r="2204">
          <cell r="B2204" t="str">
            <v>Dunbar,Mark E.</v>
          </cell>
          <cell r="C2204">
            <v>39.56</v>
          </cell>
        </row>
        <row r="2205">
          <cell r="B2205" t="str">
            <v>Williamson,Johnny R</v>
          </cell>
          <cell r="C2205">
            <v>41.94</v>
          </cell>
        </row>
        <row r="2206">
          <cell r="B2206" t="str">
            <v>Lee,Stephen H</v>
          </cell>
          <cell r="C2206">
            <v>45.12</v>
          </cell>
        </row>
        <row r="2207">
          <cell r="B2207" t="str">
            <v>Schreuder,Jason D</v>
          </cell>
          <cell r="C2207">
            <v>40.119999999999997</v>
          </cell>
        </row>
        <row r="2208">
          <cell r="B2208" t="str">
            <v>Reynolds,Michael J.</v>
          </cell>
          <cell r="C2208">
            <v>45.73</v>
          </cell>
        </row>
        <row r="2209">
          <cell r="B2209" t="str">
            <v>Sparks,Gregory C.</v>
          </cell>
          <cell r="C2209">
            <v>44.52</v>
          </cell>
        </row>
        <row r="2210">
          <cell r="B2210" t="str">
            <v>Parkin,John C.</v>
          </cell>
          <cell r="C2210">
            <v>21.34</v>
          </cell>
        </row>
        <row r="2211">
          <cell r="B2211" t="str">
            <v>Granger,Rodney L.</v>
          </cell>
          <cell r="C2211">
            <v>33.25</v>
          </cell>
        </row>
        <row r="2212">
          <cell r="B2212" t="str">
            <v>Pileggi,John B</v>
          </cell>
          <cell r="C2212">
            <v>19.38</v>
          </cell>
        </row>
        <row r="2213">
          <cell r="B2213" t="str">
            <v>Byrd,Richard Alan</v>
          </cell>
          <cell r="C2213">
            <v>46.08</v>
          </cell>
        </row>
        <row r="2214">
          <cell r="B2214" t="str">
            <v>Johnson,Douglas F.</v>
          </cell>
          <cell r="C2214">
            <v>69.84</v>
          </cell>
        </row>
        <row r="2215">
          <cell r="B2215" t="str">
            <v>Edmond,Bobby L</v>
          </cell>
          <cell r="C2215">
            <v>72.28</v>
          </cell>
        </row>
        <row r="2216">
          <cell r="B2216" t="str">
            <v>Brindley,Ronald Brent</v>
          </cell>
          <cell r="C2216">
            <v>19.91</v>
          </cell>
        </row>
        <row r="2217">
          <cell r="B2217" t="str">
            <v>Suda,Bethrenee L.</v>
          </cell>
          <cell r="C2217">
            <v>30.57</v>
          </cell>
        </row>
        <row r="2218">
          <cell r="B2218" t="str">
            <v>Coughanour,David A</v>
          </cell>
          <cell r="C2218">
            <v>50.06</v>
          </cell>
        </row>
        <row r="2219">
          <cell r="B2219" t="str">
            <v>Reaves,Renate</v>
          </cell>
          <cell r="C2219">
            <v>15.9</v>
          </cell>
        </row>
        <row r="2220">
          <cell r="B2220" t="str">
            <v>Raines,Thomas L</v>
          </cell>
          <cell r="C2220">
            <v>12.77</v>
          </cell>
        </row>
        <row r="2221">
          <cell r="B2221" t="str">
            <v>Shadrick,Melony D</v>
          </cell>
          <cell r="C2221">
            <v>36</v>
          </cell>
        </row>
        <row r="2222">
          <cell r="B2222" t="str">
            <v>Rajput,Ghulam H</v>
          </cell>
          <cell r="C2222">
            <v>15.32</v>
          </cell>
        </row>
        <row r="2223">
          <cell r="B2223" t="str">
            <v>Ouellette,Carrie F</v>
          </cell>
          <cell r="C2223">
            <v>48.076000000000001</v>
          </cell>
        </row>
        <row r="2224">
          <cell r="B2224" t="str">
            <v>Hitchcock,David K</v>
          </cell>
          <cell r="C2224">
            <v>37.729999999999997</v>
          </cell>
        </row>
        <row r="2225">
          <cell r="B2225" t="str">
            <v>Collie Jr,David J</v>
          </cell>
          <cell r="C2225">
            <v>30.97</v>
          </cell>
        </row>
        <row r="2226">
          <cell r="B2226" t="str">
            <v>Shaughnessy,Michael D</v>
          </cell>
          <cell r="C2226">
            <v>25.42</v>
          </cell>
        </row>
        <row r="2227">
          <cell r="B2227" t="str">
            <v>Ashley,Heidi E</v>
          </cell>
          <cell r="C2227">
            <v>18.37</v>
          </cell>
        </row>
        <row r="2228">
          <cell r="B2228" t="str">
            <v>Urban,Elizabeth A</v>
          </cell>
          <cell r="C2228">
            <v>36.06</v>
          </cell>
        </row>
        <row r="2229">
          <cell r="B2229" t="str">
            <v>Dunwiddie,Kyle Blake</v>
          </cell>
          <cell r="C2229">
            <v>48.89</v>
          </cell>
        </row>
        <row r="2230">
          <cell r="B2230" t="str">
            <v>Fuentes,Charles Y</v>
          </cell>
          <cell r="C2230">
            <v>26.72</v>
          </cell>
        </row>
        <row r="2231">
          <cell r="B2231" t="str">
            <v>Gawat,Richard S.</v>
          </cell>
          <cell r="C2231">
            <v>29.13</v>
          </cell>
        </row>
        <row r="2232">
          <cell r="B2232" t="str">
            <v>Pilkinton,Catherine M</v>
          </cell>
          <cell r="C2232">
            <v>46.64</v>
          </cell>
        </row>
        <row r="2233">
          <cell r="B2233" t="str">
            <v>Morris,Steven A</v>
          </cell>
          <cell r="C2233">
            <v>101.71</v>
          </cell>
        </row>
        <row r="2234">
          <cell r="B2234" t="str">
            <v>Williams,Lindsay</v>
          </cell>
          <cell r="C2234">
            <v>30.77</v>
          </cell>
        </row>
        <row r="2235">
          <cell r="B2235" t="str">
            <v>Wise,Sherry L</v>
          </cell>
          <cell r="C2235">
            <v>26.67</v>
          </cell>
        </row>
        <row r="2236">
          <cell r="B2236" t="str">
            <v>Hines,Josef A.</v>
          </cell>
          <cell r="C2236">
            <v>39.14</v>
          </cell>
        </row>
        <row r="2237">
          <cell r="B2237" t="str">
            <v>Moore,Thomas E</v>
          </cell>
          <cell r="C2237">
            <v>43.82</v>
          </cell>
        </row>
        <row r="2238">
          <cell r="B2238" t="str">
            <v>Davis,Lloyd D.</v>
          </cell>
          <cell r="C2238">
            <v>75.680000000000007</v>
          </cell>
        </row>
        <row r="2239">
          <cell r="B2239" t="str">
            <v>Bollinger,William J</v>
          </cell>
          <cell r="C2239">
            <v>30.17</v>
          </cell>
        </row>
        <row r="2240">
          <cell r="B2240" t="str">
            <v>Herbez,Patrick J.</v>
          </cell>
          <cell r="C2240">
            <v>50</v>
          </cell>
        </row>
        <row r="2241">
          <cell r="B2241" t="str">
            <v>Medina,Virginia Deana</v>
          </cell>
          <cell r="C2241">
            <v>33.840000000000003</v>
          </cell>
        </row>
        <row r="2242">
          <cell r="B2242" t="str">
            <v>Angeles,John H</v>
          </cell>
          <cell r="C2242">
            <v>18.399999999999999</v>
          </cell>
        </row>
        <row r="2243">
          <cell r="B2243" t="str">
            <v>Bello,Alberto C</v>
          </cell>
          <cell r="C2243">
            <v>27.69</v>
          </cell>
        </row>
        <row r="2244">
          <cell r="B2244" t="str">
            <v>Baltazar,Jennifer A</v>
          </cell>
          <cell r="C2244">
            <v>55.03</v>
          </cell>
        </row>
        <row r="2245">
          <cell r="B2245" t="str">
            <v>Holak,Joseph</v>
          </cell>
          <cell r="C2245">
            <v>26.117100000000001</v>
          </cell>
        </row>
        <row r="2246">
          <cell r="B2246" t="str">
            <v>Russell,Phyllis C</v>
          </cell>
          <cell r="C2246">
            <v>18.39</v>
          </cell>
        </row>
        <row r="2247">
          <cell r="B2247" t="str">
            <v>Ballance,Troy E</v>
          </cell>
          <cell r="C2247">
            <v>33.6</v>
          </cell>
        </row>
        <row r="2248">
          <cell r="B2248" t="str">
            <v>Gonzales,Pablo</v>
          </cell>
          <cell r="C2248">
            <v>36.74</v>
          </cell>
        </row>
        <row r="2249">
          <cell r="B2249" t="str">
            <v>Melville,Alexander J</v>
          </cell>
          <cell r="C2249">
            <v>22.41</v>
          </cell>
        </row>
        <row r="2250">
          <cell r="B2250" t="str">
            <v>Weber,Timothy W.</v>
          </cell>
          <cell r="C2250">
            <v>56.95</v>
          </cell>
        </row>
        <row r="2251">
          <cell r="B2251" t="str">
            <v>Newton,Janice R</v>
          </cell>
          <cell r="C2251">
            <v>41.4</v>
          </cell>
        </row>
        <row r="2252">
          <cell r="B2252" t="str">
            <v>Lindquist,Carl E</v>
          </cell>
          <cell r="C2252">
            <v>24.05</v>
          </cell>
        </row>
        <row r="2253">
          <cell r="B2253" t="str">
            <v>Norman,Julie M</v>
          </cell>
          <cell r="C2253">
            <v>29</v>
          </cell>
        </row>
        <row r="2254">
          <cell r="B2254" t="str">
            <v>Bean,Paul S</v>
          </cell>
          <cell r="C2254">
            <v>45.21</v>
          </cell>
        </row>
        <row r="2255">
          <cell r="B2255" t="str">
            <v>Myers,Michael J</v>
          </cell>
          <cell r="C2255">
            <v>55.79</v>
          </cell>
        </row>
        <row r="2256">
          <cell r="B2256" t="str">
            <v>Armstrong,Michele R</v>
          </cell>
          <cell r="C2256">
            <v>20.39</v>
          </cell>
        </row>
        <row r="2257">
          <cell r="B2257" t="str">
            <v>Chavez,Fernando</v>
          </cell>
          <cell r="C2257">
            <v>30</v>
          </cell>
        </row>
        <row r="2258">
          <cell r="B2258" t="str">
            <v>D'Souza,Desiree Jean</v>
          </cell>
          <cell r="C2258">
            <v>32.5</v>
          </cell>
        </row>
        <row r="2259">
          <cell r="B2259" t="str">
            <v>Burd,Nathan B</v>
          </cell>
          <cell r="C2259">
            <v>22.67</v>
          </cell>
        </row>
        <row r="2260">
          <cell r="B2260" t="str">
            <v>Gallant,Janet</v>
          </cell>
          <cell r="C2260">
            <v>66.069999999999993</v>
          </cell>
        </row>
        <row r="2261">
          <cell r="B2261" t="str">
            <v>Baker,Dawn N</v>
          </cell>
          <cell r="C2261">
            <v>25.49</v>
          </cell>
        </row>
        <row r="2262">
          <cell r="B2262" t="str">
            <v>Ressy,Alejandro F</v>
          </cell>
          <cell r="C2262">
            <v>44.3</v>
          </cell>
        </row>
        <row r="2263">
          <cell r="B2263" t="str">
            <v>Yakobi,Shana A</v>
          </cell>
          <cell r="C2263">
            <v>47.6</v>
          </cell>
        </row>
        <row r="2264">
          <cell r="B2264" t="str">
            <v>Loy II,Richard V</v>
          </cell>
          <cell r="C2264">
            <v>28.25</v>
          </cell>
        </row>
        <row r="2265">
          <cell r="B2265" t="str">
            <v>Berryman,Kimberly</v>
          </cell>
          <cell r="C2265">
            <v>24.38</v>
          </cell>
        </row>
        <row r="2266">
          <cell r="B2266" t="str">
            <v>Capili,Felipe M</v>
          </cell>
          <cell r="C2266">
            <v>22.61</v>
          </cell>
        </row>
        <row r="2267">
          <cell r="B2267" t="str">
            <v>Valadez,Ray J.</v>
          </cell>
          <cell r="C2267">
            <v>40.57</v>
          </cell>
        </row>
        <row r="2268">
          <cell r="B2268" t="str">
            <v>Molina,Herlinda O</v>
          </cell>
          <cell r="C2268">
            <v>31.26</v>
          </cell>
        </row>
        <row r="2269">
          <cell r="B2269" t="str">
            <v>Sola,Vincent R</v>
          </cell>
          <cell r="C2269">
            <v>57.7</v>
          </cell>
        </row>
        <row r="2270">
          <cell r="B2270" t="str">
            <v>Spencer,Derek J</v>
          </cell>
          <cell r="C2270">
            <v>40.67</v>
          </cell>
        </row>
        <row r="2271">
          <cell r="B2271" t="str">
            <v>Eifert,Eric J.</v>
          </cell>
          <cell r="C2271">
            <v>91.35</v>
          </cell>
        </row>
        <row r="2272">
          <cell r="B2272" t="str">
            <v>Leon,Richard N</v>
          </cell>
          <cell r="C2272">
            <v>22.5</v>
          </cell>
        </row>
        <row r="2273">
          <cell r="B2273" t="str">
            <v>Reid,Rickey R</v>
          </cell>
          <cell r="C2273">
            <v>21.37</v>
          </cell>
        </row>
        <row r="2274">
          <cell r="B2274" t="str">
            <v>Shideler,Brandon K</v>
          </cell>
          <cell r="C2274">
            <v>21.93</v>
          </cell>
        </row>
        <row r="2275">
          <cell r="B2275" t="str">
            <v>Anderson,Angela</v>
          </cell>
          <cell r="C2275">
            <v>31.8</v>
          </cell>
        </row>
        <row r="2276">
          <cell r="B2276" t="str">
            <v>Pool,John F</v>
          </cell>
          <cell r="C2276">
            <v>22.57</v>
          </cell>
        </row>
        <row r="2277">
          <cell r="B2277" t="str">
            <v>Moore,Olen</v>
          </cell>
          <cell r="C2277">
            <v>78.41</v>
          </cell>
        </row>
        <row r="2278">
          <cell r="B2278" t="str">
            <v>Olivares,Christy J</v>
          </cell>
          <cell r="C2278">
            <v>27.43</v>
          </cell>
        </row>
        <row r="2279">
          <cell r="B2279" t="str">
            <v>Rodinger,Ingo H</v>
          </cell>
          <cell r="C2279">
            <v>13.87</v>
          </cell>
        </row>
        <row r="2280">
          <cell r="B2280" t="str">
            <v>Bradshaw,Paul E</v>
          </cell>
          <cell r="C2280">
            <v>27</v>
          </cell>
        </row>
        <row r="2281">
          <cell r="B2281" t="str">
            <v>Pratt,Evan R</v>
          </cell>
          <cell r="C2281">
            <v>29.48</v>
          </cell>
        </row>
        <row r="2282">
          <cell r="B2282" t="str">
            <v>Noitalay,Arkom</v>
          </cell>
          <cell r="C2282">
            <v>22.52</v>
          </cell>
        </row>
        <row r="2283">
          <cell r="B2283" t="str">
            <v>Nieves,Alexander</v>
          </cell>
          <cell r="C2283">
            <v>115.15</v>
          </cell>
        </row>
        <row r="2284">
          <cell r="B2284" t="str">
            <v>Akin,David E.</v>
          </cell>
          <cell r="C2284">
            <v>78.41</v>
          </cell>
        </row>
        <row r="2285">
          <cell r="B2285" t="str">
            <v>Phillips,Charles F</v>
          </cell>
          <cell r="C2285">
            <v>47.81</v>
          </cell>
        </row>
        <row r="2286">
          <cell r="B2286" t="str">
            <v>Ford,Timothy S</v>
          </cell>
          <cell r="C2286">
            <v>36.159999999999997</v>
          </cell>
        </row>
        <row r="2287">
          <cell r="B2287" t="str">
            <v>Toskey,Kathleen A.</v>
          </cell>
          <cell r="C2287">
            <v>63.75</v>
          </cell>
        </row>
        <row r="2288">
          <cell r="B2288" t="str">
            <v>Findley,Martha B</v>
          </cell>
          <cell r="C2288">
            <v>30.84</v>
          </cell>
        </row>
        <row r="2289">
          <cell r="B2289" t="str">
            <v>Ross,David L</v>
          </cell>
          <cell r="C2289">
            <v>49.85</v>
          </cell>
        </row>
        <row r="2290">
          <cell r="B2290" t="str">
            <v>Griffin,Benford</v>
          </cell>
          <cell r="C2290">
            <v>25.86</v>
          </cell>
        </row>
        <row r="2291">
          <cell r="B2291" t="str">
            <v>MacDonell,William</v>
          </cell>
          <cell r="C2291">
            <v>58.36</v>
          </cell>
        </row>
        <row r="2292">
          <cell r="B2292" t="str">
            <v>Lemon,David R</v>
          </cell>
          <cell r="C2292">
            <v>20.399999999999999</v>
          </cell>
        </row>
        <row r="2293">
          <cell r="B2293" t="str">
            <v>Schwalbach,Ben</v>
          </cell>
          <cell r="C2293">
            <v>39.520000000000003</v>
          </cell>
        </row>
        <row r="2294">
          <cell r="B2294" t="str">
            <v>Mancuso,Louis J</v>
          </cell>
          <cell r="C2294">
            <v>72</v>
          </cell>
        </row>
        <row r="2295">
          <cell r="B2295" t="str">
            <v>Blume,Britney C</v>
          </cell>
          <cell r="C2295">
            <v>25.95</v>
          </cell>
        </row>
        <row r="2296">
          <cell r="B2296" t="str">
            <v>Farley,Jennifer M</v>
          </cell>
          <cell r="C2296">
            <v>47.97</v>
          </cell>
        </row>
        <row r="2297">
          <cell r="B2297" t="str">
            <v>Fishel,Brent R</v>
          </cell>
          <cell r="C2297">
            <v>41.35</v>
          </cell>
        </row>
        <row r="2298">
          <cell r="B2298" t="str">
            <v>Dixon,Keith L</v>
          </cell>
          <cell r="C2298">
            <v>35.93</v>
          </cell>
        </row>
        <row r="2299">
          <cell r="B2299" t="str">
            <v>Mitchell,Thomas E</v>
          </cell>
          <cell r="C2299">
            <v>153.84615400000001</v>
          </cell>
        </row>
        <row r="2300">
          <cell r="B2300" t="str">
            <v>Cox,Robert E</v>
          </cell>
          <cell r="C2300">
            <v>47.15</v>
          </cell>
        </row>
        <row r="2301">
          <cell r="B2301" t="str">
            <v>Swetland,Timothy A</v>
          </cell>
          <cell r="C2301">
            <v>44.22</v>
          </cell>
        </row>
        <row r="2302">
          <cell r="B2302" t="str">
            <v>McLean,Kenneth D</v>
          </cell>
          <cell r="C2302">
            <v>22.46</v>
          </cell>
        </row>
        <row r="2303">
          <cell r="B2303" t="str">
            <v>Trout,Ronald K</v>
          </cell>
          <cell r="C2303">
            <v>20.91</v>
          </cell>
        </row>
        <row r="2304">
          <cell r="B2304" t="str">
            <v>Davis,Rodney L</v>
          </cell>
          <cell r="C2304">
            <v>31.89</v>
          </cell>
        </row>
        <row r="2305">
          <cell r="B2305" t="str">
            <v>Selter,Jay Jacob</v>
          </cell>
          <cell r="C2305">
            <v>22.85</v>
          </cell>
        </row>
        <row r="2306">
          <cell r="B2306" t="str">
            <v>Bell,Robert</v>
          </cell>
          <cell r="C2306">
            <v>39.43</v>
          </cell>
        </row>
        <row r="2307">
          <cell r="B2307" t="str">
            <v>Johnson,Grady R</v>
          </cell>
          <cell r="C2307">
            <v>15.12</v>
          </cell>
        </row>
        <row r="2308">
          <cell r="B2308" t="str">
            <v>Dziadul,Jan L</v>
          </cell>
          <cell r="C2308">
            <v>26.89</v>
          </cell>
        </row>
        <row r="2309">
          <cell r="B2309" t="str">
            <v>Leopold,Suzanne H</v>
          </cell>
          <cell r="C2309">
            <v>40.74</v>
          </cell>
        </row>
        <row r="2310">
          <cell r="B2310" t="str">
            <v>Weiland,Bonnie L</v>
          </cell>
          <cell r="C2310">
            <v>49.1</v>
          </cell>
        </row>
        <row r="2311">
          <cell r="B2311" t="str">
            <v>Bryant,Brad A.</v>
          </cell>
          <cell r="C2311">
            <v>40.26</v>
          </cell>
        </row>
        <row r="2312">
          <cell r="B2312" t="str">
            <v>Carroll Jr.,Edward H.</v>
          </cell>
          <cell r="C2312">
            <v>23.3</v>
          </cell>
        </row>
        <row r="2313">
          <cell r="B2313" t="str">
            <v>Vance,William W</v>
          </cell>
          <cell r="C2313">
            <v>48.8</v>
          </cell>
        </row>
        <row r="2314">
          <cell r="B2314" t="str">
            <v>Hafele-Piluk,Annamarie</v>
          </cell>
          <cell r="C2314">
            <v>66.73</v>
          </cell>
        </row>
        <row r="2315">
          <cell r="B2315" t="str">
            <v>Conk,James W</v>
          </cell>
          <cell r="C2315">
            <v>29.47</v>
          </cell>
        </row>
        <row r="2316">
          <cell r="B2316" t="str">
            <v>Snow,Jade M</v>
          </cell>
          <cell r="C2316">
            <v>26.93</v>
          </cell>
        </row>
        <row r="2317">
          <cell r="B2317" t="str">
            <v>Andrews,Robert S.</v>
          </cell>
          <cell r="C2317">
            <v>65.64</v>
          </cell>
        </row>
        <row r="2318">
          <cell r="B2318" t="str">
            <v>Carlsson,Jenny M</v>
          </cell>
          <cell r="C2318">
            <v>55</v>
          </cell>
        </row>
        <row r="2319">
          <cell r="B2319" t="str">
            <v>Raymo,Anna M</v>
          </cell>
          <cell r="C2319">
            <v>33.659999999999997</v>
          </cell>
        </row>
        <row r="2320">
          <cell r="B2320" t="str">
            <v>Wolboldt,Paul M</v>
          </cell>
          <cell r="C2320">
            <v>26</v>
          </cell>
        </row>
        <row r="2321">
          <cell r="B2321" t="str">
            <v>Blackistone,Michael R.</v>
          </cell>
          <cell r="C2321">
            <v>41.01</v>
          </cell>
        </row>
        <row r="2322">
          <cell r="B2322" t="str">
            <v>Jones,William C.</v>
          </cell>
          <cell r="C2322">
            <v>35.880000000000003</v>
          </cell>
        </row>
        <row r="2323">
          <cell r="B2323" t="str">
            <v>Stark,Peter M.</v>
          </cell>
          <cell r="C2323">
            <v>83.14</v>
          </cell>
        </row>
        <row r="2324">
          <cell r="B2324" t="str">
            <v>Garvin,Karen Y</v>
          </cell>
          <cell r="C2324">
            <v>37</v>
          </cell>
        </row>
        <row r="2325">
          <cell r="B2325" t="str">
            <v>Shepard,Jerry W</v>
          </cell>
          <cell r="C2325">
            <v>23.61</v>
          </cell>
        </row>
        <row r="2326">
          <cell r="B2326" t="str">
            <v>Zelenski,Debra L.</v>
          </cell>
          <cell r="C2326">
            <v>46.11</v>
          </cell>
        </row>
        <row r="2327">
          <cell r="B2327" t="str">
            <v>Puma,Mary M.</v>
          </cell>
          <cell r="C2327">
            <v>57.7</v>
          </cell>
        </row>
        <row r="2328">
          <cell r="B2328" t="str">
            <v>Ballew,Timothy M</v>
          </cell>
          <cell r="C2328">
            <v>53.92</v>
          </cell>
        </row>
        <row r="2329">
          <cell r="B2329" t="str">
            <v>Johnson,Brandi L</v>
          </cell>
          <cell r="C2329">
            <v>25.04</v>
          </cell>
        </row>
        <row r="2330">
          <cell r="B2330" t="str">
            <v>Gibbs,Jonathan B</v>
          </cell>
          <cell r="C2330">
            <v>29.5</v>
          </cell>
        </row>
        <row r="2331">
          <cell r="B2331" t="str">
            <v>Caballero Jr.,Fernando</v>
          </cell>
          <cell r="C2331">
            <v>47.33</v>
          </cell>
        </row>
        <row r="2332">
          <cell r="B2332" t="str">
            <v>Rossetti-Laughter,Melissa A</v>
          </cell>
          <cell r="C2332">
            <v>50.49</v>
          </cell>
        </row>
        <row r="2333">
          <cell r="B2333" t="str">
            <v>Crews,Brenda S</v>
          </cell>
          <cell r="C2333">
            <v>16.12</v>
          </cell>
        </row>
        <row r="2334">
          <cell r="B2334" t="str">
            <v>Johnson,Eric A</v>
          </cell>
          <cell r="C2334">
            <v>29.42</v>
          </cell>
        </row>
        <row r="2335">
          <cell r="B2335" t="str">
            <v>McCall,Patrick S</v>
          </cell>
          <cell r="C2335">
            <v>21.24</v>
          </cell>
        </row>
        <row r="2336">
          <cell r="B2336" t="str">
            <v>Alford,Dorian D</v>
          </cell>
          <cell r="C2336">
            <v>22.02</v>
          </cell>
        </row>
        <row r="2337">
          <cell r="B2337" t="str">
            <v>Freeman,Nekia M</v>
          </cell>
          <cell r="C2337">
            <v>28.83</v>
          </cell>
        </row>
        <row r="2338">
          <cell r="B2338" t="str">
            <v>Carrasco,NgocHanh T</v>
          </cell>
          <cell r="C2338">
            <v>16.59</v>
          </cell>
        </row>
        <row r="2339">
          <cell r="B2339" t="str">
            <v>Smith-Williams,Oscina C</v>
          </cell>
          <cell r="C2339">
            <v>26.48</v>
          </cell>
        </row>
        <row r="2340">
          <cell r="B2340" t="str">
            <v>Smith,Edward H</v>
          </cell>
          <cell r="C2340">
            <v>60.48</v>
          </cell>
        </row>
        <row r="2341">
          <cell r="B2341" t="str">
            <v>Bowers,Bruce H</v>
          </cell>
          <cell r="C2341">
            <v>24.33</v>
          </cell>
        </row>
        <row r="2342">
          <cell r="B2342" t="str">
            <v>Bell,Michael D</v>
          </cell>
          <cell r="C2342">
            <v>33.99</v>
          </cell>
        </row>
        <row r="2343">
          <cell r="B2343" t="str">
            <v>Vazquez,Diego L</v>
          </cell>
          <cell r="C2343">
            <v>20.5</v>
          </cell>
        </row>
        <row r="2344">
          <cell r="B2344" t="str">
            <v>Stines,Julian E</v>
          </cell>
          <cell r="C2344">
            <v>18.86</v>
          </cell>
        </row>
        <row r="2345">
          <cell r="B2345" t="str">
            <v>McFadden,Randol W</v>
          </cell>
          <cell r="C2345">
            <v>21.94</v>
          </cell>
        </row>
        <row r="2346">
          <cell r="B2346" t="str">
            <v>Little Jr.,William A</v>
          </cell>
          <cell r="C2346">
            <v>35.4</v>
          </cell>
        </row>
        <row r="2347">
          <cell r="B2347" t="str">
            <v>McLarney,Nathaniel G</v>
          </cell>
          <cell r="C2347">
            <v>26.91</v>
          </cell>
        </row>
        <row r="2348">
          <cell r="B2348" t="str">
            <v>Phillips-Buie,Ernestine</v>
          </cell>
          <cell r="C2348">
            <v>40.18</v>
          </cell>
        </row>
        <row r="2349">
          <cell r="B2349" t="str">
            <v>Papademetrious,Sharon L</v>
          </cell>
          <cell r="C2349">
            <v>30.82</v>
          </cell>
        </row>
        <row r="2350">
          <cell r="B2350" t="str">
            <v>Proctor Jr.,Cecil O</v>
          </cell>
          <cell r="C2350">
            <v>23.21</v>
          </cell>
        </row>
        <row r="2351">
          <cell r="B2351" t="str">
            <v>Palazzo,Paul A</v>
          </cell>
          <cell r="C2351">
            <v>57.15</v>
          </cell>
        </row>
        <row r="2352">
          <cell r="B2352" t="str">
            <v>Pullen,Danny L</v>
          </cell>
          <cell r="C2352">
            <v>27.07</v>
          </cell>
        </row>
        <row r="2353">
          <cell r="B2353" t="str">
            <v>Stratton,Jeffrey P</v>
          </cell>
          <cell r="C2353">
            <v>56.09</v>
          </cell>
        </row>
        <row r="2354">
          <cell r="B2354" t="str">
            <v>Thompson,Phillip J</v>
          </cell>
          <cell r="C2354">
            <v>51.53</v>
          </cell>
        </row>
        <row r="2355">
          <cell r="B2355" t="str">
            <v>Goines,Terri R</v>
          </cell>
          <cell r="C2355">
            <v>28</v>
          </cell>
        </row>
        <row r="2356">
          <cell r="B2356" t="str">
            <v>Brumbaugh,Clint S</v>
          </cell>
          <cell r="C2356">
            <v>20.399999999999999</v>
          </cell>
        </row>
        <row r="2357">
          <cell r="B2357" t="str">
            <v>Ferguson,David A.</v>
          </cell>
          <cell r="C2357">
            <v>65.36</v>
          </cell>
        </row>
        <row r="2358">
          <cell r="B2358" t="str">
            <v>Murphy,Carlos D</v>
          </cell>
          <cell r="C2358">
            <v>20.5</v>
          </cell>
        </row>
        <row r="2359">
          <cell r="B2359" t="str">
            <v>Lescalleet,Dianna P</v>
          </cell>
          <cell r="C2359">
            <v>29.15</v>
          </cell>
        </row>
        <row r="2360">
          <cell r="B2360" t="str">
            <v>Beavers,Brian A</v>
          </cell>
          <cell r="C2360">
            <v>42.92</v>
          </cell>
        </row>
        <row r="2361">
          <cell r="B2361" t="str">
            <v>Norick,Darryl L</v>
          </cell>
          <cell r="C2361">
            <v>23.46</v>
          </cell>
        </row>
        <row r="2362">
          <cell r="B2362" t="str">
            <v>Mathern,William C</v>
          </cell>
          <cell r="C2362">
            <v>21.01</v>
          </cell>
        </row>
        <row r="2363">
          <cell r="B2363" t="str">
            <v>Custodio,Nonnatus S</v>
          </cell>
          <cell r="C2363">
            <v>16.989999999999998</v>
          </cell>
        </row>
        <row r="2364">
          <cell r="B2364" t="str">
            <v>Guzman,Jessica</v>
          </cell>
          <cell r="C2364">
            <v>16.489999999999998</v>
          </cell>
        </row>
        <row r="2365">
          <cell r="B2365" t="str">
            <v>Briggs,Quinn R</v>
          </cell>
          <cell r="C2365">
            <v>57.95</v>
          </cell>
        </row>
        <row r="2366">
          <cell r="B2366" t="str">
            <v>Caldwell Jr.,Jerome A</v>
          </cell>
          <cell r="C2366">
            <v>36.03</v>
          </cell>
        </row>
        <row r="2367">
          <cell r="B2367" t="str">
            <v>Gautier,Mark A.</v>
          </cell>
          <cell r="C2367">
            <v>59.25</v>
          </cell>
        </row>
        <row r="2368">
          <cell r="B2368" t="str">
            <v>Dugas,John L</v>
          </cell>
          <cell r="C2368">
            <v>47.11</v>
          </cell>
        </row>
        <row r="2369">
          <cell r="B2369" t="str">
            <v>Lasher,Kevin L</v>
          </cell>
          <cell r="C2369">
            <v>20.69</v>
          </cell>
        </row>
        <row r="2370">
          <cell r="B2370" t="str">
            <v>Perkins,Donald R</v>
          </cell>
          <cell r="C2370">
            <v>24.9</v>
          </cell>
        </row>
        <row r="2371">
          <cell r="B2371" t="str">
            <v>Gomez,David R</v>
          </cell>
          <cell r="C2371">
            <v>37</v>
          </cell>
        </row>
        <row r="2372">
          <cell r="B2372" t="str">
            <v>Moist,George A</v>
          </cell>
          <cell r="C2372">
            <v>61.68</v>
          </cell>
        </row>
        <row r="2373">
          <cell r="B2373" t="str">
            <v>Baldwin,Gregory R</v>
          </cell>
          <cell r="C2373">
            <v>23.97</v>
          </cell>
        </row>
        <row r="2374">
          <cell r="B2374" t="str">
            <v>Ardalan,Kaveh</v>
          </cell>
          <cell r="C2374">
            <v>19</v>
          </cell>
        </row>
        <row r="2375">
          <cell r="B2375" t="str">
            <v>Henderson,Gary W</v>
          </cell>
          <cell r="C2375">
            <v>14.63</v>
          </cell>
        </row>
        <row r="2376">
          <cell r="B2376" t="str">
            <v>Feldman,Jason R</v>
          </cell>
          <cell r="C2376">
            <v>42.97</v>
          </cell>
        </row>
        <row r="2377">
          <cell r="B2377" t="str">
            <v>McCammon III,Keith W.</v>
          </cell>
          <cell r="C2377">
            <v>62.61</v>
          </cell>
        </row>
        <row r="2378">
          <cell r="B2378" t="str">
            <v>Moten,Allen W</v>
          </cell>
          <cell r="C2378">
            <v>15.07</v>
          </cell>
        </row>
        <row r="2379">
          <cell r="B2379" t="str">
            <v>Hill,Valerie L</v>
          </cell>
          <cell r="C2379">
            <v>27.99</v>
          </cell>
        </row>
        <row r="2380">
          <cell r="B2380" t="str">
            <v>Morris,Duane C</v>
          </cell>
          <cell r="C2380">
            <v>62.64</v>
          </cell>
        </row>
        <row r="2381">
          <cell r="B2381" t="str">
            <v>Reynolds,Donald J</v>
          </cell>
          <cell r="C2381">
            <v>67.959999999999994</v>
          </cell>
        </row>
        <row r="2382">
          <cell r="B2382" t="str">
            <v>Trexler,Michael J</v>
          </cell>
          <cell r="C2382">
            <v>64.12</v>
          </cell>
        </row>
        <row r="2383">
          <cell r="B2383" t="str">
            <v>Smith,Larry D</v>
          </cell>
          <cell r="C2383">
            <v>25.58</v>
          </cell>
        </row>
        <row r="2384">
          <cell r="B2384" t="str">
            <v>Bailey,John C</v>
          </cell>
          <cell r="C2384">
            <v>53.95</v>
          </cell>
        </row>
        <row r="2385">
          <cell r="B2385" t="str">
            <v>Weeks III,L. Trevette</v>
          </cell>
          <cell r="C2385">
            <v>24.65</v>
          </cell>
        </row>
        <row r="2386">
          <cell r="B2386" t="str">
            <v>Otero,Raymond J</v>
          </cell>
          <cell r="C2386">
            <v>43.19</v>
          </cell>
        </row>
        <row r="2387">
          <cell r="B2387" t="str">
            <v>Leili,Kevin R.</v>
          </cell>
          <cell r="C2387">
            <v>62.24</v>
          </cell>
        </row>
        <row r="2388">
          <cell r="B2388" t="str">
            <v>Olson,William C</v>
          </cell>
          <cell r="C2388">
            <v>46.94</v>
          </cell>
        </row>
        <row r="2389">
          <cell r="B2389" t="str">
            <v>Beckner II,Larry E</v>
          </cell>
          <cell r="C2389">
            <v>24.95</v>
          </cell>
        </row>
        <row r="2390">
          <cell r="B2390" t="str">
            <v>Hernandez,Melissa</v>
          </cell>
          <cell r="C2390">
            <v>20.2</v>
          </cell>
        </row>
        <row r="2391">
          <cell r="B2391" t="str">
            <v>McCormick,Todd S</v>
          </cell>
          <cell r="C2391">
            <v>34.93</v>
          </cell>
        </row>
        <row r="2392">
          <cell r="B2392" t="str">
            <v>Space,Philip B</v>
          </cell>
          <cell r="C2392">
            <v>107.63</v>
          </cell>
        </row>
        <row r="2393">
          <cell r="B2393" t="str">
            <v>Roberts,Michael L.</v>
          </cell>
          <cell r="C2393">
            <v>82.67</v>
          </cell>
        </row>
        <row r="2394">
          <cell r="B2394" t="str">
            <v>Babers,Clara C</v>
          </cell>
          <cell r="C2394">
            <v>17.5</v>
          </cell>
        </row>
        <row r="2395">
          <cell r="B2395" t="str">
            <v>Murray,Patrick Thomas</v>
          </cell>
          <cell r="C2395">
            <v>28.97</v>
          </cell>
        </row>
        <row r="2396">
          <cell r="B2396" t="str">
            <v>Zagar,Marla K</v>
          </cell>
          <cell r="C2396">
            <v>25.34</v>
          </cell>
        </row>
        <row r="2397">
          <cell r="B2397" t="str">
            <v>Carley,Daniel J</v>
          </cell>
          <cell r="C2397">
            <v>32.729999999999997</v>
          </cell>
        </row>
        <row r="2398">
          <cell r="B2398" t="str">
            <v>George,Alan C</v>
          </cell>
          <cell r="C2398">
            <v>48.97</v>
          </cell>
        </row>
        <row r="2399">
          <cell r="B2399" t="str">
            <v>Campbell,Joshua T</v>
          </cell>
          <cell r="C2399">
            <v>27.5</v>
          </cell>
        </row>
        <row r="2400">
          <cell r="B2400" t="str">
            <v>Loudermilk,Kenneth G</v>
          </cell>
          <cell r="C2400">
            <v>91.91</v>
          </cell>
        </row>
        <row r="2401">
          <cell r="B2401" t="str">
            <v>Slaughter,Tracy L</v>
          </cell>
          <cell r="C2401">
            <v>40.86</v>
          </cell>
        </row>
        <row r="2402">
          <cell r="B2402" t="str">
            <v>Leitz,Cecilia M</v>
          </cell>
          <cell r="C2402">
            <v>22.4</v>
          </cell>
        </row>
        <row r="2403">
          <cell r="B2403" t="str">
            <v>Dennis,David T</v>
          </cell>
          <cell r="C2403">
            <v>28.84</v>
          </cell>
        </row>
        <row r="2404">
          <cell r="B2404" t="str">
            <v>Dickey,Joe K.</v>
          </cell>
          <cell r="C2404">
            <v>62.4</v>
          </cell>
        </row>
        <row r="2405">
          <cell r="B2405" t="str">
            <v>Henderson,Jack G.</v>
          </cell>
          <cell r="C2405">
            <v>32.75</v>
          </cell>
        </row>
        <row r="2406">
          <cell r="B2406" t="str">
            <v>Mortimer,Richard S</v>
          </cell>
          <cell r="C2406">
            <v>28.17</v>
          </cell>
        </row>
        <row r="2407">
          <cell r="B2407" t="str">
            <v>Klem Jr.,Donald J</v>
          </cell>
          <cell r="C2407">
            <v>40.869999999999997</v>
          </cell>
        </row>
        <row r="2408">
          <cell r="B2408" t="str">
            <v>Brown,Joshua M</v>
          </cell>
          <cell r="C2408">
            <v>25.01</v>
          </cell>
        </row>
        <row r="2409">
          <cell r="B2409" t="str">
            <v>Kinsall,Sander M</v>
          </cell>
          <cell r="C2409">
            <v>50</v>
          </cell>
        </row>
        <row r="2410">
          <cell r="B2410" t="str">
            <v>Bogard,Tracy G</v>
          </cell>
          <cell r="C2410">
            <v>59.83</v>
          </cell>
        </row>
        <row r="2411">
          <cell r="B2411" t="str">
            <v>Dunn,Rebecca S</v>
          </cell>
          <cell r="C2411">
            <v>20.84</v>
          </cell>
        </row>
        <row r="2412">
          <cell r="B2412" t="str">
            <v>Martin,Wesley</v>
          </cell>
          <cell r="C2412">
            <v>37.5</v>
          </cell>
        </row>
        <row r="2413">
          <cell r="B2413" t="str">
            <v>Kallio,Mark R</v>
          </cell>
          <cell r="C2413">
            <v>50.31</v>
          </cell>
        </row>
        <row r="2414">
          <cell r="B2414" t="str">
            <v>Lee,Robert E</v>
          </cell>
          <cell r="C2414">
            <v>73.98</v>
          </cell>
        </row>
        <row r="2415">
          <cell r="B2415" t="str">
            <v>Weaver Jr.,Frederick</v>
          </cell>
          <cell r="C2415">
            <v>86.66</v>
          </cell>
        </row>
        <row r="2416">
          <cell r="B2416" t="str">
            <v>Buzzee,Philip M</v>
          </cell>
          <cell r="C2416">
            <v>20.56</v>
          </cell>
        </row>
        <row r="2417">
          <cell r="B2417" t="str">
            <v>Bell,Tiffany M</v>
          </cell>
          <cell r="C2417">
            <v>16.48</v>
          </cell>
        </row>
        <row r="2418">
          <cell r="B2418" t="str">
            <v>Schwarz,Sheppard P.</v>
          </cell>
          <cell r="C2418">
            <v>63.91</v>
          </cell>
        </row>
        <row r="2419">
          <cell r="B2419" t="str">
            <v>Osbon,John D</v>
          </cell>
          <cell r="C2419">
            <v>44.72</v>
          </cell>
        </row>
        <row r="2420">
          <cell r="B2420" t="str">
            <v>Foushee,Cheryl L</v>
          </cell>
          <cell r="C2420">
            <v>18.989999999999998</v>
          </cell>
        </row>
        <row r="2421">
          <cell r="B2421" t="str">
            <v>Yanci,Joseph T.</v>
          </cell>
          <cell r="C2421">
            <v>84.33</v>
          </cell>
        </row>
        <row r="2422">
          <cell r="B2422" t="str">
            <v>Smith,Tremayne L</v>
          </cell>
          <cell r="C2422">
            <v>18.41</v>
          </cell>
        </row>
        <row r="2423">
          <cell r="B2423" t="str">
            <v>Watson,David M.</v>
          </cell>
          <cell r="C2423">
            <v>33.28</v>
          </cell>
        </row>
        <row r="2424">
          <cell r="B2424" t="str">
            <v>Kunysz,Karen A</v>
          </cell>
          <cell r="C2424">
            <v>25.73</v>
          </cell>
        </row>
        <row r="2425">
          <cell r="B2425" t="str">
            <v>Griffith,Cristopher E</v>
          </cell>
          <cell r="C2425">
            <v>25.09</v>
          </cell>
        </row>
        <row r="2426">
          <cell r="B2426" t="str">
            <v>Travis,Robert E</v>
          </cell>
          <cell r="C2426">
            <v>56</v>
          </cell>
        </row>
        <row r="2427">
          <cell r="B2427" t="str">
            <v>Martinez-Garcia,Refugio</v>
          </cell>
          <cell r="C2427">
            <v>20.34</v>
          </cell>
        </row>
        <row r="2428">
          <cell r="B2428" t="str">
            <v>Jackson,Michael L.</v>
          </cell>
          <cell r="C2428">
            <v>31.84</v>
          </cell>
        </row>
        <row r="2429">
          <cell r="B2429" t="str">
            <v>Levine,Peter D</v>
          </cell>
          <cell r="C2429">
            <v>34.619999999999997</v>
          </cell>
        </row>
        <row r="2430">
          <cell r="B2430" t="str">
            <v>Torres,Gloria D</v>
          </cell>
          <cell r="C2430">
            <v>14.45</v>
          </cell>
        </row>
        <row r="2431">
          <cell r="B2431" t="str">
            <v>Gear,Dale V</v>
          </cell>
          <cell r="C2431">
            <v>61.67</v>
          </cell>
        </row>
        <row r="2432">
          <cell r="B2432" t="str">
            <v>Days,Douglas L</v>
          </cell>
          <cell r="C2432">
            <v>81.93</v>
          </cell>
        </row>
        <row r="2433">
          <cell r="B2433" t="str">
            <v>True,Larissa K</v>
          </cell>
          <cell r="C2433">
            <v>8</v>
          </cell>
        </row>
        <row r="2434">
          <cell r="B2434" t="str">
            <v>Owens,Darin L</v>
          </cell>
          <cell r="C2434">
            <v>23.16</v>
          </cell>
        </row>
        <row r="2435">
          <cell r="B2435" t="str">
            <v>Liskovec,Michael A</v>
          </cell>
          <cell r="C2435">
            <v>32.69</v>
          </cell>
        </row>
        <row r="2436">
          <cell r="B2436" t="str">
            <v>Hall,Alan W</v>
          </cell>
          <cell r="C2436">
            <v>60.38</v>
          </cell>
        </row>
        <row r="2437">
          <cell r="B2437" t="str">
            <v>Ronat,Sarah E.</v>
          </cell>
          <cell r="C2437">
            <v>12.44</v>
          </cell>
        </row>
        <row r="2438">
          <cell r="B2438" t="str">
            <v>Kidwell,Robert S</v>
          </cell>
          <cell r="C2438">
            <v>102.85</v>
          </cell>
        </row>
        <row r="2439">
          <cell r="B2439" t="str">
            <v>Esplana Sr.,Gil F</v>
          </cell>
          <cell r="C2439">
            <v>22.47</v>
          </cell>
        </row>
        <row r="2440">
          <cell r="B2440" t="str">
            <v>Epperly,Charlotte A</v>
          </cell>
          <cell r="C2440">
            <v>41.1</v>
          </cell>
        </row>
        <row r="2441">
          <cell r="B2441" t="str">
            <v>Puckett,Curtis</v>
          </cell>
          <cell r="C2441">
            <v>25</v>
          </cell>
        </row>
        <row r="2442">
          <cell r="B2442" t="str">
            <v>Shrey-Hovey,Cheryl L</v>
          </cell>
          <cell r="C2442">
            <v>61.79</v>
          </cell>
        </row>
        <row r="2443">
          <cell r="B2443" t="str">
            <v>Taylor Jr.,William G.</v>
          </cell>
          <cell r="C2443">
            <v>34.18</v>
          </cell>
        </row>
        <row r="2444">
          <cell r="B2444" t="str">
            <v>Reynolds,Jessica A</v>
          </cell>
          <cell r="C2444">
            <v>18.84</v>
          </cell>
        </row>
        <row r="2445">
          <cell r="B2445" t="str">
            <v>Slagle,Patrick D</v>
          </cell>
          <cell r="C2445">
            <v>23.35</v>
          </cell>
        </row>
        <row r="2446">
          <cell r="B2446" t="str">
            <v>Bellardine Jr.,August</v>
          </cell>
          <cell r="C2446">
            <v>66.77</v>
          </cell>
        </row>
        <row r="2447">
          <cell r="B2447" t="str">
            <v>Koelsch,Philip C</v>
          </cell>
          <cell r="C2447">
            <v>60.49</v>
          </cell>
        </row>
        <row r="2448">
          <cell r="B2448" t="str">
            <v>McDonald,Edward C</v>
          </cell>
          <cell r="C2448">
            <v>82.22</v>
          </cell>
        </row>
        <row r="2449">
          <cell r="B2449" t="str">
            <v>Fricke,Gregory D.</v>
          </cell>
          <cell r="C2449">
            <v>76.010000000000005</v>
          </cell>
        </row>
        <row r="2450">
          <cell r="B2450" t="str">
            <v>Beaudreau,Michael</v>
          </cell>
          <cell r="C2450">
            <v>73.7</v>
          </cell>
        </row>
        <row r="2451">
          <cell r="B2451" t="str">
            <v>Glass,Alan C</v>
          </cell>
          <cell r="C2451">
            <v>33.76</v>
          </cell>
        </row>
        <row r="2452">
          <cell r="B2452" t="str">
            <v>Correll,Mark A.</v>
          </cell>
          <cell r="C2452">
            <v>33.200000000000003</v>
          </cell>
        </row>
        <row r="2453">
          <cell r="B2453" t="str">
            <v>Graham,Curtis L</v>
          </cell>
          <cell r="C2453">
            <v>27.81</v>
          </cell>
        </row>
        <row r="2454">
          <cell r="B2454" t="str">
            <v>Rakita,Serena R.</v>
          </cell>
          <cell r="C2454">
            <v>38.299999999999997</v>
          </cell>
        </row>
        <row r="2455">
          <cell r="B2455" t="str">
            <v>Shelton,David D</v>
          </cell>
          <cell r="C2455">
            <v>55.29</v>
          </cell>
        </row>
        <row r="2456">
          <cell r="B2456" t="str">
            <v>Betchy,Harry J</v>
          </cell>
          <cell r="C2456">
            <v>58.32</v>
          </cell>
        </row>
        <row r="2457">
          <cell r="B2457" t="str">
            <v>Cheski,Richard A</v>
          </cell>
          <cell r="C2457">
            <v>31.79</v>
          </cell>
        </row>
        <row r="2458">
          <cell r="B2458" t="str">
            <v>Jones,James R.</v>
          </cell>
          <cell r="C2458">
            <v>67.819999999999993</v>
          </cell>
        </row>
        <row r="2459">
          <cell r="B2459" t="str">
            <v>Lara Jr.,David</v>
          </cell>
          <cell r="C2459">
            <v>51.93</v>
          </cell>
        </row>
        <row r="2460">
          <cell r="B2460" t="str">
            <v>Bunn,Robin A</v>
          </cell>
          <cell r="C2460">
            <v>23.48</v>
          </cell>
        </row>
        <row r="2461">
          <cell r="B2461" t="str">
            <v>Nguyen,Tam</v>
          </cell>
          <cell r="C2461">
            <v>43.05</v>
          </cell>
        </row>
        <row r="2462">
          <cell r="B2462" t="str">
            <v>Haley,Darrell K</v>
          </cell>
          <cell r="C2462">
            <v>20.91</v>
          </cell>
        </row>
        <row r="2463">
          <cell r="B2463" t="str">
            <v>Hacker,James P</v>
          </cell>
          <cell r="C2463">
            <v>25.95</v>
          </cell>
        </row>
        <row r="2464">
          <cell r="B2464" t="str">
            <v>Meredith,Ieshia A</v>
          </cell>
          <cell r="C2464">
            <v>22.4</v>
          </cell>
        </row>
        <row r="2465">
          <cell r="B2465" t="str">
            <v>Thompson,Stephanie L</v>
          </cell>
          <cell r="C2465">
            <v>42.53</v>
          </cell>
        </row>
        <row r="2466">
          <cell r="B2466" t="str">
            <v>Guffey,Kathryn J</v>
          </cell>
          <cell r="C2466">
            <v>19.239999999999998</v>
          </cell>
        </row>
        <row r="2467">
          <cell r="B2467" t="str">
            <v>Heath,Scott D</v>
          </cell>
          <cell r="C2467">
            <v>21.65</v>
          </cell>
        </row>
        <row r="2468">
          <cell r="B2468" t="str">
            <v>Vo,Thai Q</v>
          </cell>
          <cell r="C2468">
            <v>32.5</v>
          </cell>
        </row>
        <row r="2469">
          <cell r="B2469" t="str">
            <v>Penny,Carlos R</v>
          </cell>
          <cell r="C2469">
            <v>21.94</v>
          </cell>
        </row>
        <row r="2470">
          <cell r="B2470" t="str">
            <v>Romano,Vincent</v>
          </cell>
          <cell r="C2470">
            <v>77.260000000000005</v>
          </cell>
        </row>
        <row r="2471">
          <cell r="B2471" t="str">
            <v>Gerkens Jr.,Frederick W</v>
          </cell>
          <cell r="C2471">
            <v>49.77</v>
          </cell>
        </row>
        <row r="2472">
          <cell r="B2472" t="str">
            <v>Pease,William J</v>
          </cell>
          <cell r="C2472">
            <v>57</v>
          </cell>
        </row>
        <row r="2473">
          <cell r="B2473" t="str">
            <v>Jordan,Colette</v>
          </cell>
          <cell r="C2473">
            <v>61.32</v>
          </cell>
        </row>
        <row r="2474">
          <cell r="B2474" t="str">
            <v>Sipina,Branko</v>
          </cell>
          <cell r="C2474">
            <v>41</v>
          </cell>
        </row>
        <row r="2475">
          <cell r="B2475" t="str">
            <v>Cuellar,Josephine</v>
          </cell>
          <cell r="C2475">
            <v>20.38</v>
          </cell>
        </row>
        <row r="2476">
          <cell r="B2476" t="str">
            <v>McCollom-Jones,Tobias T</v>
          </cell>
          <cell r="C2476">
            <v>18.489999999999998</v>
          </cell>
        </row>
        <row r="2477">
          <cell r="B2477" t="str">
            <v>Moody,Clifford G</v>
          </cell>
          <cell r="C2477">
            <v>74.73</v>
          </cell>
        </row>
        <row r="2478">
          <cell r="B2478" t="str">
            <v>Bain,James A</v>
          </cell>
          <cell r="C2478">
            <v>24.03</v>
          </cell>
        </row>
        <row r="2479">
          <cell r="B2479" t="str">
            <v>Rummel,Richard A</v>
          </cell>
          <cell r="C2479">
            <v>41.95</v>
          </cell>
        </row>
        <row r="2480">
          <cell r="B2480" t="str">
            <v>McGahee,LaToya F</v>
          </cell>
          <cell r="C2480">
            <v>17.059999999999999</v>
          </cell>
        </row>
        <row r="2481">
          <cell r="B2481" t="str">
            <v>Bergay,Edith A</v>
          </cell>
          <cell r="C2481">
            <v>56.19</v>
          </cell>
        </row>
        <row r="2482">
          <cell r="B2482" t="str">
            <v>Fisher,Henry A</v>
          </cell>
          <cell r="C2482">
            <v>62.7</v>
          </cell>
        </row>
        <row r="2483">
          <cell r="B2483" t="str">
            <v>Riviello,Christopher</v>
          </cell>
          <cell r="C2483">
            <v>63.31</v>
          </cell>
        </row>
        <row r="2484">
          <cell r="B2484" t="str">
            <v>Dearing,Christopher Robin</v>
          </cell>
          <cell r="C2484">
            <v>40.799999999999997</v>
          </cell>
        </row>
        <row r="2485">
          <cell r="B2485" t="str">
            <v>Hudson,Naomi S</v>
          </cell>
          <cell r="C2485">
            <v>57.82</v>
          </cell>
        </row>
        <row r="2486">
          <cell r="B2486" t="str">
            <v>Royster,Berkley M</v>
          </cell>
          <cell r="C2486">
            <v>47.95</v>
          </cell>
        </row>
        <row r="2487">
          <cell r="B2487" t="str">
            <v>Tindal,Brandon S</v>
          </cell>
          <cell r="C2487">
            <v>27.1</v>
          </cell>
        </row>
        <row r="2488">
          <cell r="B2488" t="str">
            <v>Giotta,William H</v>
          </cell>
          <cell r="C2488">
            <v>31.35</v>
          </cell>
        </row>
        <row r="2489">
          <cell r="B2489" t="str">
            <v>Torres,Sharmane A</v>
          </cell>
          <cell r="C2489">
            <v>15</v>
          </cell>
        </row>
        <row r="2490">
          <cell r="B2490" t="str">
            <v>Battiste,Jean-Pierre</v>
          </cell>
          <cell r="C2490">
            <v>29.86</v>
          </cell>
        </row>
        <row r="2491">
          <cell r="B2491" t="str">
            <v>Porter,Darrell D</v>
          </cell>
          <cell r="C2491">
            <v>21</v>
          </cell>
        </row>
        <row r="2492">
          <cell r="B2492" t="str">
            <v>Ingersoll,Stephen J</v>
          </cell>
          <cell r="C2492">
            <v>58.83</v>
          </cell>
        </row>
        <row r="2493">
          <cell r="B2493" t="str">
            <v>Draper,Emily S.</v>
          </cell>
          <cell r="C2493">
            <v>59.19</v>
          </cell>
        </row>
        <row r="2494">
          <cell r="B2494" t="str">
            <v>Muus,Laurie Denise</v>
          </cell>
          <cell r="C2494">
            <v>24.46</v>
          </cell>
        </row>
        <row r="2495">
          <cell r="B2495" t="str">
            <v>Marsh,Lori M</v>
          </cell>
          <cell r="C2495">
            <v>39.29</v>
          </cell>
        </row>
        <row r="2496">
          <cell r="B2496" t="str">
            <v>Vallejo Jr.,Mike M.</v>
          </cell>
          <cell r="C2496">
            <v>38.380000000000003</v>
          </cell>
        </row>
        <row r="2497">
          <cell r="B2497" t="str">
            <v>Snyder,Leon J</v>
          </cell>
          <cell r="C2497">
            <v>22.54</v>
          </cell>
        </row>
        <row r="2498">
          <cell r="B2498" t="str">
            <v>Keys,Linda G</v>
          </cell>
          <cell r="C2498">
            <v>24.73</v>
          </cell>
        </row>
        <row r="2499">
          <cell r="B2499" t="str">
            <v>Edwards,Valerie K</v>
          </cell>
          <cell r="C2499">
            <v>16.93</v>
          </cell>
        </row>
        <row r="2500">
          <cell r="B2500" t="str">
            <v>Lacy,Martin A</v>
          </cell>
          <cell r="C2500">
            <v>21.73</v>
          </cell>
        </row>
        <row r="2501">
          <cell r="B2501" t="str">
            <v>Majied,Lynn D</v>
          </cell>
          <cell r="C2501">
            <v>46.91</v>
          </cell>
        </row>
        <row r="2502">
          <cell r="B2502" t="str">
            <v>Meekins,David B</v>
          </cell>
          <cell r="C2502">
            <v>58.07</v>
          </cell>
        </row>
        <row r="2503">
          <cell r="B2503" t="str">
            <v>Baumgartner,Benjamin P</v>
          </cell>
          <cell r="C2503">
            <v>51.68</v>
          </cell>
        </row>
        <row r="2504">
          <cell r="B2504" t="str">
            <v>Richardson,Michelle</v>
          </cell>
          <cell r="C2504">
            <v>42.5</v>
          </cell>
        </row>
        <row r="2505">
          <cell r="B2505" t="str">
            <v>Rodman,Michael D</v>
          </cell>
          <cell r="C2505">
            <v>37.67</v>
          </cell>
        </row>
        <row r="2506">
          <cell r="B2506" t="str">
            <v>Johnson,Scott A</v>
          </cell>
          <cell r="C2506">
            <v>25.04</v>
          </cell>
        </row>
        <row r="2507">
          <cell r="B2507" t="str">
            <v>Ellis,Angela M</v>
          </cell>
          <cell r="C2507">
            <v>23.52</v>
          </cell>
        </row>
        <row r="2508">
          <cell r="B2508" t="str">
            <v>Deer,Jimmy</v>
          </cell>
          <cell r="C2508">
            <v>33.04</v>
          </cell>
        </row>
        <row r="2509">
          <cell r="B2509" t="str">
            <v>McKenna,Kevin H</v>
          </cell>
          <cell r="C2509">
            <v>51.51</v>
          </cell>
        </row>
        <row r="2510">
          <cell r="B2510" t="str">
            <v>Martinage,Jason M</v>
          </cell>
          <cell r="C2510">
            <v>23.62</v>
          </cell>
        </row>
        <row r="2511">
          <cell r="B2511" t="str">
            <v>Cook III,James H</v>
          </cell>
          <cell r="C2511">
            <v>26.85</v>
          </cell>
        </row>
        <row r="2512">
          <cell r="B2512" t="str">
            <v>Pickard,Henry B</v>
          </cell>
          <cell r="C2512">
            <v>44.45</v>
          </cell>
        </row>
        <row r="2513">
          <cell r="B2513" t="str">
            <v>Williams,Troy Gerald</v>
          </cell>
          <cell r="C2513">
            <v>34.700000000000003</v>
          </cell>
        </row>
        <row r="2514">
          <cell r="B2514" t="str">
            <v>Griffin,Steven L.</v>
          </cell>
          <cell r="C2514">
            <v>59.01</v>
          </cell>
        </row>
        <row r="2515">
          <cell r="B2515" t="str">
            <v>Bear,Denise N</v>
          </cell>
          <cell r="C2515">
            <v>15.8</v>
          </cell>
        </row>
        <row r="2516">
          <cell r="B2516" t="str">
            <v>Laubenheimer,Dawn A</v>
          </cell>
          <cell r="C2516">
            <v>38.54</v>
          </cell>
        </row>
        <row r="2517">
          <cell r="B2517" t="str">
            <v>Porterfield,Rory Q</v>
          </cell>
          <cell r="C2517">
            <v>15.61</v>
          </cell>
        </row>
        <row r="2518">
          <cell r="B2518" t="str">
            <v>Benoit,Edward F.</v>
          </cell>
          <cell r="C2518">
            <v>27.81</v>
          </cell>
        </row>
        <row r="2519">
          <cell r="B2519" t="str">
            <v>Crelan,Barry J.</v>
          </cell>
          <cell r="C2519">
            <v>32.5</v>
          </cell>
        </row>
        <row r="2520">
          <cell r="B2520" t="str">
            <v>Ferrell,Curtis Ramey</v>
          </cell>
          <cell r="C2520">
            <v>57.76</v>
          </cell>
        </row>
        <row r="2521">
          <cell r="B2521" t="str">
            <v>Mitchell,Darryl B</v>
          </cell>
          <cell r="C2521">
            <v>20.91</v>
          </cell>
        </row>
        <row r="2522">
          <cell r="B2522" t="str">
            <v>Nossick,Charles C</v>
          </cell>
          <cell r="C2522">
            <v>59.29</v>
          </cell>
        </row>
        <row r="2523">
          <cell r="B2523" t="str">
            <v>Antisdel,Kristopher K</v>
          </cell>
          <cell r="C2523">
            <v>14.86</v>
          </cell>
        </row>
        <row r="2524">
          <cell r="B2524" t="str">
            <v>Johnson,Martin R</v>
          </cell>
          <cell r="C2524">
            <v>65.625</v>
          </cell>
        </row>
        <row r="2525">
          <cell r="B2525" t="str">
            <v>Lippert,George C</v>
          </cell>
          <cell r="C2525">
            <v>41.87</v>
          </cell>
        </row>
        <row r="2526">
          <cell r="B2526" t="str">
            <v>Burnett,Joshua M</v>
          </cell>
          <cell r="C2526">
            <v>25</v>
          </cell>
        </row>
        <row r="2527">
          <cell r="B2527" t="str">
            <v>Wilhelm,Carl L</v>
          </cell>
          <cell r="C2527">
            <v>41.22</v>
          </cell>
        </row>
        <row r="2528">
          <cell r="B2528" t="str">
            <v>Stark,Damieon T.</v>
          </cell>
          <cell r="C2528">
            <v>72.599999999999994</v>
          </cell>
        </row>
        <row r="2529">
          <cell r="B2529" t="str">
            <v>Carns,John R</v>
          </cell>
          <cell r="C2529">
            <v>65.88</v>
          </cell>
        </row>
        <row r="2530">
          <cell r="B2530" t="str">
            <v>Fernandez,Blanca E</v>
          </cell>
          <cell r="C2530">
            <v>22.97</v>
          </cell>
        </row>
        <row r="2531">
          <cell r="B2531" t="str">
            <v>Hurst,Richard H</v>
          </cell>
          <cell r="C2531">
            <v>46.21</v>
          </cell>
        </row>
        <row r="2532">
          <cell r="B2532" t="str">
            <v>Scoggin,Thomas L</v>
          </cell>
          <cell r="C2532">
            <v>44.93</v>
          </cell>
        </row>
        <row r="2533">
          <cell r="B2533" t="str">
            <v>Gagnon,Robert A</v>
          </cell>
          <cell r="C2533">
            <v>71.64</v>
          </cell>
        </row>
        <row r="2534">
          <cell r="B2534" t="str">
            <v>Leazer,Arely</v>
          </cell>
          <cell r="C2534">
            <v>42.26</v>
          </cell>
        </row>
        <row r="2535">
          <cell r="B2535" t="str">
            <v>Schmidt,Frank W.</v>
          </cell>
          <cell r="C2535">
            <v>26.86</v>
          </cell>
        </row>
        <row r="2536">
          <cell r="B2536" t="str">
            <v>Mehlhoff,Jason T</v>
          </cell>
          <cell r="C2536">
            <v>16.8</v>
          </cell>
        </row>
        <row r="2537">
          <cell r="B2537" t="str">
            <v>Patton,Robert J</v>
          </cell>
          <cell r="C2537">
            <v>25.38</v>
          </cell>
        </row>
        <row r="2538">
          <cell r="B2538" t="str">
            <v>Williams Jr.,Levi</v>
          </cell>
          <cell r="C2538">
            <v>22.04</v>
          </cell>
        </row>
        <row r="2539">
          <cell r="B2539" t="str">
            <v>Scruggs,Hugh F</v>
          </cell>
          <cell r="C2539">
            <v>65.62</v>
          </cell>
        </row>
        <row r="2540">
          <cell r="B2540" t="str">
            <v>Emmling,Charles R.</v>
          </cell>
          <cell r="C2540">
            <v>59.23</v>
          </cell>
        </row>
        <row r="2541">
          <cell r="B2541" t="str">
            <v>Gates,Timothy A</v>
          </cell>
          <cell r="C2541">
            <v>88.38</v>
          </cell>
        </row>
        <row r="2542">
          <cell r="B2542" t="str">
            <v>Danshaw,Christopher E.</v>
          </cell>
          <cell r="C2542">
            <v>47.67</v>
          </cell>
        </row>
        <row r="2543">
          <cell r="B2543" t="str">
            <v>Southam III,Joseph H</v>
          </cell>
          <cell r="C2543">
            <v>34.6</v>
          </cell>
        </row>
        <row r="2544">
          <cell r="B2544" t="str">
            <v>Dimitriu,Pauljames</v>
          </cell>
          <cell r="C2544">
            <v>30</v>
          </cell>
        </row>
        <row r="2545">
          <cell r="B2545" t="str">
            <v>Scaria,Ann P</v>
          </cell>
          <cell r="C2545">
            <v>26.92</v>
          </cell>
        </row>
        <row r="2546">
          <cell r="B2546" t="str">
            <v>Zamora,Jose L</v>
          </cell>
          <cell r="C2546">
            <v>20.149999999999999</v>
          </cell>
        </row>
        <row r="2547">
          <cell r="B2547" t="str">
            <v>Bell,Melvin-Anthony</v>
          </cell>
          <cell r="C2547">
            <v>32</v>
          </cell>
        </row>
        <row r="2548">
          <cell r="B2548" t="str">
            <v>Page,Dione A</v>
          </cell>
          <cell r="C2548">
            <v>40.53</v>
          </cell>
        </row>
        <row r="2549">
          <cell r="B2549" t="str">
            <v>Tolerton,Andria R</v>
          </cell>
          <cell r="C2549">
            <v>45</v>
          </cell>
        </row>
        <row r="2550">
          <cell r="B2550" t="str">
            <v>Calderon,Xavier Alberto Noboa</v>
          </cell>
          <cell r="C2550">
            <v>6.41</v>
          </cell>
        </row>
        <row r="2551">
          <cell r="B2551" t="str">
            <v>Ardila,Alonso</v>
          </cell>
          <cell r="C2551">
            <v>6.41</v>
          </cell>
        </row>
        <row r="2552">
          <cell r="B2552" t="str">
            <v>Edwards,David W</v>
          </cell>
          <cell r="C2552">
            <v>24.82</v>
          </cell>
        </row>
        <row r="2553">
          <cell r="B2553" t="str">
            <v>Tava'e,Tusiga H</v>
          </cell>
          <cell r="C2553">
            <v>23.13</v>
          </cell>
        </row>
        <row r="2554">
          <cell r="B2554" t="str">
            <v>McElwain,Matthew D</v>
          </cell>
          <cell r="C2554">
            <v>38.47</v>
          </cell>
        </row>
        <row r="2555">
          <cell r="B2555" t="str">
            <v>Mark,Charles L</v>
          </cell>
          <cell r="C2555">
            <v>20.89</v>
          </cell>
        </row>
        <row r="2556">
          <cell r="B2556" t="str">
            <v>Fletcher,Wallace H.</v>
          </cell>
          <cell r="C2556">
            <v>18.73</v>
          </cell>
        </row>
        <row r="2557">
          <cell r="B2557" t="str">
            <v>Petrie,Mary J</v>
          </cell>
          <cell r="C2557">
            <v>34.57</v>
          </cell>
        </row>
        <row r="2558">
          <cell r="B2558" t="str">
            <v>Little,James M.</v>
          </cell>
          <cell r="C2558">
            <v>60</v>
          </cell>
        </row>
        <row r="2559">
          <cell r="B2559" t="str">
            <v>Upchurch,Derek P</v>
          </cell>
          <cell r="C2559">
            <v>33.25</v>
          </cell>
        </row>
        <row r="2560">
          <cell r="B2560" t="str">
            <v>Grimsley,Lawana</v>
          </cell>
          <cell r="C2560">
            <v>20.6</v>
          </cell>
        </row>
        <row r="2561">
          <cell r="B2561" t="str">
            <v>Brummell,Sarah E</v>
          </cell>
          <cell r="C2561">
            <v>17.79</v>
          </cell>
        </row>
        <row r="2562">
          <cell r="B2562" t="str">
            <v>Armanious,David</v>
          </cell>
          <cell r="C2562">
            <v>33.75</v>
          </cell>
        </row>
        <row r="2563">
          <cell r="B2563" t="str">
            <v>Moody II,Wilfred J.</v>
          </cell>
          <cell r="C2563">
            <v>58.05</v>
          </cell>
        </row>
        <row r="2564">
          <cell r="B2564" t="str">
            <v>Gonzalez,Luis O</v>
          </cell>
          <cell r="C2564">
            <v>48.48</v>
          </cell>
        </row>
        <row r="2565">
          <cell r="B2565" t="str">
            <v>Wade,Stephanie M</v>
          </cell>
          <cell r="C2565">
            <v>31.94</v>
          </cell>
        </row>
        <row r="2566">
          <cell r="B2566" t="str">
            <v>Mitchell,Philip Scott</v>
          </cell>
          <cell r="C2566">
            <v>43.317399999999999</v>
          </cell>
        </row>
        <row r="2567">
          <cell r="B2567" t="str">
            <v>Milligan Jr.,John H.</v>
          </cell>
          <cell r="C2567">
            <v>65.11</v>
          </cell>
        </row>
        <row r="2568">
          <cell r="B2568" t="str">
            <v>Mohan,Michelle</v>
          </cell>
          <cell r="C2568">
            <v>28.28</v>
          </cell>
        </row>
        <row r="2569">
          <cell r="B2569" t="str">
            <v>Sturgis,Jason R</v>
          </cell>
          <cell r="C2569">
            <v>58.605800000000002</v>
          </cell>
        </row>
        <row r="2570">
          <cell r="B2570" t="str">
            <v>Bowen,Carl J</v>
          </cell>
          <cell r="C2570">
            <v>43.98</v>
          </cell>
        </row>
        <row r="2571">
          <cell r="B2571" t="str">
            <v>Thomas,Aaron J</v>
          </cell>
          <cell r="C2571">
            <v>23.26</v>
          </cell>
        </row>
        <row r="2572">
          <cell r="B2572" t="str">
            <v>Andrade,Norberto C</v>
          </cell>
          <cell r="C2572">
            <v>33.99</v>
          </cell>
        </row>
        <row r="2573">
          <cell r="B2573" t="str">
            <v>Carroll,Sheila D</v>
          </cell>
          <cell r="C2573">
            <v>14.27</v>
          </cell>
        </row>
        <row r="2574">
          <cell r="B2574" t="str">
            <v>Backlund,Dana J</v>
          </cell>
          <cell r="C2574">
            <v>54.79</v>
          </cell>
        </row>
        <row r="2575">
          <cell r="B2575" t="str">
            <v>Jontz,Tamera L</v>
          </cell>
          <cell r="C2575">
            <v>52.26</v>
          </cell>
        </row>
        <row r="2576">
          <cell r="B2576" t="str">
            <v>Brown,Gregory B.</v>
          </cell>
          <cell r="C2576">
            <v>45.85</v>
          </cell>
        </row>
        <row r="2577">
          <cell r="B2577" t="str">
            <v>Turner,Garry</v>
          </cell>
          <cell r="C2577">
            <v>47.13</v>
          </cell>
        </row>
        <row r="2578">
          <cell r="B2578" t="str">
            <v>Lemley,Mark C</v>
          </cell>
          <cell r="C2578">
            <v>59.2</v>
          </cell>
        </row>
        <row r="2579">
          <cell r="B2579" t="str">
            <v>Shropshire,Sally Y</v>
          </cell>
          <cell r="C2579">
            <v>31.52</v>
          </cell>
        </row>
        <row r="2580">
          <cell r="B2580" t="str">
            <v>Ybarra Jr.,Jesus R</v>
          </cell>
          <cell r="C2580">
            <v>19.57</v>
          </cell>
        </row>
        <row r="2581">
          <cell r="B2581" t="str">
            <v>Russell,Richard A</v>
          </cell>
          <cell r="C2581">
            <v>21.16</v>
          </cell>
        </row>
        <row r="2582">
          <cell r="B2582" t="str">
            <v>Robinson,Richard B</v>
          </cell>
          <cell r="C2582">
            <v>59.47</v>
          </cell>
        </row>
        <row r="2583">
          <cell r="B2583" t="str">
            <v>McDonald,Anthony E.</v>
          </cell>
          <cell r="C2583">
            <v>31.19</v>
          </cell>
        </row>
        <row r="2584">
          <cell r="B2584" t="str">
            <v>Burton,Tawana I</v>
          </cell>
          <cell r="C2584">
            <v>17.09</v>
          </cell>
        </row>
        <row r="2585">
          <cell r="B2585" t="str">
            <v>Robinson,Torre E</v>
          </cell>
          <cell r="C2585">
            <v>17.82</v>
          </cell>
        </row>
        <row r="2586">
          <cell r="B2586" t="str">
            <v>Martinez,Santos</v>
          </cell>
          <cell r="C2586">
            <v>30.4</v>
          </cell>
        </row>
        <row r="2587">
          <cell r="B2587" t="str">
            <v>Weaver,Gerald H</v>
          </cell>
          <cell r="C2587">
            <v>41.23</v>
          </cell>
        </row>
        <row r="2588">
          <cell r="B2588" t="str">
            <v>Rodgers,James A</v>
          </cell>
          <cell r="C2588">
            <v>61.15</v>
          </cell>
        </row>
        <row r="2589">
          <cell r="B2589" t="str">
            <v>Keir,Scott R</v>
          </cell>
          <cell r="C2589">
            <v>39.58</v>
          </cell>
        </row>
        <row r="2590">
          <cell r="B2590" t="str">
            <v>Melton,Joe S.</v>
          </cell>
          <cell r="C2590">
            <v>55.72</v>
          </cell>
        </row>
        <row r="2591">
          <cell r="B2591" t="str">
            <v>Spletzer,Kirk A</v>
          </cell>
          <cell r="C2591">
            <v>34.78</v>
          </cell>
        </row>
        <row r="2592">
          <cell r="B2592" t="str">
            <v>Parker,Mae A</v>
          </cell>
          <cell r="C2592">
            <v>32.200000000000003</v>
          </cell>
        </row>
        <row r="2593">
          <cell r="B2593" t="str">
            <v>Johnson,Chad R.</v>
          </cell>
          <cell r="C2593">
            <v>34.79</v>
          </cell>
        </row>
        <row r="2594">
          <cell r="B2594" t="str">
            <v>Miller,Vaughn A.</v>
          </cell>
          <cell r="C2594">
            <v>61.54</v>
          </cell>
        </row>
        <row r="2595">
          <cell r="B2595" t="str">
            <v>Smollen,Jarold T</v>
          </cell>
          <cell r="C2595">
            <v>24.23</v>
          </cell>
        </row>
        <row r="2596">
          <cell r="B2596" t="str">
            <v>Newkirk,Michael W</v>
          </cell>
          <cell r="C2596">
            <v>43</v>
          </cell>
        </row>
        <row r="2597">
          <cell r="B2597" t="str">
            <v>Evers,Jeramy W</v>
          </cell>
          <cell r="C2597">
            <v>32.24</v>
          </cell>
        </row>
        <row r="2598">
          <cell r="B2598" t="str">
            <v>Holmes,Jonathan D</v>
          </cell>
          <cell r="C2598">
            <v>55.31</v>
          </cell>
        </row>
        <row r="2599">
          <cell r="B2599" t="str">
            <v>Slagle,Vicki L</v>
          </cell>
          <cell r="C2599">
            <v>18.489999999999998</v>
          </cell>
        </row>
        <row r="2600">
          <cell r="B2600" t="str">
            <v>Upchurch,Jessica Alayne</v>
          </cell>
          <cell r="C2600">
            <v>46.38</v>
          </cell>
        </row>
        <row r="2601">
          <cell r="B2601" t="str">
            <v>Johnson III,John F</v>
          </cell>
          <cell r="C2601">
            <v>44.53</v>
          </cell>
        </row>
        <row r="2602">
          <cell r="B2602" t="str">
            <v>Goble,Janice M.</v>
          </cell>
          <cell r="C2602">
            <v>47.13</v>
          </cell>
        </row>
        <row r="2603">
          <cell r="B2603" t="str">
            <v>Schroeter,Cary B</v>
          </cell>
          <cell r="C2603">
            <v>55.29</v>
          </cell>
        </row>
        <row r="2604">
          <cell r="B2604" t="str">
            <v>Jones,LaTonya S.</v>
          </cell>
          <cell r="C2604">
            <v>12.94</v>
          </cell>
        </row>
        <row r="2605">
          <cell r="B2605" t="str">
            <v>Alvarez,Milliam I</v>
          </cell>
          <cell r="C2605">
            <v>54.29</v>
          </cell>
        </row>
        <row r="2606">
          <cell r="B2606" t="str">
            <v>Schmid,Leah A.</v>
          </cell>
          <cell r="C2606">
            <v>52.407200000000003</v>
          </cell>
        </row>
        <row r="2607">
          <cell r="B2607" t="str">
            <v>Burnett,Elizabeth</v>
          </cell>
          <cell r="C2607">
            <v>57.62</v>
          </cell>
        </row>
        <row r="2608">
          <cell r="B2608" t="str">
            <v>Dyer,Laurie S</v>
          </cell>
          <cell r="C2608">
            <v>45.87</v>
          </cell>
        </row>
        <row r="2609">
          <cell r="B2609" t="str">
            <v>Watkins,Stacey N</v>
          </cell>
          <cell r="C2609">
            <v>19.48</v>
          </cell>
        </row>
        <row r="2610">
          <cell r="B2610" t="str">
            <v>Goodhue II,Lawrence R</v>
          </cell>
          <cell r="C2610">
            <v>41.95</v>
          </cell>
        </row>
        <row r="2611">
          <cell r="B2611" t="str">
            <v>Terrill,Toby W</v>
          </cell>
          <cell r="C2611">
            <v>50.5</v>
          </cell>
        </row>
        <row r="2612">
          <cell r="B2612" t="str">
            <v>Cradle,Trina Y.</v>
          </cell>
          <cell r="C2612">
            <v>45.62</v>
          </cell>
        </row>
        <row r="2613">
          <cell r="B2613" t="str">
            <v>Sheffield,Gerald F</v>
          </cell>
          <cell r="C2613">
            <v>41.76</v>
          </cell>
        </row>
        <row r="2614">
          <cell r="B2614" t="str">
            <v>Valere,Sheldon C</v>
          </cell>
          <cell r="C2614">
            <v>20.59</v>
          </cell>
        </row>
        <row r="2615">
          <cell r="B2615" t="str">
            <v>Perez-Vining,Gabriel</v>
          </cell>
          <cell r="C2615">
            <v>22.05</v>
          </cell>
        </row>
        <row r="2616">
          <cell r="B2616" t="str">
            <v>Smith,Randall J.</v>
          </cell>
          <cell r="C2616">
            <v>46.38</v>
          </cell>
        </row>
        <row r="2617">
          <cell r="B2617" t="str">
            <v>Vanleishout,Ronald W</v>
          </cell>
          <cell r="C2617">
            <v>59.14</v>
          </cell>
        </row>
        <row r="2618">
          <cell r="B2618" t="str">
            <v>Freeman,Chad A</v>
          </cell>
          <cell r="C2618">
            <v>27.87</v>
          </cell>
        </row>
        <row r="2619">
          <cell r="B2619" t="str">
            <v>Snapper,Kurt J</v>
          </cell>
          <cell r="C2619">
            <v>142.29</v>
          </cell>
        </row>
        <row r="2620">
          <cell r="B2620" t="str">
            <v>Wattam,Mark</v>
          </cell>
          <cell r="C2620">
            <v>40.65</v>
          </cell>
        </row>
        <row r="2621">
          <cell r="B2621" t="str">
            <v>Komroff,Lawrence W</v>
          </cell>
          <cell r="C2621">
            <v>42.95</v>
          </cell>
        </row>
        <row r="2622">
          <cell r="B2622" t="str">
            <v>Krug,Michael K</v>
          </cell>
          <cell r="C2622">
            <v>37.56</v>
          </cell>
        </row>
        <row r="2623">
          <cell r="B2623" t="str">
            <v>Dahlhaeuser,Andreas</v>
          </cell>
          <cell r="C2623">
            <v>21.45</v>
          </cell>
        </row>
        <row r="2624">
          <cell r="B2624" t="str">
            <v>Hjelm,Sam S</v>
          </cell>
          <cell r="C2624">
            <v>43.27</v>
          </cell>
        </row>
        <row r="2625">
          <cell r="B2625" t="str">
            <v>Stafford,Richard M.</v>
          </cell>
          <cell r="C2625">
            <v>46.38</v>
          </cell>
        </row>
        <row r="2626">
          <cell r="B2626" t="str">
            <v>Phipps,Jeremy D</v>
          </cell>
          <cell r="C2626">
            <v>26.25</v>
          </cell>
        </row>
        <row r="2627">
          <cell r="B2627" t="str">
            <v>Reese,Mark</v>
          </cell>
          <cell r="C2627">
            <v>42.74</v>
          </cell>
        </row>
        <row r="2628">
          <cell r="B2628" t="str">
            <v>Winfree,Eunice M</v>
          </cell>
          <cell r="C2628">
            <v>73.88</v>
          </cell>
        </row>
        <row r="2629">
          <cell r="B2629" t="str">
            <v>Arguelles,Albert E</v>
          </cell>
          <cell r="C2629">
            <v>34.200000000000003</v>
          </cell>
        </row>
        <row r="2630">
          <cell r="B2630" t="str">
            <v>Hart,Alphia R</v>
          </cell>
          <cell r="C2630">
            <v>19</v>
          </cell>
        </row>
        <row r="2631">
          <cell r="B2631" t="str">
            <v>Dabipi,Dixon F.</v>
          </cell>
          <cell r="C2631">
            <v>36.96</v>
          </cell>
        </row>
        <row r="2632">
          <cell r="B2632" t="str">
            <v>Jones Jr.,Richard M.</v>
          </cell>
          <cell r="C2632">
            <v>31.15</v>
          </cell>
        </row>
        <row r="2633">
          <cell r="B2633" t="str">
            <v>Reed,James T</v>
          </cell>
          <cell r="C2633">
            <v>43.12</v>
          </cell>
        </row>
        <row r="2634">
          <cell r="B2634" t="str">
            <v>Jett,Cecilia E.</v>
          </cell>
          <cell r="C2634">
            <v>33.08</v>
          </cell>
        </row>
        <row r="2635">
          <cell r="B2635" t="str">
            <v>Bushman,Jason T</v>
          </cell>
          <cell r="C2635">
            <v>62.5</v>
          </cell>
        </row>
        <row r="2636">
          <cell r="B2636" t="str">
            <v>DeVault,Mark T</v>
          </cell>
          <cell r="C2636">
            <v>37.89</v>
          </cell>
        </row>
        <row r="2637">
          <cell r="B2637" t="str">
            <v>Schwab,Kim T</v>
          </cell>
          <cell r="C2637">
            <v>46.02</v>
          </cell>
        </row>
        <row r="2638">
          <cell r="B2638" t="str">
            <v>Prestia,James</v>
          </cell>
          <cell r="C2638">
            <v>27.3</v>
          </cell>
        </row>
        <row r="2639">
          <cell r="B2639" t="str">
            <v>Uricheck,Kenneth</v>
          </cell>
          <cell r="C2639">
            <v>32.14</v>
          </cell>
        </row>
        <row r="2640">
          <cell r="B2640" t="str">
            <v>O'Connor,Kevin</v>
          </cell>
          <cell r="C2640">
            <v>30.78</v>
          </cell>
        </row>
        <row r="2641">
          <cell r="B2641" t="str">
            <v>McCaver,David M</v>
          </cell>
          <cell r="C2641">
            <v>14.91</v>
          </cell>
        </row>
        <row r="2642">
          <cell r="B2642" t="str">
            <v>Hook,Shannon D</v>
          </cell>
          <cell r="C2642">
            <v>44.78</v>
          </cell>
        </row>
        <row r="2643">
          <cell r="B2643" t="str">
            <v>Syling,Glenda L</v>
          </cell>
          <cell r="C2643">
            <v>32.22</v>
          </cell>
        </row>
        <row r="2644">
          <cell r="B2644" t="str">
            <v>Wilson,Christopher L</v>
          </cell>
          <cell r="C2644">
            <v>25.38</v>
          </cell>
        </row>
        <row r="2645">
          <cell r="B2645" t="str">
            <v>deHosson,David J</v>
          </cell>
          <cell r="C2645">
            <v>48.72</v>
          </cell>
        </row>
        <row r="2646">
          <cell r="B2646" t="str">
            <v>Reynolds,David F</v>
          </cell>
          <cell r="C2646">
            <v>58.64</v>
          </cell>
        </row>
        <row r="2647">
          <cell r="B2647" t="str">
            <v>Schaffer,James A</v>
          </cell>
          <cell r="C2647">
            <v>24.03</v>
          </cell>
        </row>
        <row r="2648">
          <cell r="B2648" t="str">
            <v>McCorquodale Jr.,Jimmy S</v>
          </cell>
          <cell r="C2648">
            <v>42.99</v>
          </cell>
        </row>
        <row r="2649">
          <cell r="B2649" t="str">
            <v>Baker,Charles C</v>
          </cell>
          <cell r="C2649">
            <v>70.650000000000006</v>
          </cell>
        </row>
        <row r="2650">
          <cell r="B2650" t="str">
            <v>Nwadibia,Ozoemena O</v>
          </cell>
          <cell r="C2650">
            <v>33.3172</v>
          </cell>
        </row>
        <row r="2651">
          <cell r="B2651" t="str">
            <v>Pickens Jr.,Danny D</v>
          </cell>
          <cell r="C2651">
            <v>47.05</v>
          </cell>
        </row>
        <row r="2652">
          <cell r="B2652" t="str">
            <v>Benedict,Barbara A</v>
          </cell>
          <cell r="C2652">
            <v>72.819999999999993</v>
          </cell>
        </row>
        <row r="2653">
          <cell r="B2653" t="str">
            <v>Maywood,Janet S</v>
          </cell>
          <cell r="C2653">
            <v>18.190000000000001</v>
          </cell>
        </row>
        <row r="2654">
          <cell r="B2654" t="str">
            <v>Mallison,Diane M.</v>
          </cell>
          <cell r="C2654">
            <v>10.56</v>
          </cell>
        </row>
        <row r="2655">
          <cell r="B2655" t="str">
            <v>Metzler,Christina M</v>
          </cell>
          <cell r="C2655">
            <v>31.53</v>
          </cell>
        </row>
        <row r="2656">
          <cell r="B2656" t="str">
            <v>Barnett,Gerald W</v>
          </cell>
          <cell r="C2656">
            <v>37.5</v>
          </cell>
        </row>
        <row r="2657">
          <cell r="B2657" t="str">
            <v>Harris,Lorenza L</v>
          </cell>
          <cell r="C2657">
            <v>33.125</v>
          </cell>
        </row>
        <row r="2658">
          <cell r="B2658" t="str">
            <v>Horner,David E</v>
          </cell>
          <cell r="C2658">
            <v>39.17</v>
          </cell>
        </row>
        <row r="2659">
          <cell r="B2659" t="str">
            <v>Wilson Jr.,Sidney D</v>
          </cell>
          <cell r="C2659">
            <v>22.65</v>
          </cell>
        </row>
        <row r="2660">
          <cell r="B2660" t="str">
            <v>Schneider,Laura E</v>
          </cell>
          <cell r="C2660">
            <v>37.04</v>
          </cell>
        </row>
        <row r="2661">
          <cell r="B2661" t="str">
            <v>Martinez,Richard B.</v>
          </cell>
          <cell r="C2661">
            <v>41.4</v>
          </cell>
        </row>
        <row r="2662">
          <cell r="B2662" t="str">
            <v>Felder,Yalonda H.</v>
          </cell>
          <cell r="C2662">
            <v>37.479999999999997</v>
          </cell>
        </row>
        <row r="2663">
          <cell r="B2663" t="str">
            <v>Uriegas,Manuel T</v>
          </cell>
          <cell r="C2663">
            <v>27.22</v>
          </cell>
        </row>
        <row r="2664">
          <cell r="B2664" t="str">
            <v>Semonis,Randall L</v>
          </cell>
          <cell r="C2664">
            <v>22.18</v>
          </cell>
        </row>
        <row r="2665">
          <cell r="B2665" t="str">
            <v>McMillan,Chad A</v>
          </cell>
          <cell r="C2665">
            <v>67.31</v>
          </cell>
        </row>
        <row r="2666">
          <cell r="B2666" t="str">
            <v>Geisz,Anton J</v>
          </cell>
          <cell r="C2666">
            <v>90.21</v>
          </cell>
        </row>
        <row r="2667">
          <cell r="B2667" t="str">
            <v>Andrews,Harold W</v>
          </cell>
          <cell r="C2667">
            <v>19.53</v>
          </cell>
        </row>
        <row r="2668">
          <cell r="B2668" t="str">
            <v>Rivera,Peter J</v>
          </cell>
          <cell r="C2668">
            <v>57.5</v>
          </cell>
        </row>
        <row r="2669">
          <cell r="B2669" t="str">
            <v>Johnson,Jessica C</v>
          </cell>
          <cell r="C2669">
            <v>50.6</v>
          </cell>
        </row>
        <row r="2670">
          <cell r="B2670" t="str">
            <v>Morris,Patricia</v>
          </cell>
          <cell r="C2670">
            <v>19.149999999999999</v>
          </cell>
        </row>
        <row r="2671">
          <cell r="B2671" t="str">
            <v>Delesky,Tamara G</v>
          </cell>
          <cell r="C2671">
            <v>35.68</v>
          </cell>
        </row>
        <row r="2672">
          <cell r="B2672" t="str">
            <v>Moore,Sidney D</v>
          </cell>
          <cell r="C2672">
            <v>26.27</v>
          </cell>
        </row>
        <row r="2673">
          <cell r="B2673" t="str">
            <v>Meadows,Russell E</v>
          </cell>
          <cell r="C2673">
            <v>41.4</v>
          </cell>
        </row>
        <row r="2674">
          <cell r="B2674" t="str">
            <v>Graf,Steven C</v>
          </cell>
          <cell r="C2674">
            <v>67.31</v>
          </cell>
        </row>
        <row r="2675">
          <cell r="B2675" t="str">
            <v>Villarreal,Edward R</v>
          </cell>
          <cell r="C2675">
            <v>55</v>
          </cell>
        </row>
        <row r="2676">
          <cell r="B2676" t="str">
            <v>Roysdon,Matthew S</v>
          </cell>
          <cell r="C2676">
            <v>29.69</v>
          </cell>
        </row>
        <row r="2677">
          <cell r="B2677" t="str">
            <v>Hopkins,Beverlee A</v>
          </cell>
          <cell r="C2677">
            <v>26.9</v>
          </cell>
        </row>
        <row r="2678">
          <cell r="B2678" t="str">
            <v>Holmes,William H</v>
          </cell>
          <cell r="C2678">
            <v>20.87</v>
          </cell>
        </row>
        <row r="2679">
          <cell r="B2679" t="str">
            <v>Moriarity,Angela P</v>
          </cell>
          <cell r="C2679">
            <v>24.11</v>
          </cell>
        </row>
        <row r="2680">
          <cell r="B2680" t="str">
            <v>Santos,Hector M.</v>
          </cell>
          <cell r="C2680">
            <v>30.96</v>
          </cell>
        </row>
        <row r="2681">
          <cell r="B2681" t="str">
            <v>Taylor,Joe A</v>
          </cell>
          <cell r="C2681">
            <v>22.13</v>
          </cell>
        </row>
        <row r="2682">
          <cell r="B2682" t="str">
            <v>Gonzalez,Omar D</v>
          </cell>
          <cell r="C2682">
            <v>6.41</v>
          </cell>
        </row>
        <row r="2683">
          <cell r="B2683" t="str">
            <v>Moose,Paul F.</v>
          </cell>
          <cell r="C2683">
            <v>43.82</v>
          </cell>
        </row>
        <row r="2684">
          <cell r="B2684" t="str">
            <v>Faile,Ronald F.</v>
          </cell>
          <cell r="C2684">
            <v>65.739999999999995</v>
          </cell>
        </row>
        <row r="2685">
          <cell r="B2685" t="str">
            <v>Smith,Timothy A.</v>
          </cell>
          <cell r="C2685">
            <v>88.86</v>
          </cell>
        </row>
        <row r="2686">
          <cell r="B2686" t="str">
            <v>Lawrence,Michael</v>
          </cell>
          <cell r="C2686">
            <v>89.43</v>
          </cell>
        </row>
        <row r="2687">
          <cell r="B2687" t="str">
            <v>Castillo,Manuel A</v>
          </cell>
          <cell r="C2687">
            <v>32.97</v>
          </cell>
        </row>
        <row r="2688">
          <cell r="B2688" t="str">
            <v>Pulido,Jorge</v>
          </cell>
          <cell r="C2688">
            <v>6.41</v>
          </cell>
        </row>
        <row r="2689">
          <cell r="B2689" t="str">
            <v>Sinks,Jane E</v>
          </cell>
          <cell r="C2689">
            <v>35.4</v>
          </cell>
        </row>
        <row r="2690">
          <cell r="B2690" t="str">
            <v>Peraza,Matthew J</v>
          </cell>
          <cell r="C2690">
            <v>28.31</v>
          </cell>
        </row>
        <row r="2691">
          <cell r="B2691" t="str">
            <v>Zimmerman,Sharon L</v>
          </cell>
          <cell r="C2691">
            <v>71.48</v>
          </cell>
        </row>
        <row r="2692">
          <cell r="B2692" t="str">
            <v>Swenson,Carl J</v>
          </cell>
          <cell r="C2692">
            <v>29.77</v>
          </cell>
        </row>
        <row r="2693">
          <cell r="B2693" t="str">
            <v>Chatman,Cecil E</v>
          </cell>
          <cell r="C2693">
            <v>32.700000000000003</v>
          </cell>
        </row>
        <row r="2694">
          <cell r="B2694" t="str">
            <v>Clark,David C</v>
          </cell>
          <cell r="C2694">
            <v>23.27</v>
          </cell>
        </row>
        <row r="2695">
          <cell r="B2695" t="str">
            <v>Bruss,Terry L.</v>
          </cell>
          <cell r="C2695">
            <v>51.85</v>
          </cell>
        </row>
        <row r="2696">
          <cell r="B2696" t="str">
            <v>Garcia,Oscar</v>
          </cell>
          <cell r="C2696">
            <v>21.94</v>
          </cell>
        </row>
        <row r="2697">
          <cell r="B2697" t="str">
            <v>Lawson,Joseph R</v>
          </cell>
          <cell r="C2697">
            <v>36</v>
          </cell>
        </row>
        <row r="2698">
          <cell r="B2698" t="str">
            <v>Robertson,Robyn D</v>
          </cell>
          <cell r="C2698">
            <v>14.09</v>
          </cell>
        </row>
        <row r="2699">
          <cell r="B2699" t="str">
            <v>Hadden,Jeffrey A</v>
          </cell>
          <cell r="C2699">
            <v>36.21</v>
          </cell>
        </row>
        <row r="2700">
          <cell r="B2700" t="str">
            <v>Bounds,Dora K.</v>
          </cell>
          <cell r="C2700">
            <v>24.82</v>
          </cell>
        </row>
        <row r="2701">
          <cell r="B2701" t="str">
            <v>Lewis,Vivian I</v>
          </cell>
          <cell r="C2701">
            <v>39.880000000000003</v>
          </cell>
        </row>
        <row r="2702">
          <cell r="B2702" t="str">
            <v>Simar,Jennifer E</v>
          </cell>
          <cell r="C2702">
            <v>38.869999999999997</v>
          </cell>
        </row>
        <row r="2703">
          <cell r="B2703" t="str">
            <v>James,Tony A</v>
          </cell>
          <cell r="C2703">
            <v>25.56</v>
          </cell>
        </row>
        <row r="2704">
          <cell r="B2704" t="str">
            <v>Bolton,William A.</v>
          </cell>
          <cell r="C2704">
            <v>15.01</v>
          </cell>
        </row>
        <row r="2705">
          <cell r="B2705" t="str">
            <v>Hopper,John L.</v>
          </cell>
          <cell r="C2705">
            <v>60.26</v>
          </cell>
        </row>
        <row r="2706">
          <cell r="B2706" t="str">
            <v>Thompson,Kevin</v>
          </cell>
          <cell r="C2706">
            <v>24.99</v>
          </cell>
        </row>
        <row r="2707">
          <cell r="B2707" t="str">
            <v>Lusk,Patrick J.</v>
          </cell>
          <cell r="C2707">
            <v>71.83</v>
          </cell>
        </row>
        <row r="2708">
          <cell r="B2708" t="str">
            <v>Brady,Gerard A</v>
          </cell>
          <cell r="C2708">
            <v>19.38</v>
          </cell>
        </row>
        <row r="2709">
          <cell r="B2709" t="str">
            <v>Gabel Jr.,Asel Alexander</v>
          </cell>
          <cell r="C2709">
            <v>33.74</v>
          </cell>
        </row>
        <row r="2710">
          <cell r="B2710" t="str">
            <v>Irwin,Jeffrey D</v>
          </cell>
          <cell r="C2710">
            <v>21.92</v>
          </cell>
        </row>
        <row r="2711">
          <cell r="B2711" t="str">
            <v>Rollins,Donald L</v>
          </cell>
          <cell r="C2711">
            <v>45.13</v>
          </cell>
        </row>
        <row r="2712">
          <cell r="B2712" t="str">
            <v>Chaskey,Harry J</v>
          </cell>
          <cell r="C2712">
            <v>28.84</v>
          </cell>
        </row>
        <row r="2713">
          <cell r="B2713" t="str">
            <v>Mukherjee,Anindo K</v>
          </cell>
          <cell r="C2713">
            <v>36.06</v>
          </cell>
        </row>
        <row r="2714">
          <cell r="B2714" t="str">
            <v>Lambert,Richard L</v>
          </cell>
          <cell r="C2714">
            <v>31.12</v>
          </cell>
        </row>
        <row r="2715">
          <cell r="B2715" t="str">
            <v>Morse,Thomas J</v>
          </cell>
          <cell r="C2715">
            <v>70.12</v>
          </cell>
        </row>
        <row r="2716">
          <cell r="B2716" t="str">
            <v>McFarland,Jason J</v>
          </cell>
          <cell r="C2716">
            <v>50.5</v>
          </cell>
        </row>
        <row r="2717">
          <cell r="B2717" t="str">
            <v>Klawitter,Timothy N</v>
          </cell>
          <cell r="C2717">
            <v>48.2</v>
          </cell>
        </row>
        <row r="2718">
          <cell r="B2718" t="str">
            <v>Berberian,Mark K</v>
          </cell>
          <cell r="C2718">
            <v>59.18</v>
          </cell>
        </row>
        <row r="2719">
          <cell r="B2719" t="str">
            <v>Johnson,Richard W</v>
          </cell>
          <cell r="C2719">
            <v>38.130000000000003</v>
          </cell>
        </row>
        <row r="2720">
          <cell r="B2720" t="str">
            <v>Jordan,Barbara P</v>
          </cell>
          <cell r="C2720">
            <v>20.51</v>
          </cell>
        </row>
        <row r="2721">
          <cell r="B2721" t="str">
            <v>Kraus Jr.,Joseph</v>
          </cell>
          <cell r="C2721">
            <v>91.52</v>
          </cell>
        </row>
        <row r="2722">
          <cell r="B2722" t="str">
            <v>Rhea,Richard M.</v>
          </cell>
          <cell r="C2722">
            <v>11.15</v>
          </cell>
        </row>
        <row r="2723">
          <cell r="B2723" t="str">
            <v>Clark,Sandra J</v>
          </cell>
          <cell r="C2723">
            <v>59.69</v>
          </cell>
        </row>
        <row r="2724">
          <cell r="B2724" t="str">
            <v>Bouza,William A.</v>
          </cell>
          <cell r="C2724">
            <v>29.02</v>
          </cell>
        </row>
        <row r="2725">
          <cell r="B2725" t="str">
            <v>Osborn,Eric J</v>
          </cell>
          <cell r="C2725">
            <v>38.47</v>
          </cell>
        </row>
        <row r="2726">
          <cell r="B2726" t="str">
            <v>Card,Leigh A.</v>
          </cell>
          <cell r="C2726">
            <v>44.82</v>
          </cell>
        </row>
        <row r="2727">
          <cell r="B2727" t="str">
            <v>Franklin,Michael L</v>
          </cell>
          <cell r="C2727">
            <v>21.07</v>
          </cell>
        </row>
        <row r="2728">
          <cell r="B2728" t="str">
            <v>Fielder,Meredith A</v>
          </cell>
          <cell r="C2728">
            <v>30.79</v>
          </cell>
        </row>
        <row r="2729">
          <cell r="B2729" t="str">
            <v>Karbassi,Amir A.</v>
          </cell>
          <cell r="C2729">
            <v>51.5</v>
          </cell>
        </row>
        <row r="2730">
          <cell r="B2730" t="str">
            <v>Bautista,Domingo R</v>
          </cell>
          <cell r="C2730">
            <v>23.26</v>
          </cell>
        </row>
        <row r="2731">
          <cell r="B2731" t="str">
            <v>Freedlander,Holly L.</v>
          </cell>
          <cell r="C2731">
            <v>79.02</v>
          </cell>
        </row>
        <row r="2732">
          <cell r="B2732" t="str">
            <v>Leonard,Darrell W</v>
          </cell>
          <cell r="C2732">
            <v>71.88</v>
          </cell>
        </row>
        <row r="2733">
          <cell r="B2733" t="str">
            <v>Murphy,Gwyneth Marie</v>
          </cell>
          <cell r="C2733">
            <v>14.27</v>
          </cell>
        </row>
        <row r="2734">
          <cell r="B2734" t="str">
            <v>Jenkins,Dominik J</v>
          </cell>
          <cell r="C2734">
            <v>21.34</v>
          </cell>
        </row>
        <row r="2735">
          <cell r="B2735" t="str">
            <v>Walgreen,David M</v>
          </cell>
          <cell r="C2735">
            <v>30.77</v>
          </cell>
        </row>
        <row r="2736">
          <cell r="B2736" t="str">
            <v>Snyder,Kevin L</v>
          </cell>
          <cell r="C2736">
            <v>24.77</v>
          </cell>
        </row>
        <row r="2737">
          <cell r="B2737" t="str">
            <v>Cline,Randall T</v>
          </cell>
          <cell r="C2737">
            <v>43.27</v>
          </cell>
        </row>
        <row r="2738">
          <cell r="B2738" t="str">
            <v>Kessinger,Douglas L</v>
          </cell>
          <cell r="C2738">
            <v>48.25</v>
          </cell>
        </row>
        <row r="2739">
          <cell r="B2739" t="str">
            <v>Brown,Tammy A</v>
          </cell>
          <cell r="C2739">
            <v>42.89</v>
          </cell>
        </row>
        <row r="2740">
          <cell r="B2740" t="str">
            <v>Langley,Nathaniel H</v>
          </cell>
          <cell r="C2740">
            <v>40</v>
          </cell>
        </row>
        <row r="2741">
          <cell r="B2741" t="str">
            <v>Bartha,Michael L</v>
          </cell>
          <cell r="C2741">
            <v>40.17</v>
          </cell>
        </row>
        <row r="2742">
          <cell r="B2742" t="str">
            <v>Alfonso,Hector I</v>
          </cell>
          <cell r="C2742">
            <v>39.299999999999997</v>
          </cell>
        </row>
        <row r="2743">
          <cell r="B2743" t="str">
            <v>Tamez,Juan G</v>
          </cell>
          <cell r="C2743">
            <v>21.22</v>
          </cell>
        </row>
        <row r="2744">
          <cell r="B2744" t="str">
            <v>Lilly,Stephanie J</v>
          </cell>
          <cell r="C2744">
            <v>15.94</v>
          </cell>
        </row>
        <row r="2745">
          <cell r="B2745" t="str">
            <v>Allen,Nancy M</v>
          </cell>
          <cell r="C2745">
            <v>26.25</v>
          </cell>
        </row>
        <row r="2746">
          <cell r="B2746" t="str">
            <v>DeVor,Clifford D</v>
          </cell>
          <cell r="C2746">
            <v>16.39</v>
          </cell>
        </row>
        <row r="2747">
          <cell r="B2747" t="str">
            <v>Koenig,Michael</v>
          </cell>
          <cell r="C2747">
            <v>27.5</v>
          </cell>
        </row>
        <row r="2748">
          <cell r="B2748" t="str">
            <v>Strickland,Christopher M</v>
          </cell>
          <cell r="C2748">
            <v>47.41</v>
          </cell>
        </row>
        <row r="2749">
          <cell r="B2749" t="str">
            <v>Wilkes-Morris,Sabrina</v>
          </cell>
          <cell r="C2749">
            <v>38.549999999999997</v>
          </cell>
        </row>
        <row r="2750">
          <cell r="B2750" t="str">
            <v>Stokes,Robert S</v>
          </cell>
          <cell r="C2750">
            <v>34.61</v>
          </cell>
        </row>
        <row r="2751">
          <cell r="B2751" t="str">
            <v>Bertholdt Jr.,George M</v>
          </cell>
          <cell r="C2751">
            <v>41.596200000000003</v>
          </cell>
        </row>
        <row r="2752">
          <cell r="B2752" t="str">
            <v>Ter Haar III,Raymond L</v>
          </cell>
          <cell r="C2752">
            <v>64.38</v>
          </cell>
        </row>
        <row r="2753">
          <cell r="B2753" t="str">
            <v>Thomas,Vivian D</v>
          </cell>
          <cell r="C2753">
            <v>21.95</v>
          </cell>
        </row>
        <row r="2754">
          <cell r="B2754" t="str">
            <v>Doughtry,Eric G</v>
          </cell>
          <cell r="C2754">
            <v>21.43</v>
          </cell>
        </row>
        <row r="2755">
          <cell r="B2755" t="str">
            <v>Wiggins,Matthew D</v>
          </cell>
          <cell r="C2755">
            <v>20.22</v>
          </cell>
        </row>
        <row r="2756">
          <cell r="B2756" t="str">
            <v>DeVaughan,Jean M.</v>
          </cell>
          <cell r="C2756">
            <v>35.81</v>
          </cell>
        </row>
        <row r="2757">
          <cell r="B2757" t="str">
            <v>Hutchins,James M</v>
          </cell>
          <cell r="C2757">
            <v>52.26</v>
          </cell>
        </row>
        <row r="2758">
          <cell r="B2758" t="str">
            <v>Ward,Timothy M.</v>
          </cell>
          <cell r="C2758">
            <v>48.27</v>
          </cell>
        </row>
        <row r="2759">
          <cell r="B2759" t="str">
            <v>Hemingway,Alexandra Lauren</v>
          </cell>
          <cell r="C2759">
            <v>21.75</v>
          </cell>
        </row>
        <row r="2760">
          <cell r="B2760" t="str">
            <v>Hauptman,David L</v>
          </cell>
          <cell r="C2760">
            <v>48.25</v>
          </cell>
        </row>
        <row r="2761">
          <cell r="B2761" t="str">
            <v>Daywalt,Steven L.</v>
          </cell>
          <cell r="C2761">
            <v>38.770000000000003</v>
          </cell>
        </row>
        <row r="2762">
          <cell r="B2762" t="str">
            <v>Green,Curtis</v>
          </cell>
          <cell r="C2762">
            <v>19.88</v>
          </cell>
        </row>
        <row r="2763">
          <cell r="B2763" t="str">
            <v>Jeffries,Louis C</v>
          </cell>
          <cell r="C2763">
            <v>38.53</v>
          </cell>
        </row>
        <row r="2764">
          <cell r="B2764" t="str">
            <v>Trammell,Coree L.O.</v>
          </cell>
          <cell r="C2764">
            <v>21</v>
          </cell>
        </row>
        <row r="2765">
          <cell r="B2765" t="str">
            <v>Riccardi,Frederick V.</v>
          </cell>
          <cell r="C2765">
            <v>74.98</v>
          </cell>
        </row>
        <row r="2766">
          <cell r="B2766" t="str">
            <v>Watson Jr.,LeRoy V</v>
          </cell>
          <cell r="C2766">
            <v>22.13</v>
          </cell>
        </row>
        <row r="2767">
          <cell r="B2767" t="str">
            <v>Brown,Bernard M</v>
          </cell>
          <cell r="C2767">
            <v>48.44</v>
          </cell>
        </row>
        <row r="2768">
          <cell r="B2768" t="str">
            <v>Sanchez,Raymond</v>
          </cell>
          <cell r="C2768">
            <v>22.84</v>
          </cell>
        </row>
        <row r="2769">
          <cell r="B2769" t="str">
            <v>Robbins,Bertha A</v>
          </cell>
          <cell r="C2769">
            <v>11.55</v>
          </cell>
        </row>
        <row r="2770">
          <cell r="B2770" t="str">
            <v>Buckley,Mathew E</v>
          </cell>
          <cell r="C2770">
            <v>18.559999999999999</v>
          </cell>
        </row>
        <row r="2771">
          <cell r="B2771" t="str">
            <v>Sanders,Steven R.</v>
          </cell>
          <cell r="C2771">
            <v>22.7</v>
          </cell>
        </row>
        <row r="2772">
          <cell r="B2772" t="str">
            <v>Ida,Erwin L</v>
          </cell>
          <cell r="C2772">
            <v>40.880000000000003</v>
          </cell>
        </row>
        <row r="2773">
          <cell r="B2773" t="str">
            <v>Scruggs,Loren D</v>
          </cell>
          <cell r="C2773">
            <v>32.5</v>
          </cell>
        </row>
        <row r="2774">
          <cell r="B2774" t="str">
            <v>Fredette,James A.</v>
          </cell>
          <cell r="C2774">
            <v>33.950000000000003</v>
          </cell>
        </row>
        <row r="2775">
          <cell r="B2775" t="str">
            <v>Flores,Edwin I</v>
          </cell>
          <cell r="C2775">
            <v>22.83</v>
          </cell>
        </row>
        <row r="2776">
          <cell r="B2776" t="str">
            <v>James,Derek W</v>
          </cell>
          <cell r="C2776">
            <v>43</v>
          </cell>
        </row>
        <row r="2777">
          <cell r="B2777" t="str">
            <v>McNeill,Ronald P.</v>
          </cell>
          <cell r="C2777">
            <v>62.48</v>
          </cell>
        </row>
        <row r="2778">
          <cell r="B2778" t="str">
            <v>Legenhausen,Kurt E.</v>
          </cell>
          <cell r="C2778">
            <v>75.56</v>
          </cell>
        </row>
        <row r="2779">
          <cell r="B2779" t="str">
            <v>Brooks,Joseph A</v>
          </cell>
          <cell r="C2779">
            <v>31.02</v>
          </cell>
        </row>
        <row r="2780">
          <cell r="B2780" t="str">
            <v>Weeks,David Timothy</v>
          </cell>
          <cell r="C2780">
            <v>34.93</v>
          </cell>
        </row>
        <row r="2781">
          <cell r="B2781" t="str">
            <v>Hawkins,Gregory</v>
          </cell>
          <cell r="C2781">
            <v>21.61</v>
          </cell>
        </row>
        <row r="2782">
          <cell r="B2782" t="str">
            <v>Greer,Judith R</v>
          </cell>
          <cell r="C2782">
            <v>46.65</v>
          </cell>
        </row>
        <row r="2783">
          <cell r="B2783" t="str">
            <v>Lucas,Joel A</v>
          </cell>
          <cell r="C2783">
            <v>48.34</v>
          </cell>
        </row>
        <row r="2784">
          <cell r="B2784" t="str">
            <v>Hudson,Daryl K</v>
          </cell>
          <cell r="C2784">
            <v>23.13</v>
          </cell>
        </row>
        <row r="2785">
          <cell r="B2785" t="str">
            <v>Mahoney,Devin</v>
          </cell>
          <cell r="C2785">
            <v>60.04</v>
          </cell>
        </row>
        <row r="2786">
          <cell r="B2786" t="str">
            <v>Rodriguez-Melendez,Luis A</v>
          </cell>
          <cell r="C2786">
            <v>20</v>
          </cell>
        </row>
        <row r="2787">
          <cell r="B2787" t="str">
            <v>Brown,Lera J</v>
          </cell>
          <cell r="C2787">
            <v>58.43</v>
          </cell>
        </row>
        <row r="2788">
          <cell r="B2788" t="str">
            <v>Rogers,Frank M</v>
          </cell>
          <cell r="C2788">
            <v>23.92</v>
          </cell>
        </row>
        <row r="2789">
          <cell r="B2789" t="str">
            <v>Scrivnor,Christopher J</v>
          </cell>
          <cell r="C2789">
            <v>57.64</v>
          </cell>
        </row>
        <row r="2790">
          <cell r="B2790" t="str">
            <v>Wojtalik,Zachary H</v>
          </cell>
          <cell r="C2790">
            <v>25.95</v>
          </cell>
        </row>
        <row r="2791">
          <cell r="B2791" t="str">
            <v>Chaffin,Stephanie S</v>
          </cell>
          <cell r="C2791">
            <v>21.67</v>
          </cell>
        </row>
        <row r="2792">
          <cell r="B2792" t="str">
            <v>Kornblum,Jesse D</v>
          </cell>
          <cell r="C2792">
            <v>67.3</v>
          </cell>
        </row>
        <row r="2793">
          <cell r="B2793" t="str">
            <v>Giusto,Francis</v>
          </cell>
          <cell r="C2793">
            <v>28.31</v>
          </cell>
        </row>
        <row r="2794">
          <cell r="B2794" t="str">
            <v>Teune,Jeremy L</v>
          </cell>
          <cell r="C2794">
            <v>20.079999999999998</v>
          </cell>
        </row>
        <row r="2795">
          <cell r="B2795" t="str">
            <v>Jones,Jacquelyn A</v>
          </cell>
          <cell r="C2795">
            <v>20.100000000000001</v>
          </cell>
        </row>
        <row r="2796">
          <cell r="B2796" t="str">
            <v>Oh,Joanna C</v>
          </cell>
          <cell r="C2796">
            <v>45</v>
          </cell>
        </row>
        <row r="2797">
          <cell r="B2797" t="str">
            <v>Johnson,Joseph M</v>
          </cell>
          <cell r="C2797">
            <v>20.25</v>
          </cell>
        </row>
        <row r="2798">
          <cell r="B2798" t="str">
            <v>Sliter,Ronald F</v>
          </cell>
          <cell r="C2798">
            <v>30.31</v>
          </cell>
        </row>
        <row r="2799">
          <cell r="B2799" t="str">
            <v>Boston,Randall G</v>
          </cell>
          <cell r="C2799">
            <v>30.65</v>
          </cell>
        </row>
        <row r="2800">
          <cell r="B2800" t="str">
            <v>Wisdom,Olan D</v>
          </cell>
          <cell r="C2800">
            <v>20.6</v>
          </cell>
        </row>
        <row r="2801">
          <cell r="B2801" t="str">
            <v>Gray,Linda E.</v>
          </cell>
          <cell r="C2801">
            <v>25.92</v>
          </cell>
        </row>
        <row r="2802">
          <cell r="B2802" t="str">
            <v>Smith,Kathleen</v>
          </cell>
          <cell r="C2802">
            <v>11.85</v>
          </cell>
        </row>
        <row r="2803">
          <cell r="B2803" t="str">
            <v>O'Halloran,John R</v>
          </cell>
          <cell r="C2803">
            <v>28.85</v>
          </cell>
        </row>
        <row r="2804">
          <cell r="B2804" t="str">
            <v>Williams,Nancy E.</v>
          </cell>
          <cell r="C2804">
            <v>23.55</v>
          </cell>
        </row>
        <row r="2805">
          <cell r="B2805" t="str">
            <v>Akcay,Fehime</v>
          </cell>
          <cell r="C2805">
            <v>13.83</v>
          </cell>
        </row>
        <row r="2806">
          <cell r="B2806" t="str">
            <v>Shaw,Mark E</v>
          </cell>
          <cell r="C2806">
            <v>64.69</v>
          </cell>
        </row>
        <row r="2807">
          <cell r="B2807" t="str">
            <v>Howze Jr.,Fredric</v>
          </cell>
          <cell r="C2807">
            <v>68.67</v>
          </cell>
        </row>
        <row r="2808">
          <cell r="B2808" t="str">
            <v>Preston,Cynthia M</v>
          </cell>
          <cell r="C2808">
            <v>30.38</v>
          </cell>
        </row>
        <row r="2809">
          <cell r="B2809" t="str">
            <v>Rudy,Richard D.</v>
          </cell>
          <cell r="C2809">
            <v>34.369999999999997</v>
          </cell>
        </row>
        <row r="2810">
          <cell r="B2810" t="str">
            <v>Baker,Linda J.</v>
          </cell>
          <cell r="C2810">
            <v>64.61</v>
          </cell>
        </row>
        <row r="2811">
          <cell r="B2811" t="str">
            <v>Deykes,David A</v>
          </cell>
          <cell r="C2811">
            <v>72.2</v>
          </cell>
        </row>
        <row r="2812">
          <cell r="B2812" t="str">
            <v>Jones,Brian J</v>
          </cell>
          <cell r="C2812">
            <v>21.96</v>
          </cell>
        </row>
        <row r="2813">
          <cell r="B2813" t="str">
            <v>Bannigan,James M.</v>
          </cell>
          <cell r="C2813">
            <v>73.971000000000004</v>
          </cell>
        </row>
        <row r="2814">
          <cell r="B2814" t="str">
            <v>Gosser,John H</v>
          </cell>
          <cell r="C2814">
            <v>55.46</v>
          </cell>
        </row>
        <row r="2815">
          <cell r="B2815" t="str">
            <v>Pinckney,Derrick B</v>
          </cell>
          <cell r="C2815">
            <v>22.43</v>
          </cell>
        </row>
        <row r="2816">
          <cell r="B2816" t="str">
            <v>Polisky,Matthew R</v>
          </cell>
          <cell r="C2816">
            <v>18.8</v>
          </cell>
        </row>
        <row r="2817">
          <cell r="B2817" t="str">
            <v>Sharpe,Tiffany L</v>
          </cell>
          <cell r="C2817">
            <v>16.47</v>
          </cell>
        </row>
        <row r="2818">
          <cell r="B2818" t="str">
            <v>Berland,William L</v>
          </cell>
          <cell r="C2818">
            <v>42.91</v>
          </cell>
        </row>
        <row r="2819">
          <cell r="B2819" t="str">
            <v>McIver,Melvin R</v>
          </cell>
          <cell r="C2819">
            <v>40</v>
          </cell>
        </row>
        <row r="2820">
          <cell r="B2820" t="str">
            <v>Cain,Stephanie D</v>
          </cell>
          <cell r="C2820">
            <v>38.15</v>
          </cell>
        </row>
        <row r="2821">
          <cell r="B2821" t="str">
            <v>Wickham,Jeffrey T</v>
          </cell>
          <cell r="C2821">
            <v>77.13</v>
          </cell>
        </row>
        <row r="2822">
          <cell r="B2822" t="str">
            <v>Smith Jr.,Edward T</v>
          </cell>
          <cell r="C2822">
            <v>38.44</v>
          </cell>
        </row>
        <row r="2823">
          <cell r="B2823" t="str">
            <v>Lien,Anzu I</v>
          </cell>
          <cell r="C2823">
            <v>17.079999999999998</v>
          </cell>
        </row>
        <row r="2824">
          <cell r="B2824" t="str">
            <v>Sabagala,Ronald D</v>
          </cell>
          <cell r="C2824">
            <v>18.82</v>
          </cell>
        </row>
        <row r="2825">
          <cell r="B2825" t="str">
            <v>Beauharnois,Chastity L</v>
          </cell>
          <cell r="C2825">
            <v>81.78</v>
          </cell>
        </row>
        <row r="2826">
          <cell r="B2826" t="str">
            <v>Pham,Tam Hieu</v>
          </cell>
          <cell r="C2826">
            <v>33.130000000000003</v>
          </cell>
        </row>
        <row r="2827">
          <cell r="B2827" t="str">
            <v>Warfield,Thomas O</v>
          </cell>
          <cell r="C2827">
            <v>81.93</v>
          </cell>
        </row>
        <row r="2828">
          <cell r="B2828" t="str">
            <v>Ricks,Wallace</v>
          </cell>
          <cell r="C2828">
            <v>69.41</v>
          </cell>
        </row>
        <row r="2829">
          <cell r="B2829" t="str">
            <v>Garrand,Lawrence F</v>
          </cell>
          <cell r="C2829">
            <v>40.270000000000003</v>
          </cell>
        </row>
        <row r="2830">
          <cell r="B2830" t="str">
            <v>Manges,James A</v>
          </cell>
          <cell r="C2830">
            <v>38.47</v>
          </cell>
        </row>
        <row r="2831">
          <cell r="B2831" t="str">
            <v>Lynd,James R</v>
          </cell>
          <cell r="C2831">
            <v>30</v>
          </cell>
        </row>
        <row r="2832">
          <cell r="B2832" t="str">
            <v>Dunbar,William F</v>
          </cell>
          <cell r="C2832">
            <v>34.14</v>
          </cell>
        </row>
        <row r="2833">
          <cell r="B2833" t="str">
            <v>Curry,Marsha J</v>
          </cell>
          <cell r="C2833">
            <v>29.26</v>
          </cell>
        </row>
        <row r="2834">
          <cell r="B2834" t="str">
            <v>Walker Sr.,Gregory</v>
          </cell>
          <cell r="C2834">
            <v>30.67</v>
          </cell>
        </row>
        <row r="2835">
          <cell r="B2835" t="str">
            <v>Filiatreau,Mark D.</v>
          </cell>
          <cell r="C2835">
            <v>38.6</v>
          </cell>
        </row>
        <row r="2836">
          <cell r="B2836" t="str">
            <v>Chagnon,Albert G.</v>
          </cell>
          <cell r="C2836">
            <v>39.53</v>
          </cell>
        </row>
        <row r="2837">
          <cell r="B2837" t="str">
            <v>Caldwell,Patrick H</v>
          </cell>
          <cell r="C2837">
            <v>41.26</v>
          </cell>
        </row>
        <row r="2838">
          <cell r="B2838" t="str">
            <v>Knight,Bernard G.</v>
          </cell>
          <cell r="C2838">
            <v>47.58</v>
          </cell>
        </row>
        <row r="2839">
          <cell r="B2839" t="str">
            <v>Morris,Jeremy D</v>
          </cell>
          <cell r="C2839">
            <v>28.02</v>
          </cell>
        </row>
        <row r="2840">
          <cell r="B2840" t="str">
            <v>Green,Thomas H.</v>
          </cell>
          <cell r="C2840">
            <v>56.38</v>
          </cell>
        </row>
        <row r="2841">
          <cell r="B2841" t="str">
            <v>Hughes,Barbara</v>
          </cell>
          <cell r="C2841">
            <v>33.03</v>
          </cell>
        </row>
        <row r="2842">
          <cell r="B2842" t="str">
            <v>Burgoyne,Tasha K.</v>
          </cell>
          <cell r="C2842">
            <v>25.61</v>
          </cell>
        </row>
        <row r="2843">
          <cell r="B2843" t="str">
            <v>Rodriguez Jr.,Antonio</v>
          </cell>
          <cell r="C2843">
            <v>26</v>
          </cell>
        </row>
        <row r="2844">
          <cell r="B2844" t="str">
            <v>Hernandez,Miguel O.</v>
          </cell>
          <cell r="C2844">
            <v>62.85</v>
          </cell>
        </row>
        <row r="2845">
          <cell r="B2845" t="str">
            <v>Ahlstrom,David W</v>
          </cell>
          <cell r="C2845">
            <v>26.55</v>
          </cell>
        </row>
        <row r="2846">
          <cell r="B2846" t="str">
            <v>Garvie,David Ian</v>
          </cell>
          <cell r="C2846">
            <v>60.1</v>
          </cell>
        </row>
        <row r="2847">
          <cell r="B2847" t="str">
            <v>Poland,Chad W.</v>
          </cell>
          <cell r="C2847">
            <v>38.35</v>
          </cell>
        </row>
        <row r="2848">
          <cell r="B2848" t="str">
            <v>Weedon,Carroll J</v>
          </cell>
          <cell r="C2848">
            <v>18.86</v>
          </cell>
        </row>
        <row r="2849">
          <cell r="B2849" t="str">
            <v>Wolski,Lawrence F</v>
          </cell>
          <cell r="C2849">
            <v>38.223599999999998</v>
          </cell>
        </row>
        <row r="2850">
          <cell r="B2850" t="str">
            <v>Monroe,Mathew</v>
          </cell>
          <cell r="C2850">
            <v>48.61</v>
          </cell>
        </row>
        <row r="2851">
          <cell r="B2851" t="str">
            <v>Heitke,Sarah E</v>
          </cell>
          <cell r="C2851">
            <v>48.45</v>
          </cell>
        </row>
        <row r="2852">
          <cell r="B2852" t="str">
            <v>Runnels,Fredric B</v>
          </cell>
          <cell r="C2852">
            <v>23.55</v>
          </cell>
        </row>
        <row r="2853">
          <cell r="B2853" t="str">
            <v>Whitlock,Robert R</v>
          </cell>
          <cell r="C2853">
            <v>71</v>
          </cell>
        </row>
        <row r="2854">
          <cell r="B2854" t="str">
            <v>Smith,Michael D</v>
          </cell>
          <cell r="C2854">
            <v>29.81</v>
          </cell>
        </row>
        <row r="2855">
          <cell r="B2855" t="str">
            <v>Smith,Brooke A</v>
          </cell>
          <cell r="C2855">
            <v>28.01</v>
          </cell>
        </row>
        <row r="2856">
          <cell r="B2856" t="str">
            <v>Puckett,Debra S</v>
          </cell>
          <cell r="C2856">
            <v>37.04</v>
          </cell>
        </row>
        <row r="2857">
          <cell r="B2857" t="str">
            <v>Rejon Jr,Richard C</v>
          </cell>
          <cell r="C2857">
            <v>38.619999999999997</v>
          </cell>
        </row>
        <row r="2858">
          <cell r="B2858" t="str">
            <v>Fetterman,Marcie L.</v>
          </cell>
          <cell r="C2858">
            <v>34.78</v>
          </cell>
        </row>
        <row r="2859">
          <cell r="B2859" t="str">
            <v>Day,Jon E.</v>
          </cell>
          <cell r="C2859">
            <v>19.34</v>
          </cell>
        </row>
        <row r="2860">
          <cell r="B2860" t="str">
            <v>Wright,Herbert M</v>
          </cell>
          <cell r="C2860">
            <v>27.75</v>
          </cell>
        </row>
        <row r="2861">
          <cell r="B2861" t="str">
            <v>Hober,Brian P</v>
          </cell>
          <cell r="C2861">
            <v>25</v>
          </cell>
        </row>
        <row r="2862">
          <cell r="B2862" t="str">
            <v>Darrah,Lisa R.</v>
          </cell>
          <cell r="C2862">
            <v>51.92</v>
          </cell>
        </row>
        <row r="2863">
          <cell r="B2863" t="str">
            <v>Barclay,Arthur C</v>
          </cell>
          <cell r="C2863">
            <v>21.24</v>
          </cell>
        </row>
        <row r="2864">
          <cell r="B2864" t="str">
            <v>Scott,Brandi K</v>
          </cell>
          <cell r="C2864">
            <v>29.33</v>
          </cell>
        </row>
        <row r="2865">
          <cell r="B2865" t="str">
            <v>Korty,Karen S</v>
          </cell>
          <cell r="C2865">
            <v>29.42</v>
          </cell>
        </row>
        <row r="2866">
          <cell r="B2866" t="str">
            <v>Kohut,George J.</v>
          </cell>
          <cell r="C2866">
            <v>57.84</v>
          </cell>
        </row>
        <row r="2867">
          <cell r="B2867" t="str">
            <v>Carreras,Aaron M</v>
          </cell>
          <cell r="C2867">
            <v>66.349999999999994</v>
          </cell>
        </row>
        <row r="2868">
          <cell r="B2868" t="str">
            <v>Lloyd,John G</v>
          </cell>
          <cell r="C2868">
            <v>56.25</v>
          </cell>
        </row>
        <row r="2869">
          <cell r="B2869" t="str">
            <v>Miskow,Michael R</v>
          </cell>
          <cell r="C2869">
            <v>43.081800000000001</v>
          </cell>
        </row>
        <row r="2870">
          <cell r="B2870" t="str">
            <v>Beever,Kevin S</v>
          </cell>
          <cell r="C2870">
            <v>71.400000000000006</v>
          </cell>
        </row>
        <row r="2871">
          <cell r="B2871" t="str">
            <v>Barnes,Andrew</v>
          </cell>
          <cell r="C2871">
            <v>58</v>
          </cell>
        </row>
        <row r="2872">
          <cell r="B2872" t="str">
            <v>Glazamitsky,Alexander</v>
          </cell>
          <cell r="C2872">
            <v>55.52</v>
          </cell>
        </row>
        <row r="2873">
          <cell r="B2873" t="str">
            <v>Harrison,Tina M</v>
          </cell>
          <cell r="C2873">
            <v>39.04</v>
          </cell>
        </row>
        <row r="2874">
          <cell r="B2874" t="str">
            <v>Moore,Eric B</v>
          </cell>
          <cell r="C2874">
            <v>49.52</v>
          </cell>
        </row>
        <row r="2875">
          <cell r="B2875" t="str">
            <v>Black,Brian R</v>
          </cell>
          <cell r="C2875">
            <v>68.349999999999994</v>
          </cell>
        </row>
        <row r="2876">
          <cell r="B2876" t="str">
            <v>Benoit,David P</v>
          </cell>
          <cell r="C2876">
            <v>60.19</v>
          </cell>
        </row>
        <row r="2877">
          <cell r="B2877" t="str">
            <v>Juarez,Armando H</v>
          </cell>
          <cell r="C2877">
            <v>31.72</v>
          </cell>
        </row>
        <row r="2878">
          <cell r="B2878" t="str">
            <v>Torrey,Michael E</v>
          </cell>
          <cell r="C2878">
            <v>57.9</v>
          </cell>
        </row>
        <row r="2879">
          <cell r="B2879" t="str">
            <v>Hill,James A.</v>
          </cell>
          <cell r="C2879">
            <v>49.07</v>
          </cell>
        </row>
        <row r="2880">
          <cell r="B2880" t="str">
            <v>Piche,Rita J</v>
          </cell>
          <cell r="C2880">
            <v>30</v>
          </cell>
        </row>
        <row r="2881">
          <cell r="B2881" t="str">
            <v>Zemba,Sara K</v>
          </cell>
          <cell r="C2881">
            <v>27.2</v>
          </cell>
        </row>
        <row r="2882">
          <cell r="B2882" t="str">
            <v>Osborne,Todd J</v>
          </cell>
          <cell r="C2882">
            <v>44.87</v>
          </cell>
        </row>
        <row r="2883">
          <cell r="B2883" t="str">
            <v>Shelby,Samuel W</v>
          </cell>
          <cell r="C2883">
            <v>20</v>
          </cell>
        </row>
        <row r="2884">
          <cell r="B2884" t="str">
            <v>Kleinhans,Jeffrey C</v>
          </cell>
          <cell r="C2884">
            <v>20.95</v>
          </cell>
        </row>
        <row r="2885">
          <cell r="B2885" t="str">
            <v>Van Goethem,Henri M</v>
          </cell>
          <cell r="C2885">
            <v>74.52</v>
          </cell>
        </row>
        <row r="2886">
          <cell r="B2886" t="str">
            <v>Gentry,Sean P</v>
          </cell>
          <cell r="C2886">
            <v>53.63</v>
          </cell>
        </row>
        <row r="2887">
          <cell r="B2887" t="str">
            <v>McIlvaine,John P</v>
          </cell>
          <cell r="C2887">
            <v>59.74</v>
          </cell>
        </row>
        <row r="2888">
          <cell r="B2888" t="str">
            <v>Urban,Richard S</v>
          </cell>
          <cell r="C2888">
            <v>80.88</v>
          </cell>
        </row>
        <row r="2889">
          <cell r="B2889" t="str">
            <v>Miller,Frank W</v>
          </cell>
          <cell r="C2889">
            <v>48.08</v>
          </cell>
        </row>
        <row r="2890">
          <cell r="B2890" t="str">
            <v>Flores,Roberto</v>
          </cell>
          <cell r="C2890">
            <v>41.06</v>
          </cell>
        </row>
        <row r="2891">
          <cell r="B2891" t="str">
            <v>Bauer,Caroline A C</v>
          </cell>
          <cell r="C2891">
            <v>36.54</v>
          </cell>
        </row>
        <row r="2892">
          <cell r="B2892" t="str">
            <v>Bacon Jr.,Henry D</v>
          </cell>
          <cell r="C2892">
            <v>19.38</v>
          </cell>
        </row>
        <row r="2893">
          <cell r="B2893" t="str">
            <v>Mueller,Audrey C</v>
          </cell>
          <cell r="C2893">
            <v>26.64</v>
          </cell>
        </row>
        <row r="2894">
          <cell r="B2894" t="str">
            <v>Jones,Jeffrey K</v>
          </cell>
          <cell r="C2894">
            <v>18.97</v>
          </cell>
        </row>
        <row r="2895">
          <cell r="B2895" t="str">
            <v>Lowe,David A</v>
          </cell>
          <cell r="C2895">
            <v>38</v>
          </cell>
        </row>
        <row r="2896">
          <cell r="B2896" t="str">
            <v>Soule,Patricia A</v>
          </cell>
          <cell r="C2896">
            <v>39.380000000000003</v>
          </cell>
        </row>
        <row r="2897">
          <cell r="B2897" t="str">
            <v>Williams,Kimberly L</v>
          </cell>
          <cell r="C2897">
            <v>34.65</v>
          </cell>
        </row>
        <row r="2898">
          <cell r="B2898" t="str">
            <v>Jackson Jr.,Jesse L</v>
          </cell>
          <cell r="C2898">
            <v>21.18</v>
          </cell>
        </row>
        <row r="2899">
          <cell r="B2899" t="str">
            <v>Lacy,William H</v>
          </cell>
          <cell r="C2899">
            <v>61.9</v>
          </cell>
        </row>
        <row r="2900">
          <cell r="B2900" t="str">
            <v>Bass,Charles J</v>
          </cell>
          <cell r="C2900">
            <v>17.12</v>
          </cell>
        </row>
        <row r="2901">
          <cell r="B2901" t="str">
            <v>Caldwell,Becky J</v>
          </cell>
          <cell r="C2901">
            <v>23</v>
          </cell>
        </row>
        <row r="2902">
          <cell r="B2902" t="str">
            <v>Fender,Donnie R</v>
          </cell>
          <cell r="C2902">
            <v>22.78</v>
          </cell>
        </row>
        <row r="2903">
          <cell r="B2903" t="str">
            <v>Hawes,Jeffrey P</v>
          </cell>
          <cell r="C2903">
            <v>22.72</v>
          </cell>
        </row>
        <row r="2904">
          <cell r="B2904" t="str">
            <v>Vance,James O</v>
          </cell>
          <cell r="C2904">
            <v>56.03</v>
          </cell>
        </row>
        <row r="2905">
          <cell r="B2905" t="str">
            <v>Ward,Kristopher T</v>
          </cell>
          <cell r="C2905">
            <v>22</v>
          </cell>
        </row>
        <row r="2906">
          <cell r="B2906" t="str">
            <v>Grof,Joseph P</v>
          </cell>
          <cell r="C2906">
            <v>41.83</v>
          </cell>
        </row>
        <row r="2907">
          <cell r="B2907" t="str">
            <v>Aeria,Shawn R</v>
          </cell>
          <cell r="C2907">
            <v>34.92</v>
          </cell>
        </row>
        <row r="2908">
          <cell r="B2908" t="str">
            <v>Perry,Trudy</v>
          </cell>
          <cell r="C2908">
            <v>39.020000000000003</v>
          </cell>
        </row>
        <row r="2909">
          <cell r="B2909" t="str">
            <v>Brown,Craig A</v>
          </cell>
          <cell r="C2909">
            <v>46.64</v>
          </cell>
        </row>
        <row r="2910">
          <cell r="B2910" t="str">
            <v>Terrell,Tony A.</v>
          </cell>
          <cell r="C2910">
            <v>30.64</v>
          </cell>
        </row>
        <row r="2911">
          <cell r="B2911" t="str">
            <v>Aaron,Jacqueline</v>
          </cell>
          <cell r="C2911">
            <v>52.48</v>
          </cell>
        </row>
        <row r="2912">
          <cell r="B2912" t="str">
            <v>Mirante,Cyndee S</v>
          </cell>
          <cell r="C2912">
            <v>31.47</v>
          </cell>
        </row>
        <row r="2913">
          <cell r="B2913" t="str">
            <v>Hagan,Scott M</v>
          </cell>
          <cell r="C2913">
            <v>41.69</v>
          </cell>
        </row>
        <row r="2914">
          <cell r="B2914" t="str">
            <v>McKenney,Robert T.</v>
          </cell>
          <cell r="C2914">
            <v>53.55</v>
          </cell>
        </row>
        <row r="2915">
          <cell r="B2915" t="str">
            <v>Johnson,Jared M</v>
          </cell>
          <cell r="C2915">
            <v>19.78</v>
          </cell>
        </row>
        <row r="2916">
          <cell r="B2916" t="str">
            <v>Peterson,Brenda T</v>
          </cell>
          <cell r="C2916">
            <v>44.84</v>
          </cell>
        </row>
        <row r="2917">
          <cell r="B2917" t="str">
            <v>Kopa,Frank C</v>
          </cell>
          <cell r="C2917">
            <v>22.04</v>
          </cell>
        </row>
        <row r="2918">
          <cell r="B2918" t="str">
            <v>Wesley,Leeandra C</v>
          </cell>
          <cell r="C2918">
            <v>39.74</v>
          </cell>
        </row>
        <row r="2919">
          <cell r="B2919" t="str">
            <v>Weirich,Craig R.</v>
          </cell>
          <cell r="C2919">
            <v>34.46</v>
          </cell>
        </row>
        <row r="2920">
          <cell r="B2920" t="str">
            <v>Arthur,Karen D</v>
          </cell>
          <cell r="C2920">
            <v>35.96</v>
          </cell>
        </row>
        <row r="2921">
          <cell r="B2921" t="str">
            <v>Cole,George P</v>
          </cell>
          <cell r="C2921">
            <v>81.099999999999994</v>
          </cell>
        </row>
        <row r="2922">
          <cell r="B2922" t="str">
            <v>Cabaniss,Marion I</v>
          </cell>
          <cell r="C2922">
            <v>51.38</v>
          </cell>
        </row>
        <row r="2923">
          <cell r="B2923" t="str">
            <v>Thies,Leeann E.</v>
          </cell>
          <cell r="C2923">
            <v>23.84</v>
          </cell>
        </row>
        <row r="2924">
          <cell r="B2924" t="str">
            <v>Bingham,Kevin D</v>
          </cell>
          <cell r="C2924">
            <v>32.65</v>
          </cell>
        </row>
        <row r="2925">
          <cell r="B2925" t="str">
            <v>Goains,Michael D</v>
          </cell>
          <cell r="C2925">
            <v>41.8</v>
          </cell>
        </row>
        <row r="2926">
          <cell r="B2926" t="str">
            <v>Fenloch,Peggy V</v>
          </cell>
          <cell r="C2926">
            <v>48.25</v>
          </cell>
        </row>
        <row r="2927">
          <cell r="B2927" t="str">
            <v>Cain,Clarence L.</v>
          </cell>
          <cell r="C2927">
            <v>36.82</v>
          </cell>
        </row>
        <row r="2928">
          <cell r="B2928" t="str">
            <v>Rager,Raymond S</v>
          </cell>
          <cell r="C2928">
            <v>44.72</v>
          </cell>
        </row>
        <row r="2929">
          <cell r="B2929" t="str">
            <v>Schalles,Carol A</v>
          </cell>
          <cell r="C2929">
            <v>18.03</v>
          </cell>
        </row>
        <row r="2930">
          <cell r="B2930" t="str">
            <v>Chancey,Mark A</v>
          </cell>
          <cell r="C2930">
            <v>55.98</v>
          </cell>
        </row>
        <row r="2931">
          <cell r="B2931" t="str">
            <v>Choy,Lani M.</v>
          </cell>
          <cell r="C2931">
            <v>44.45</v>
          </cell>
        </row>
        <row r="2932">
          <cell r="B2932" t="str">
            <v>Todd,Michael A.</v>
          </cell>
          <cell r="C2932">
            <v>25.76</v>
          </cell>
        </row>
        <row r="2933">
          <cell r="B2933" t="str">
            <v>Debelius,Daniel M</v>
          </cell>
          <cell r="C2933">
            <v>31.95</v>
          </cell>
        </row>
        <row r="2934">
          <cell r="B2934" t="str">
            <v>Callahan,David M.</v>
          </cell>
          <cell r="C2934">
            <v>32.51</v>
          </cell>
        </row>
        <row r="2935">
          <cell r="B2935" t="str">
            <v>Struchtemeyer,Jared R.</v>
          </cell>
          <cell r="C2935">
            <v>55.29</v>
          </cell>
        </row>
        <row r="2936">
          <cell r="B2936" t="str">
            <v>O'Kelley,Christopher T.</v>
          </cell>
          <cell r="C2936">
            <v>39.42</v>
          </cell>
        </row>
        <row r="2937">
          <cell r="B2937" t="str">
            <v>Tiscareno,Mario A</v>
          </cell>
          <cell r="C2937">
            <v>21.48</v>
          </cell>
        </row>
        <row r="2938">
          <cell r="B2938" t="str">
            <v>Sheluga,Matthew T</v>
          </cell>
          <cell r="C2938">
            <v>44.14</v>
          </cell>
        </row>
        <row r="2939">
          <cell r="B2939" t="str">
            <v>Dudley,Nathaniel L</v>
          </cell>
          <cell r="C2939">
            <v>21.32</v>
          </cell>
        </row>
        <row r="2940">
          <cell r="B2940" t="str">
            <v>Phillips,James M</v>
          </cell>
          <cell r="C2940">
            <v>29.77</v>
          </cell>
        </row>
        <row r="2941">
          <cell r="B2941" t="str">
            <v>Witte,Christina J</v>
          </cell>
          <cell r="C2941">
            <v>28.41</v>
          </cell>
        </row>
        <row r="2942">
          <cell r="B2942" t="str">
            <v>Rowe III,Jacie C</v>
          </cell>
          <cell r="C2942">
            <v>23.75</v>
          </cell>
        </row>
        <row r="2943">
          <cell r="B2943" t="str">
            <v>Laurel,Richard M</v>
          </cell>
          <cell r="C2943">
            <v>42.66</v>
          </cell>
        </row>
        <row r="2944">
          <cell r="B2944" t="str">
            <v>Monroe,Julia E</v>
          </cell>
          <cell r="C2944">
            <v>36.14</v>
          </cell>
        </row>
        <row r="2945">
          <cell r="B2945" t="str">
            <v>Jones,Bruce V</v>
          </cell>
          <cell r="C2945">
            <v>37.86</v>
          </cell>
        </row>
        <row r="2946">
          <cell r="B2946" t="str">
            <v>Cancel,Jose M.</v>
          </cell>
          <cell r="C2946">
            <v>39.380000000000003</v>
          </cell>
        </row>
        <row r="2947">
          <cell r="B2947" t="str">
            <v>Acfalle,Jesus Q</v>
          </cell>
          <cell r="C2947">
            <v>18.29</v>
          </cell>
        </row>
        <row r="2948">
          <cell r="B2948" t="str">
            <v>Miller,Darris M.</v>
          </cell>
          <cell r="C2948">
            <v>21.32</v>
          </cell>
        </row>
        <row r="2949">
          <cell r="B2949" t="str">
            <v>Murray,Joseph V</v>
          </cell>
          <cell r="C2949">
            <v>48.86</v>
          </cell>
        </row>
        <row r="2950">
          <cell r="B2950" t="str">
            <v>Gillings,Ginger K</v>
          </cell>
          <cell r="C2950">
            <v>31.72</v>
          </cell>
        </row>
        <row r="2951">
          <cell r="B2951" t="str">
            <v>Gasparis,Nick C.</v>
          </cell>
          <cell r="C2951">
            <v>56.74</v>
          </cell>
        </row>
        <row r="2952">
          <cell r="B2952" t="str">
            <v>Snead Jr.,James K.</v>
          </cell>
          <cell r="C2952">
            <v>32.67</v>
          </cell>
        </row>
        <row r="2953">
          <cell r="B2953" t="str">
            <v>Harwood Jr,Victor K</v>
          </cell>
          <cell r="C2953">
            <v>42.32</v>
          </cell>
        </row>
        <row r="2954">
          <cell r="B2954" t="str">
            <v>Maurer,David</v>
          </cell>
          <cell r="C2954">
            <v>63.53</v>
          </cell>
        </row>
        <row r="2955">
          <cell r="B2955" t="str">
            <v>Krowe,Daniel W</v>
          </cell>
          <cell r="C2955">
            <v>56.44</v>
          </cell>
        </row>
        <row r="2956">
          <cell r="B2956" t="str">
            <v>Butler,William D</v>
          </cell>
          <cell r="C2956">
            <v>24</v>
          </cell>
        </row>
        <row r="2957">
          <cell r="B2957" t="str">
            <v>Brumett,Sandra L</v>
          </cell>
          <cell r="C2957">
            <v>36.06</v>
          </cell>
        </row>
        <row r="2958">
          <cell r="B2958" t="str">
            <v>Caltrider,Jack L</v>
          </cell>
          <cell r="C2958">
            <v>50.79</v>
          </cell>
        </row>
        <row r="2959">
          <cell r="B2959" t="str">
            <v>Hogan,James R.</v>
          </cell>
          <cell r="C2959">
            <v>41.58</v>
          </cell>
        </row>
        <row r="2960">
          <cell r="B2960" t="str">
            <v>Crump,Verlisa A</v>
          </cell>
          <cell r="C2960">
            <v>47.41</v>
          </cell>
        </row>
        <row r="2961">
          <cell r="B2961" t="str">
            <v>Evans,Drexel E</v>
          </cell>
          <cell r="C2961">
            <v>34.14</v>
          </cell>
        </row>
        <row r="2962">
          <cell r="B2962" t="str">
            <v>Hargraves,John C</v>
          </cell>
          <cell r="C2962">
            <v>65.3</v>
          </cell>
        </row>
        <row r="2963">
          <cell r="B2963" t="str">
            <v>Hicks Jr,Darell A</v>
          </cell>
          <cell r="C2963">
            <v>47.39</v>
          </cell>
        </row>
        <row r="2964">
          <cell r="B2964" t="str">
            <v>Sanner,Belinda G</v>
          </cell>
          <cell r="C2964">
            <v>28.59</v>
          </cell>
        </row>
        <row r="2965">
          <cell r="B2965" t="str">
            <v>Agosto,Jose</v>
          </cell>
          <cell r="C2965">
            <v>33.520000000000003</v>
          </cell>
        </row>
        <row r="2966">
          <cell r="B2966" t="str">
            <v>Harris,Stacey E</v>
          </cell>
          <cell r="C2966">
            <v>24.08</v>
          </cell>
        </row>
        <row r="2967">
          <cell r="B2967" t="str">
            <v>Ellis,Brian T.</v>
          </cell>
          <cell r="C2967">
            <v>32.049999999999997</v>
          </cell>
        </row>
        <row r="2968">
          <cell r="B2968" t="str">
            <v>Butler,Daveine R</v>
          </cell>
          <cell r="C2968">
            <v>20.56</v>
          </cell>
        </row>
        <row r="2969">
          <cell r="B2969" t="str">
            <v>Green Jr,Herbert</v>
          </cell>
          <cell r="C2969">
            <v>63.12</v>
          </cell>
        </row>
        <row r="2970">
          <cell r="B2970" t="str">
            <v>Jarratt,David L</v>
          </cell>
          <cell r="C2970">
            <v>45.13</v>
          </cell>
        </row>
        <row r="2971">
          <cell r="B2971" t="str">
            <v>Tarquinio,Arlan J</v>
          </cell>
          <cell r="C2971">
            <v>41.83</v>
          </cell>
        </row>
        <row r="2972">
          <cell r="B2972" t="str">
            <v>Wootten,Richard D</v>
          </cell>
          <cell r="C2972">
            <v>19.079999999999998</v>
          </cell>
        </row>
        <row r="2973">
          <cell r="B2973" t="str">
            <v>Cowan,Brian D</v>
          </cell>
          <cell r="C2973">
            <v>17.63</v>
          </cell>
        </row>
        <row r="2974">
          <cell r="B2974" t="str">
            <v>Navratil,David A</v>
          </cell>
          <cell r="C2974">
            <v>53.1</v>
          </cell>
        </row>
        <row r="2975">
          <cell r="B2975" t="str">
            <v>Ayers,Kenneth H</v>
          </cell>
          <cell r="C2975">
            <v>25</v>
          </cell>
        </row>
        <row r="2976">
          <cell r="B2976" t="str">
            <v>Morris,Ronald F</v>
          </cell>
          <cell r="C2976">
            <v>63.11</v>
          </cell>
        </row>
        <row r="2977">
          <cell r="B2977" t="str">
            <v>Mena Jr.,Jose L</v>
          </cell>
          <cell r="C2977">
            <v>17.64</v>
          </cell>
        </row>
        <row r="2978">
          <cell r="B2978" t="str">
            <v>Long,Tracy A.</v>
          </cell>
          <cell r="C2978">
            <v>59.3</v>
          </cell>
        </row>
        <row r="2979">
          <cell r="B2979" t="str">
            <v>Ives,Thomas M</v>
          </cell>
          <cell r="C2979">
            <v>46.4</v>
          </cell>
        </row>
        <row r="2980">
          <cell r="B2980" t="str">
            <v>Yrigoyen Jr.,Frank J</v>
          </cell>
          <cell r="C2980">
            <v>19.64</v>
          </cell>
        </row>
        <row r="2981">
          <cell r="B2981" t="str">
            <v>Muehl,Patricia K</v>
          </cell>
          <cell r="C2981">
            <v>66.39</v>
          </cell>
        </row>
        <row r="2982">
          <cell r="B2982" t="str">
            <v>Woolsey,Jacob T</v>
          </cell>
          <cell r="C2982">
            <v>22.76</v>
          </cell>
        </row>
        <row r="2983">
          <cell r="B2983" t="str">
            <v>Yearta,Marisa A.</v>
          </cell>
          <cell r="C2983">
            <v>36.229999999999997</v>
          </cell>
        </row>
        <row r="2984">
          <cell r="B2984" t="str">
            <v>Rupp,Jeremy S.</v>
          </cell>
          <cell r="C2984">
            <v>44.48</v>
          </cell>
        </row>
        <row r="2985">
          <cell r="B2985" t="str">
            <v>McGurty,Daniel P</v>
          </cell>
          <cell r="C2985">
            <v>19.7</v>
          </cell>
        </row>
        <row r="2986">
          <cell r="B2986" t="str">
            <v>Duvall,Joanne V</v>
          </cell>
          <cell r="C2986">
            <v>14.58</v>
          </cell>
        </row>
        <row r="2987">
          <cell r="B2987" t="str">
            <v>Rivera,Joseph A.</v>
          </cell>
          <cell r="C2987">
            <v>95.7</v>
          </cell>
        </row>
        <row r="2988">
          <cell r="B2988" t="str">
            <v>Henchen,Doug P</v>
          </cell>
          <cell r="C2988">
            <v>58.4</v>
          </cell>
        </row>
        <row r="2989">
          <cell r="B2989" t="str">
            <v>Bole,Nathan M</v>
          </cell>
          <cell r="C2989">
            <v>20.77</v>
          </cell>
        </row>
        <row r="2990">
          <cell r="B2990" t="str">
            <v>Garofolo II,Michael A.</v>
          </cell>
          <cell r="C2990">
            <v>38.409999999999997</v>
          </cell>
        </row>
        <row r="2991">
          <cell r="B2991" t="str">
            <v>Clark,Emmett L</v>
          </cell>
          <cell r="C2991">
            <v>45.11</v>
          </cell>
        </row>
        <row r="2992">
          <cell r="B2992" t="str">
            <v>Morgan,Robert D</v>
          </cell>
          <cell r="C2992">
            <v>43.89</v>
          </cell>
        </row>
        <row r="2993">
          <cell r="B2993" t="str">
            <v>Cruz,Joel</v>
          </cell>
          <cell r="C2993">
            <v>21.6</v>
          </cell>
        </row>
        <row r="2994">
          <cell r="B2994" t="str">
            <v>Nobles,Rufus V.</v>
          </cell>
          <cell r="C2994">
            <v>64.760000000000005</v>
          </cell>
        </row>
        <row r="2995">
          <cell r="B2995" t="str">
            <v>Dye,Raymond L</v>
          </cell>
          <cell r="C2995">
            <v>46.5</v>
          </cell>
        </row>
        <row r="2996">
          <cell r="B2996" t="str">
            <v>Throckmorton,Kevin D</v>
          </cell>
          <cell r="C2996">
            <v>36.79</v>
          </cell>
        </row>
        <row r="2997">
          <cell r="B2997" t="str">
            <v>Barretta,William Joseph</v>
          </cell>
          <cell r="C2997">
            <v>42.2</v>
          </cell>
        </row>
        <row r="2998">
          <cell r="B2998" t="str">
            <v>Rodriguez,Rene</v>
          </cell>
          <cell r="C2998">
            <v>48.35</v>
          </cell>
        </row>
        <row r="2999">
          <cell r="B2999" t="str">
            <v>Mirante,Walter A F</v>
          </cell>
          <cell r="C2999">
            <v>13.96</v>
          </cell>
        </row>
        <row r="3000">
          <cell r="B3000" t="str">
            <v>Byrd II,Ronald Paul</v>
          </cell>
          <cell r="C3000">
            <v>37.68</v>
          </cell>
        </row>
        <row r="3001">
          <cell r="B3001" t="str">
            <v>Guerrero Jr.,Salvador</v>
          </cell>
          <cell r="C3001">
            <v>65.75</v>
          </cell>
        </row>
        <row r="3002">
          <cell r="B3002" t="str">
            <v>Wright,Lee A</v>
          </cell>
          <cell r="C3002">
            <v>17.82</v>
          </cell>
        </row>
        <row r="3003">
          <cell r="B3003" t="str">
            <v>Bechtold,Brenda L</v>
          </cell>
          <cell r="C3003">
            <v>22.96</v>
          </cell>
        </row>
        <row r="3004">
          <cell r="B3004" t="str">
            <v>Kenney,Eric S</v>
          </cell>
          <cell r="C3004">
            <v>23.54</v>
          </cell>
        </row>
        <row r="3005">
          <cell r="B3005" t="str">
            <v>Williams,Mark H</v>
          </cell>
          <cell r="C3005">
            <v>66.42</v>
          </cell>
        </row>
        <row r="3006">
          <cell r="B3006" t="str">
            <v>Stearns,William E</v>
          </cell>
          <cell r="C3006">
            <v>74.239999999999995</v>
          </cell>
        </row>
        <row r="3007">
          <cell r="B3007" t="str">
            <v>Package,George W</v>
          </cell>
          <cell r="C3007">
            <v>47.56</v>
          </cell>
        </row>
        <row r="3008">
          <cell r="B3008" t="str">
            <v>Horger,John Russell</v>
          </cell>
          <cell r="C3008">
            <v>35.270000000000003</v>
          </cell>
        </row>
        <row r="3009">
          <cell r="B3009" t="str">
            <v>Murine Jr.,John G</v>
          </cell>
          <cell r="C3009">
            <v>54.87</v>
          </cell>
        </row>
        <row r="3010">
          <cell r="B3010" t="str">
            <v>Wiegman,Elaine L</v>
          </cell>
          <cell r="C3010">
            <v>35.43</v>
          </cell>
        </row>
        <row r="3011">
          <cell r="B3011" t="str">
            <v>Lewis,Herbert L</v>
          </cell>
          <cell r="C3011">
            <v>12.76</v>
          </cell>
        </row>
        <row r="3012">
          <cell r="B3012" t="str">
            <v>Bennink,David D</v>
          </cell>
          <cell r="C3012">
            <v>61.58</v>
          </cell>
        </row>
        <row r="3013">
          <cell r="B3013" t="str">
            <v>Lee,Janina M</v>
          </cell>
          <cell r="C3013">
            <v>30.9</v>
          </cell>
        </row>
        <row r="3014">
          <cell r="B3014" t="str">
            <v>Ellis,Angela M</v>
          </cell>
          <cell r="C3014">
            <v>22.46</v>
          </cell>
        </row>
        <row r="3015">
          <cell r="B3015" t="str">
            <v>Huebner,Kent L</v>
          </cell>
          <cell r="C3015">
            <v>53.52</v>
          </cell>
        </row>
        <row r="3016">
          <cell r="B3016" t="str">
            <v>Mayo,James E</v>
          </cell>
          <cell r="C3016">
            <v>19.5</v>
          </cell>
        </row>
        <row r="3017">
          <cell r="B3017" t="str">
            <v>Dickerson,Brian L</v>
          </cell>
          <cell r="C3017">
            <v>69.64</v>
          </cell>
        </row>
        <row r="3018">
          <cell r="B3018" t="str">
            <v>Kenyon IV,Alfred S</v>
          </cell>
          <cell r="C3018">
            <v>31.29</v>
          </cell>
        </row>
        <row r="3019">
          <cell r="B3019" t="str">
            <v>Miles,Terrence V</v>
          </cell>
          <cell r="C3019">
            <v>31.9</v>
          </cell>
        </row>
        <row r="3020">
          <cell r="B3020" t="str">
            <v>Irizarry,Gabriel D</v>
          </cell>
          <cell r="C3020">
            <v>91.16</v>
          </cell>
        </row>
        <row r="3021">
          <cell r="B3021" t="str">
            <v>Daniels,Quinn W</v>
          </cell>
          <cell r="C3021">
            <v>29.14</v>
          </cell>
        </row>
        <row r="3022">
          <cell r="B3022" t="str">
            <v>Harpe,Kyle M</v>
          </cell>
          <cell r="C3022">
            <v>30.77</v>
          </cell>
        </row>
        <row r="3023">
          <cell r="B3023" t="str">
            <v>Burk,Michelle T</v>
          </cell>
          <cell r="C3023">
            <v>33.630000000000003</v>
          </cell>
        </row>
        <row r="3024">
          <cell r="B3024" t="str">
            <v>Fosco,Danny A</v>
          </cell>
          <cell r="C3024">
            <v>53.29</v>
          </cell>
        </row>
        <row r="3025">
          <cell r="B3025" t="str">
            <v>Martini,Mark S.</v>
          </cell>
          <cell r="C3025">
            <v>62.01</v>
          </cell>
        </row>
        <row r="3026">
          <cell r="B3026" t="str">
            <v>Darlington,Jeffrey T</v>
          </cell>
          <cell r="C3026">
            <v>22.32</v>
          </cell>
        </row>
        <row r="3027">
          <cell r="B3027" t="str">
            <v>Vanpietersom,Robert J.</v>
          </cell>
          <cell r="C3027">
            <v>39.840000000000003</v>
          </cell>
        </row>
        <row r="3028">
          <cell r="B3028" t="str">
            <v>Griffis,William F</v>
          </cell>
          <cell r="C3028">
            <v>39.56</v>
          </cell>
        </row>
        <row r="3029">
          <cell r="B3029" t="str">
            <v>Frieder,Kenneth H</v>
          </cell>
          <cell r="C3029">
            <v>68.44</v>
          </cell>
        </row>
        <row r="3030">
          <cell r="B3030" t="str">
            <v>Ross,Robert J</v>
          </cell>
          <cell r="C3030">
            <v>16.78</v>
          </cell>
        </row>
        <row r="3031">
          <cell r="B3031" t="str">
            <v>Reaves II,Joe L</v>
          </cell>
          <cell r="C3031">
            <v>49.04</v>
          </cell>
        </row>
        <row r="3032">
          <cell r="B3032" t="str">
            <v>Lun,Victor</v>
          </cell>
          <cell r="C3032">
            <v>42.55</v>
          </cell>
        </row>
        <row r="3033">
          <cell r="B3033" t="str">
            <v>Turberville,Debra L</v>
          </cell>
          <cell r="C3033">
            <v>18.89</v>
          </cell>
        </row>
        <row r="3034">
          <cell r="B3034" t="str">
            <v>Centeno Jr.,Manuel</v>
          </cell>
          <cell r="C3034">
            <v>47.53</v>
          </cell>
        </row>
        <row r="3035">
          <cell r="B3035" t="str">
            <v>Harris,Rachel A</v>
          </cell>
          <cell r="C3035">
            <v>39.85</v>
          </cell>
        </row>
        <row r="3036">
          <cell r="B3036" t="str">
            <v>Kelley,Thalia D</v>
          </cell>
          <cell r="C3036">
            <v>24.71</v>
          </cell>
        </row>
        <row r="3037">
          <cell r="B3037" t="str">
            <v>Jones,Dominique C</v>
          </cell>
          <cell r="C3037">
            <v>16.23</v>
          </cell>
        </row>
        <row r="3038">
          <cell r="B3038" t="str">
            <v>White,Bryan E</v>
          </cell>
          <cell r="C3038">
            <v>21.007999999999999</v>
          </cell>
        </row>
        <row r="3039">
          <cell r="B3039" t="str">
            <v>Lee,Jason T.</v>
          </cell>
          <cell r="C3039">
            <v>52.4</v>
          </cell>
        </row>
        <row r="3040">
          <cell r="B3040" t="str">
            <v>Edmondson,Ocie L</v>
          </cell>
          <cell r="C3040">
            <v>16.16</v>
          </cell>
        </row>
        <row r="3041">
          <cell r="B3041" t="str">
            <v>Simpson,Reginald</v>
          </cell>
          <cell r="C3041">
            <v>25.19</v>
          </cell>
        </row>
        <row r="3042">
          <cell r="B3042" t="str">
            <v>Beach,Robert A</v>
          </cell>
          <cell r="C3042">
            <v>29.49</v>
          </cell>
        </row>
        <row r="3043">
          <cell r="B3043" t="str">
            <v>Swann,DeShawn L</v>
          </cell>
          <cell r="C3043">
            <v>36.6</v>
          </cell>
        </row>
        <row r="3044">
          <cell r="B3044" t="str">
            <v>Clark,Tamara Monique</v>
          </cell>
          <cell r="C3044">
            <v>24.82</v>
          </cell>
        </row>
        <row r="3045">
          <cell r="B3045" t="str">
            <v>Gunn,Lyndsey M</v>
          </cell>
          <cell r="C3045">
            <v>39.42</v>
          </cell>
        </row>
        <row r="3046">
          <cell r="B3046" t="str">
            <v>Rosario,Ruben</v>
          </cell>
          <cell r="C3046">
            <v>66.099999999999994</v>
          </cell>
        </row>
        <row r="3047">
          <cell r="B3047" t="str">
            <v>Brust,Stephen R</v>
          </cell>
          <cell r="C3047">
            <v>11.49</v>
          </cell>
        </row>
        <row r="3048">
          <cell r="B3048" t="str">
            <v>Perez,Darlene L</v>
          </cell>
          <cell r="C3048">
            <v>34.42</v>
          </cell>
        </row>
        <row r="3049">
          <cell r="B3049" t="str">
            <v>Henton,Jeffrey D.</v>
          </cell>
          <cell r="C3049">
            <v>64.66</v>
          </cell>
        </row>
        <row r="3050">
          <cell r="B3050" t="str">
            <v>Matthews,William G</v>
          </cell>
          <cell r="C3050">
            <v>21.16</v>
          </cell>
        </row>
        <row r="3051">
          <cell r="B3051" t="str">
            <v>Pabon,John</v>
          </cell>
          <cell r="C3051">
            <v>25.99</v>
          </cell>
        </row>
        <row r="3052">
          <cell r="B3052" t="str">
            <v>Lynn,Michael W</v>
          </cell>
          <cell r="C3052">
            <v>35.479999999999997</v>
          </cell>
        </row>
        <row r="3053">
          <cell r="B3053" t="str">
            <v>Stallings,Gary S</v>
          </cell>
          <cell r="C3053">
            <v>55.09</v>
          </cell>
        </row>
        <row r="3054">
          <cell r="B3054" t="str">
            <v>Vila Delgado,Jaime L</v>
          </cell>
          <cell r="C3054">
            <v>33.880000000000003</v>
          </cell>
        </row>
        <row r="3055">
          <cell r="B3055" t="str">
            <v>Myers,Matthew B</v>
          </cell>
          <cell r="C3055">
            <v>53.08</v>
          </cell>
        </row>
        <row r="3056">
          <cell r="B3056" t="str">
            <v>Cannon,Maria I</v>
          </cell>
          <cell r="C3056">
            <v>22.05</v>
          </cell>
        </row>
        <row r="3057">
          <cell r="B3057" t="str">
            <v>Wade Jr.,Charles J</v>
          </cell>
          <cell r="C3057">
            <v>41.55</v>
          </cell>
        </row>
        <row r="3058">
          <cell r="B3058" t="str">
            <v>Weise-King,Michael J</v>
          </cell>
          <cell r="C3058">
            <v>57.77</v>
          </cell>
        </row>
        <row r="3059">
          <cell r="B3059" t="str">
            <v>Crawford,Kimberly R</v>
          </cell>
          <cell r="C3059">
            <v>40.36</v>
          </cell>
        </row>
        <row r="3060">
          <cell r="B3060" t="str">
            <v>Steiger,Joseph M</v>
          </cell>
          <cell r="C3060">
            <v>32.950000000000003</v>
          </cell>
        </row>
        <row r="3061">
          <cell r="B3061" t="str">
            <v>Cannon,Victor L.</v>
          </cell>
          <cell r="C3061">
            <v>24.86</v>
          </cell>
        </row>
        <row r="3062">
          <cell r="B3062" t="str">
            <v>Perez,Annie R</v>
          </cell>
          <cell r="C3062">
            <v>21.48</v>
          </cell>
        </row>
        <row r="3063">
          <cell r="B3063" t="str">
            <v>Swarup,Sanjay</v>
          </cell>
          <cell r="C3063">
            <v>69.180000000000007</v>
          </cell>
        </row>
        <row r="3064">
          <cell r="B3064" t="str">
            <v>Brown,Gerald E</v>
          </cell>
          <cell r="C3064">
            <v>41.12</v>
          </cell>
        </row>
        <row r="3065">
          <cell r="B3065" t="str">
            <v>Kidd,Robert L</v>
          </cell>
          <cell r="C3065">
            <v>58.05</v>
          </cell>
        </row>
        <row r="3066">
          <cell r="B3066" t="str">
            <v>Plunkett,Thomas L.</v>
          </cell>
          <cell r="C3066">
            <v>30.52</v>
          </cell>
        </row>
        <row r="3067">
          <cell r="B3067" t="str">
            <v>Andrews,Benel N</v>
          </cell>
          <cell r="C3067">
            <v>21</v>
          </cell>
        </row>
        <row r="3068">
          <cell r="B3068" t="str">
            <v>Lively,Vinson W L</v>
          </cell>
          <cell r="C3068">
            <v>74.47</v>
          </cell>
        </row>
        <row r="3069">
          <cell r="B3069" t="str">
            <v>Genack,James M</v>
          </cell>
          <cell r="C3069">
            <v>20.56</v>
          </cell>
        </row>
        <row r="3070">
          <cell r="B3070" t="str">
            <v>Gilliard,Charles</v>
          </cell>
          <cell r="C3070">
            <v>22.96</v>
          </cell>
        </row>
        <row r="3071">
          <cell r="B3071" t="str">
            <v>Reynoso,Mabelle</v>
          </cell>
          <cell r="C3071">
            <v>31.77</v>
          </cell>
        </row>
        <row r="3072">
          <cell r="B3072" t="str">
            <v>Wynn,Dennis M</v>
          </cell>
          <cell r="C3072">
            <v>47.51</v>
          </cell>
        </row>
        <row r="3073">
          <cell r="B3073" t="str">
            <v>Garza Jr.,Steve S</v>
          </cell>
          <cell r="C3073">
            <v>23</v>
          </cell>
        </row>
        <row r="3074">
          <cell r="B3074" t="str">
            <v>Field Jr.,Hermond C</v>
          </cell>
          <cell r="C3074">
            <v>24.5</v>
          </cell>
        </row>
        <row r="3075">
          <cell r="B3075" t="str">
            <v>Sears,Daniel G</v>
          </cell>
          <cell r="C3075">
            <v>104.78</v>
          </cell>
        </row>
        <row r="3076">
          <cell r="B3076" t="str">
            <v>Surprise,Robert J</v>
          </cell>
          <cell r="C3076">
            <v>92.17</v>
          </cell>
        </row>
        <row r="3077">
          <cell r="B3077" t="str">
            <v>McConnell,Vivian</v>
          </cell>
          <cell r="C3077">
            <v>34.299999999999997</v>
          </cell>
        </row>
        <row r="3078">
          <cell r="B3078" t="str">
            <v>Wood,Alexander B</v>
          </cell>
          <cell r="C3078">
            <v>45.6</v>
          </cell>
        </row>
        <row r="3079">
          <cell r="B3079" t="str">
            <v>LeBlanc,Joseph A</v>
          </cell>
          <cell r="C3079">
            <v>40.624099999999999</v>
          </cell>
        </row>
        <row r="3080">
          <cell r="B3080" t="str">
            <v>Vargas,Roberto A</v>
          </cell>
          <cell r="C3080">
            <v>24.23</v>
          </cell>
        </row>
        <row r="3081">
          <cell r="B3081" t="str">
            <v>Turco,Joseph M</v>
          </cell>
          <cell r="C3081">
            <v>45.68</v>
          </cell>
        </row>
        <row r="3082">
          <cell r="B3082" t="str">
            <v>Stone,Edward L</v>
          </cell>
          <cell r="C3082">
            <v>84.34</v>
          </cell>
        </row>
        <row r="3083">
          <cell r="B3083" t="str">
            <v>Pitcher,John S</v>
          </cell>
          <cell r="C3083">
            <v>65.989999999999995</v>
          </cell>
        </row>
        <row r="3084">
          <cell r="B3084" t="str">
            <v>Gentry,John G</v>
          </cell>
          <cell r="C3084">
            <v>44.2</v>
          </cell>
        </row>
        <row r="3085">
          <cell r="B3085" t="str">
            <v>Lane,Derrick</v>
          </cell>
          <cell r="C3085">
            <v>21</v>
          </cell>
        </row>
        <row r="3086">
          <cell r="B3086" t="str">
            <v>Scott,Patrick M</v>
          </cell>
          <cell r="C3086">
            <v>28.28</v>
          </cell>
        </row>
        <row r="3087">
          <cell r="B3087" t="str">
            <v>Maduro Jr.,Reynaldo P</v>
          </cell>
          <cell r="C3087">
            <v>40.03</v>
          </cell>
        </row>
        <row r="3088">
          <cell r="B3088" t="str">
            <v>Holmes,Tobaris M</v>
          </cell>
          <cell r="C3088">
            <v>37.130000000000003</v>
          </cell>
        </row>
        <row r="3089">
          <cell r="B3089" t="str">
            <v>Stabler,Timothy A</v>
          </cell>
          <cell r="C3089">
            <v>39.21</v>
          </cell>
        </row>
        <row r="3090">
          <cell r="B3090" t="str">
            <v>Smith,Christian</v>
          </cell>
          <cell r="C3090">
            <v>48.39</v>
          </cell>
        </row>
        <row r="3091">
          <cell r="B3091" t="str">
            <v>Rogers,Joseph D</v>
          </cell>
          <cell r="C3091">
            <v>33.200000000000003</v>
          </cell>
        </row>
        <row r="3092">
          <cell r="B3092" t="str">
            <v>Lindsey,Cheryl H</v>
          </cell>
          <cell r="C3092">
            <v>59.94</v>
          </cell>
        </row>
        <row r="3093">
          <cell r="B3093" t="str">
            <v>Lenox,Daniel W.</v>
          </cell>
          <cell r="C3093">
            <v>46.15</v>
          </cell>
        </row>
        <row r="3094">
          <cell r="B3094" t="str">
            <v>Lilly,Brett W</v>
          </cell>
          <cell r="C3094">
            <v>24.84</v>
          </cell>
        </row>
        <row r="3095">
          <cell r="B3095" t="str">
            <v>Pena,Roland</v>
          </cell>
          <cell r="C3095">
            <v>47.97</v>
          </cell>
        </row>
        <row r="3096">
          <cell r="B3096" t="str">
            <v>Alcaine,Enrique</v>
          </cell>
          <cell r="C3096">
            <v>25.08</v>
          </cell>
        </row>
        <row r="3097">
          <cell r="B3097" t="str">
            <v>Bellflower IV,John H</v>
          </cell>
          <cell r="C3097">
            <v>39.119999999999997</v>
          </cell>
        </row>
        <row r="3098">
          <cell r="B3098" t="str">
            <v>Burkley II,Warren N</v>
          </cell>
          <cell r="C3098">
            <v>20.86</v>
          </cell>
        </row>
        <row r="3099">
          <cell r="B3099" t="str">
            <v>Knipper,Robin A.</v>
          </cell>
          <cell r="C3099">
            <v>22.05</v>
          </cell>
        </row>
        <row r="3100">
          <cell r="B3100" t="str">
            <v>Thompson,Lance A</v>
          </cell>
          <cell r="C3100">
            <v>22.69</v>
          </cell>
        </row>
        <row r="3101">
          <cell r="B3101" t="str">
            <v>Ibarra,William J</v>
          </cell>
          <cell r="C3101">
            <v>37.24</v>
          </cell>
        </row>
        <row r="3102">
          <cell r="B3102" t="str">
            <v>Roberts Jr.,Richard L</v>
          </cell>
          <cell r="C3102">
            <v>52.86</v>
          </cell>
        </row>
        <row r="3103">
          <cell r="B3103" t="str">
            <v>Planes,Taneisha O</v>
          </cell>
          <cell r="C3103">
            <v>43.83</v>
          </cell>
        </row>
        <row r="3104">
          <cell r="B3104" t="str">
            <v>Fox,Diana R.</v>
          </cell>
          <cell r="C3104">
            <v>73.56</v>
          </cell>
        </row>
        <row r="3105">
          <cell r="B3105" t="str">
            <v>Jones,Christopher T</v>
          </cell>
          <cell r="C3105">
            <v>62.43</v>
          </cell>
        </row>
        <row r="3106">
          <cell r="B3106" t="str">
            <v>Parker,Michael E.</v>
          </cell>
          <cell r="C3106">
            <v>59.67</v>
          </cell>
        </row>
        <row r="3107">
          <cell r="B3107" t="str">
            <v>Nguyen,Kimcuong T</v>
          </cell>
          <cell r="C3107">
            <v>29.08</v>
          </cell>
        </row>
        <row r="3108">
          <cell r="B3108" t="str">
            <v>Hudson,Kenneth F</v>
          </cell>
          <cell r="C3108">
            <v>43.47</v>
          </cell>
        </row>
        <row r="3109">
          <cell r="B3109" t="str">
            <v>Amoako,Adwoa A</v>
          </cell>
          <cell r="C3109">
            <v>30.655200000000001</v>
          </cell>
        </row>
        <row r="3110">
          <cell r="B3110" t="str">
            <v>Vozzola,Robert P</v>
          </cell>
          <cell r="C3110">
            <v>57.26</v>
          </cell>
        </row>
        <row r="3111">
          <cell r="B3111" t="str">
            <v>Hribar,Mark A</v>
          </cell>
          <cell r="C3111">
            <v>21.13</v>
          </cell>
        </row>
        <row r="3112">
          <cell r="B3112" t="str">
            <v>Matsuda,Dustin</v>
          </cell>
          <cell r="C3112">
            <v>16.78</v>
          </cell>
        </row>
        <row r="3113">
          <cell r="B3113" t="str">
            <v>Jimenez,Roderick M</v>
          </cell>
          <cell r="C3113">
            <v>21.36</v>
          </cell>
        </row>
        <row r="3114">
          <cell r="B3114" t="str">
            <v>Keeter,Harold A</v>
          </cell>
          <cell r="C3114">
            <v>22.5</v>
          </cell>
        </row>
        <row r="3115">
          <cell r="B3115" t="str">
            <v>Chernes,Joffre F</v>
          </cell>
          <cell r="C3115">
            <v>32.25</v>
          </cell>
        </row>
        <row r="3116">
          <cell r="B3116" t="str">
            <v>Marsh,Angela R</v>
          </cell>
          <cell r="C3116">
            <v>38.47</v>
          </cell>
        </row>
        <row r="3117">
          <cell r="B3117" t="str">
            <v>Naticchioni,Janice</v>
          </cell>
          <cell r="C3117">
            <v>35.46</v>
          </cell>
        </row>
        <row r="3118">
          <cell r="B3118" t="str">
            <v>Bossert,Brooks M</v>
          </cell>
          <cell r="C3118">
            <v>40.07</v>
          </cell>
        </row>
        <row r="3119">
          <cell r="B3119" t="str">
            <v>Tate,Gray</v>
          </cell>
          <cell r="C3119">
            <v>55.54</v>
          </cell>
        </row>
        <row r="3120">
          <cell r="B3120" t="str">
            <v>Carter,Charles M</v>
          </cell>
          <cell r="C3120">
            <v>19.27</v>
          </cell>
        </row>
        <row r="3121">
          <cell r="B3121" t="str">
            <v>Sajous,Raynald J</v>
          </cell>
          <cell r="C3121">
            <v>36.15</v>
          </cell>
        </row>
        <row r="3122">
          <cell r="B3122" t="str">
            <v>Anderson,Leroy</v>
          </cell>
          <cell r="C3122">
            <v>25.5</v>
          </cell>
        </row>
        <row r="3123">
          <cell r="B3123" t="str">
            <v>Patterson Sr.,Jermaine T</v>
          </cell>
          <cell r="C3123">
            <v>22.02</v>
          </cell>
        </row>
        <row r="3124">
          <cell r="B3124" t="str">
            <v>Reynolds,Roy S</v>
          </cell>
          <cell r="C3124">
            <v>48.97</v>
          </cell>
        </row>
        <row r="3125">
          <cell r="B3125" t="str">
            <v>Wygal,Karen R.</v>
          </cell>
          <cell r="C3125">
            <v>13.87</v>
          </cell>
        </row>
        <row r="3126">
          <cell r="B3126" t="str">
            <v>Jubeck,Tracey M</v>
          </cell>
          <cell r="C3126">
            <v>65.31</v>
          </cell>
        </row>
        <row r="3127">
          <cell r="B3127" t="str">
            <v>Martin III,Ronald K</v>
          </cell>
          <cell r="C3127">
            <v>25.79</v>
          </cell>
        </row>
        <row r="3128">
          <cell r="B3128" t="str">
            <v>Hallex,Anson</v>
          </cell>
          <cell r="C3128">
            <v>17</v>
          </cell>
        </row>
        <row r="3129">
          <cell r="B3129" t="str">
            <v>Simms,Sophia C</v>
          </cell>
          <cell r="C3129">
            <v>43.88</v>
          </cell>
        </row>
        <row r="3130">
          <cell r="B3130" t="str">
            <v>Thompson,Kenny L</v>
          </cell>
          <cell r="C3130">
            <v>40.81</v>
          </cell>
        </row>
        <row r="3131">
          <cell r="B3131" t="str">
            <v>Guthrie,Sandra J</v>
          </cell>
          <cell r="C3131">
            <v>30.37</v>
          </cell>
        </row>
        <row r="3132">
          <cell r="B3132" t="str">
            <v>Reyes,Rebecca</v>
          </cell>
          <cell r="C3132">
            <v>39.53</v>
          </cell>
        </row>
        <row r="3133">
          <cell r="B3133" t="str">
            <v>Hill,Mark A</v>
          </cell>
          <cell r="C3133">
            <v>22.13</v>
          </cell>
        </row>
        <row r="3134">
          <cell r="B3134" t="str">
            <v>Maurer,Joel W.</v>
          </cell>
          <cell r="C3134">
            <v>60.79</v>
          </cell>
        </row>
        <row r="3135">
          <cell r="B3135" t="str">
            <v>Raupp,Joel D.</v>
          </cell>
          <cell r="C3135">
            <v>41.66</v>
          </cell>
        </row>
        <row r="3136">
          <cell r="B3136" t="str">
            <v>Vega,Ronda L</v>
          </cell>
          <cell r="C3136">
            <v>15.98</v>
          </cell>
        </row>
        <row r="3137">
          <cell r="B3137" t="str">
            <v>Forrest,Thaddeaus Lee</v>
          </cell>
          <cell r="C3137">
            <v>29.22</v>
          </cell>
        </row>
        <row r="3138">
          <cell r="B3138" t="str">
            <v>Cochran,Reginald D</v>
          </cell>
          <cell r="C3138">
            <v>18.97</v>
          </cell>
        </row>
        <row r="3139">
          <cell r="B3139" t="str">
            <v>Baker,Victoria L</v>
          </cell>
          <cell r="C3139">
            <v>62.33</v>
          </cell>
        </row>
        <row r="3140">
          <cell r="B3140" t="str">
            <v>Kilty,Karen M</v>
          </cell>
          <cell r="C3140">
            <v>20.54</v>
          </cell>
        </row>
        <row r="3141">
          <cell r="B3141" t="str">
            <v>Duval,Helen K</v>
          </cell>
          <cell r="C3141">
            <v>51.91</v>
          </cell>
        </row>
        <row r="3142">
          <cell r="B3142" t="str">
            <v>Hoffmann,Robert A.</v>
          </cell>
          <cell r="C3142">
            <v>100.57</v>
          </cell>
        </row>
        <row r="3143">
          <cell r="B3143" t="str">
            <v>De Silva,Nalin D</v>
          </cell>
          <cell r="C3143">
            <v>45.06</v>
          </cell>
        </row>
        <row r="3144">
          <cell r="B3144" t="str">
            <v>Atlas,Edwin L</v>
          </cell>
          <cell r="C3144">
            <v>51.61</v>
          </cell>
        </row>
        <row r="3145">
          <cell r="B3145" t="str">
            <v>Young,Sarah E</v>
          </cell>
          <cell r="C3145">
            <v>22.14</v>
          </cell>
        </row>
        <row r="3146">
          <cell r="B3146" t="str">
            <v>Tadlock,Marc J</v>
          </cell>
          <cell r="C3146">
            <v>22.65</v>
          </cell>
        </row>
        <row r="3147">
          <cell r="B3147" t="str">
            <v>Ruggiero,Lisa C</v>
          </cell>
          <cell r="C3147">
            <v>35.01</v>
          </cell>
        </row>
        <row r="3148">
          <cell r="B3148" t="str">
            <v>Wadsworth,Martha J</v>
          </cell>
          <cell r="C3148">
            <v>37.83</v>
          </cell>
        </row>
        <row r="3149">
          <cell r="B3149" t="str">
            <v>Love,Darren C</v>
          </cell>
          <cell r="C3149">
            <v>38.630000000000003</v>
          </cell>
        </row>
        <row r="3150">
          <cell r="B3150" t="str">
            <v>Karl,James F</v>
          </cell>
          <cell r="C3150">
            <v>32.4</v>
          </cell>
        </row>
        <row r="3151">
          <cell r="B3151" t="str">
            <v>Western,Timothy C</v>
          </cell>
          <cell r="C3151">
            <v>19.41</v>
          </cell>
        </row>
        <row r="3152">
          <cell r="B3152" t="str">
            <v>Farquhar,Jessica A</v>
          </cell>
          <cell r="C3152">
            <v>28.46</v>
          </cell>
        </row>
        <row r="3153">
          <cell r="B3153" t="str">
            <v>Simionato,Kathryn W</v>
          </cell>
          <cell r="C3153">
            <v>68.95</v>
          </cell>
        </row>
        <row r="3154">
          <cell r="B3154" t="str">
            <v>Toth,Joseph</v>
          </cell>
          <cell r="C3154">
            <v>86.24</v>
          </cell>
        </row>
        <row r="3155">
          <cell r="B3155" t="str">
            <v>Presley,Nancy</v>
          </cell>
          <cell r="C3155">
            <v>41.33</v>
          </cell>
        </row>
        <row r="3156">
          <cell r="B3156" t="str">
            <v>Babuchiwski,Dorothy T</v>
          </cell>
          <cell r="C3156">
            <v>16.29</v>
          </cell>
        </row>
        <row r="3157">
          <cell r="B3157" t="str">
            <v>Spillane Jr.,Paul D</v>
          </cell>
          <cell r="C3157">
            <v>28.18</v>
          </cell>
        </row>
        <row r="3158">
          <cell r="B3158" t="str">
            <v>Branstetter,Danny J</v>
          </cell>
          <cell r="C3158">
            <v>30.59</v>
          </cell>
        </row>
        <row r="3159">
          <cell r="B3159" t="str">
            <v>Coppock,Matthew R</v>
          </cell>
          <cell r="C3159">
            <v>24.72</v>
          </cell>
        </row>
        <row r="3160">
          <cell r="B3160" t="str">
            <v>Shaw,Joseph A</v>
          </cell>
          <cell r="C3160">
            <v>16.489999999999998</v>
          </cell>
        </row>
        <row r="3161">
          <cell r="B3161" t="str">
            <v>Savage,David R</v>
          </cell>
          <cell r="C3161">
            <v>54.51</v>
          </cell>
        </row>
        <row r="3162">
          <cell r="B3162" t="str">
            <v>McKinley,Michael D</v>
          </cell>
          <cell r="C3162">
            <v>51.65</v>
          </cell>
        </row>
        <row r="3163">
          <cell r="B3163" t="str">
            <v>Ratcliffe,Vanetta M</v>
          </cell>
          <cell r="C3163">
            <v>48.54</v>
          </cell>
        </row>
        <row r="3164">
          <cell r="B3164" t="str">
            <v>Yearwood,Trena L</v>
          </cell>
          <cell r="C3164">
            <v>25.9</v>
          </cell>
        </row>
        <row r="3165">
          <cell r="B3165" t="str">
            <v>Strunk,Marcy G</v>
          </cell>
          <cell r="C3165">
            <v>28.79</v>
          </cell>
        </row>
        <row r="3166">
          <cell r="B3166" t="str">
            <v>Pollard,Wallace T</v>
          </cell>
          <cell r="C3166">
            <v>19.47</v>
          </cell>
        </row>
        <row r="3167">
          <cell r="B3167" t="str">
            <v>Marquette,Melissa F</v>
          </cell>
          <cell r="C3167">
            <v>84.14</v>
          </cell>
        </row>
        <row r="3168">
          <cell r="B3168" t="str">
            <v>Miller,Chris D.</v>
          </cell>
          <cell r="C3168">
            <v>23.5</v>
          </cell>
        </row>
        <row r="3169">
          <cell r="B3169" t="str">
            <v>Bergstrom,Marilyn J</v>
          </cell>
          <cell r="C3169">
            <v>27.88</v>
          </cell>
        </row>
        <row r="3170">
          <cell r="B3170" t="str">
            <v>Mills-Robertson,Ewurabena A</v>
          </cell>
          <cell r="C3170">
            <v>28.86</v>
          </cell>
        </row>
        <row r="3171">
          <cell r="B3171" t="str">
            <v>Mercado,Frederica W</v>
          </cell>
          <cell r="C3171">
            <v>37.1</v>
          </cell>
        </row>
        <row r="3172">
          <cell r="B3172" t="str">
            <v>Moreno,Juan A</v>
          </cell>
          <cell r="C3172">
            <v>25.1</v>
          </cell>
        </row>
        <row r="3173">
          <cell r="B3173" t="str">
            <v>Mays,George W.</v>
          </cell>
          <cell r="C3173">
            <v>12.41</v>
          </cell>
        </row>
        <row r="3174">
          <cell r="B3174" t="str">
            <v>Presnetsov,Igor</v>
          </cell>
          <cell r="C3174">
            <v>51.13</v>
          </cell>
        </row>
        <row r="3175">
          <cell r="B3175" t="str">
            <v>Harris-Warren,Kent S</v>
          </cell>
          <cell r="C3175">
            <v>42.85</v>
          </cell>
        </row>
        <row r="3176">
          <cell r="B3176" t="str">
            <v>Raley,Gloria J</v>
          </cell>
          <cell r="C3176">
            <v>30.05</v>
          </cell>
        </row>
        <row r="3177">
          <cell r="B3177" t="str">
            <v>Tran,Truc N</v>
          </cell>
          <cell r="C3177">
            <v>27.9</v>
          </cell>
        </row>
        <row r="3178">
          <cell r="B3178" t="str">
            <v>Diaz,Angel L.</v>
          </cell>
          <cell r="C3178">
            <v>65.510000000000005</v>
          </cell>
        </row>
        <row r="3179">
          <cell r="B3179" t="str">
            <v>Kelly II,Donald L</v>
          </cell>
          <cell r="C3179">
            <v>27.57</v>
          </cell>
        </row>
        <row r="3180">
          <cell r="B3180" t="str">
            <v>Ceballos Jr.,Lorenzo J</v>
          </cell>
          <cell r="C3180">
            <v>43.5</v>
          </cell>
        </row>
        <row r="3181">
          <cell r="B3181" t="str">
            <v>Savic,Boris</v>
          </cell>
          <cell r="C3181">
            <v>32.479999999999997</v>
          </cell>
        </row>
        <row r="3182">
          <cell r="B3182" t="str">
            <v>Mook,Craig</v>
          </cell>
          <cell r="C3182">
            <v>50.97</v>
          </cell>
        </row>
        <row r="3183">
          <cell r="B3183" t="str">
            <v>Amatucci,John A</v>
          </cell>
          <cell r="C3183">
            <v>17.34</v>
          </cell>
        </row>
        <row r="3184">
          <cell r="B3184" t="str">
            <v>Parker,Christian A</v>
          </cell>
          <cell r="C3184">
            <v>21.02</v>
          </cell>
        </row>
        <row r="3185">
          <cell r="B3185" t="str">
            <v>Castaneda Jr.,Jessie L</v>
          </cell>
          <cell r="C3185">
            <v>54.84</v>
          </cell>
        </row>
        <row r="3186">
          <cell r="B3186" t="str">
            <v>Gillaird,Gregory B</v>
          </cell>
          <cell r="C3186">
            <v>61.78</v>
          </cell>
        </row>
        <row r="3187">
          <cell r="B3187" t="str">
            <v>Lopez-McMoore,Lourdes</v>
          </cell>
          <cell r="C3187">
            <v>35.18</v>
          </cell>
        </row>
        <row r="3188">
          <cell r="B3188" t="str">
            <v>Baron,Paul K</v>
          </cell>
          <cell r="C3188">
            <v>52.92</v>
          </cell>
        </row>
        <row r="3189">
          <cell r="B3189" t="str">
            <v>Reyes,Cecilia M L</v>
          </cell>
          <cell r="C3189">
            <v>20.81</v>
          </cell>
        </row>
        <row r="3190">
          <cell r="B3190" t="str">
            <v>Wolfe,Rebecca B</v>
          </cell>
          <cell r="C3190">
            <v>38.450000000000003</v>
          </cell>
        </row>
        <row r="3191">
          <cell r="B3191" t="str">
            <v>Duperon Jr.,Roberto</v>
          </cell>
          <cell r="C3191">
            <v>20.98</v>
          </cell>
        </row>
        <row r="3192">
          <cell r="B3192" t="str">
            <v>Phillips,Joseph G</v>
          </cell>
          <cell r="C3192">
            <v>35.94</v>
          </cell>
        </row>
        <row r="3193">
          <cell r="B3193" t="str">
            <v>Branham,Linda K</v>
          </cell>
          <cell r="C3193">
            <v>21.7</v>
          </cell>
        </row>
        <row r="3194">
          <cell r="B3194" t="str">
            <v>Font,Felipe N.</v>
          </cell>
          <cell r="C3194">
            <v>33.28</v>
          </cell>
        </row>
        <row r="3195">
          <cell r="B3195" t="str">
            <v>Reno,Charles E</v>
          </cell>
          <cell r="C3195">
            <v>33.33</v>
          </cell>
        </row>
        <row r="3196">
          <cell r="B3196" t="str">
            <v>Gilchrist,Jonathan W</v>
          </cell>
          <cell r="C3196">
            <v>22.14</v>
          </cell>
        </row>
        <row r="3197">
          <cell r="B3197" t="str">
            <v>Mackenn,Christine E.</v>
          </cell>
          <cell r="C3197">
            <v>52</v>
          </cell>
        </row>
        <row r="3198">
          <cell r="B3198" t="str">
            <v>Grasis,Andra S</v>
          </cell>
          <cell r="C3198">
            <v>78.319999999999993</v>
          </cell>
        </row>
        <row r="3199">
          <cell r="B3199" t="str">
            <v>Whittenberg,Carolyn M</v>
          </cell>
          <cell r="C3199">
            <v>32.408099999999997</v>
          </cell>
        </row>
        <row r="3200">
          <cell r="B3200" t="str">
            <v>French,Donna M</v>
          </cell>
          <cell r="C3200">
            <v>33.4</v>
          </cell>
        </row>
        <row r="3201">
          <cell r="B3201" t="str">
            <v>Foyt,Brian S.</v>
          </cell>
          <cell r="C3201">
            <v>33.340000000000003</v>
          </cell>
        </row>
        <row r="3202">
          <cell r="B3202" t="str">
            <v>Stallings,Michael S</v>
          </cell>
          <cell r="C3202">
            <v>16.329999999999998</v>
          </cell>
        </row>
        <row r="3203">
          <cell r="B3203" t="str">
            <v>Koester,Matthew W</v>
          </cell>
          <cell r="C3203">
            <v>22.07</v>
          </cell>
        </row>
        <row r="3204">
          <cell r="B3204" t="str">
            <v>Kmet,Thomas C</v>
          </cell>
          <cell r="C3204">
            <v>21.22</v>
          </cell>
        </row>
        <row r="3205">
          <cell r="B3205" t="str">
            <v>Filipovich,Joseph A</v>
          </cell>
          <cell r="C3205">
            <v>46.47</v>
          </cell>
        </row>
        <row r="3206">
          <cell r="B3206" t="str">
            <v>Romano,Sarah D</v>
          </cell>
          <cell r="C3206">
            <v>30.48</v>
          </cell>
        </row>
        <row r="3207">
          <cell r="B3207" t="str">
            <v>Ryan,Michael Y</v>
          </cell>
          <cell r="C3207">
            <v>63.66</v>
          </cell>
        </row>
        <row r="3208">
          <cell r="B3208" t="str">
            <v>Fernandez,Laila Rose M</v>
          </cell>
          <cell r="C3208">
            <v>15.49</v>
          </cell>
        </row>
        <row r="3209">
          <cell r="B3209" t="str">
            <v>Albino,Cecil S</v>
          </cell>
          <cell r="C3209">
            <v>23.58</v>
          </cell>
        </row>
        <row r="3210">
          <cell r="B3210" t="str">
            <v>Witte,Sean R</v>
          </cell>
          <cell r="C3210">
            <v>58.06</v>
          </cell>
        </row>
        <row r="3211">
          <cell r="B3211" t="str">
            <v>White,Shannon R.</v>
          </cell>
          <cell r="C3211">
            <v>19.170000000000002</v>
          </cell>
        </row>
        <row r="3212">
          <cell r="B3212" t="str">
            <v>Butler,Willie C.</v>
          </cell>
          <cell r="C3212">
            <v>33.700000000000003</v>
          </cell>
        </row>
        <row r="3213">
          <cell r="B3213" t="str">
            <v>Foster,Benjamin P</v>
          </cell>
          <cell r="C3213">
            <v>30.74</v>
          </cell>
        </row>
        <row r="3214">
          <cell r="B3214" t="str">
            <v>Bochman,Kevin M</v>
          </cell>
          <cell r="C3214">
            <v>15</v>
          </cell>
        </row>
        <row r="3215">
          <cell r="B3215" t="str">
            <v>Shriver,Daniel E</v>
          </cell>
          <cell r="C3215">
            <v>24.02</v>
          </cell>
        </row>
        <row r="3216">
          <cell r="B3216" t="str">
            <v>Waters,Isaac G.</v>
          </cell>
          <cell r="C3216">
            <v>39.42</v>
          </cell>
        </row>
        <row r="3217">
          <cell r="B3217" t="str">
            <v>Firman,Craig L</v>
          </cell>
          <cell r="C3217">
            <v>37.860500000000002</v>
          </cell>
        </row>
        <row r="3218">
          <cell r="B3218" t="str">
            <v>Rivera,Edwin J</v>
          </cell>
          <cell r="C3218">
            <v>36.96</v>
          </cell>
        </row>
        <row r="3219">
          <cell r="B3219" t="str">
            <v>Meadows,Raymond B</v>
          </cell>
          <cell r="C3219">
            <v>20.91</v>
          </cell>
        </row>
        <row r="3220">
          <cell r="B3220" t="str">
            <v>Carlberg,Devin T</v>
          </cell>
          <cell r="C3220">
            <v>54.82</v>
          </cell>
        </row>
        <row r="3221">
          <cell r="B3221" t="str">
            <v>Valencia,Randy J</v>
          </cell>
          <cell r="C3221">
            <v>36.630000000000003</v>
          </cell>
        </row>
        <row r="3222">
          <cell r="B3222" t="str">
            <v>Cho,Randy M.</v>
          </cell>
          <cell r="C3222">
            <v>38.43</v>
          </cell>
        </row>
        <row r="3223">
          <cell r="B3223" t="str">
            <v>Hopkins,Raymond L</v>
          </cell>
          <cell r="C3223">
            <v>33.979999999999997</v>
          </cell>
        </row>
        <row r="3224">
          <cell r="B3224" t="str">
            <v>Ashby,Gwendolyn A</v>
          </cell>
          <cell r="C3224">
            <v>51.5</v>
          </cell>
        </row>
        <row r="3225">
          <cell r="B3225" t="str">
            <v>Roberts,Phillip C</v>
          </cell>
          <cell r="C3225">
            <v>53.85</v>
          </cell>
        </row>
        <row r="3226">
          <cell r="B3226" t="str">
            <v>Roberts,La-June P</v>
          </cell>
          <cell r="C3226">
            <v>30.58</v>
          </cell>
        </row>
        <row r="3227">
          <cell r="B3227" t="str">
            <v>Wilson Jr.,Barford S</v>
          </cell>
          <cell r="C3227">
            <v>17.850000000000001</v>
          </cell>
        </row>
        <row r="3228">
          <cell r="B3228" t="str">
            <v>Wieczorek,Laura</v>
          </cell>
          <cell r="C3228">
            <v>48.06</v>
          </cell>
        </row>
        <row r="3229">
          <cell r="B3229" t="str">
            <v>Johnson,Artishia Y</v>
          </cell>
          <cell r="C3229">
            <v>31.65</v>
          </cell>
        </row>
        <row r="3230">
          <cell r="B3230" t="str">
            <v>Guido,Kevin L</v>
          </cell>
          <cell r="C3230">
            <v>41.11</v>
          </cell>
        </row>
        <row r="3231">
          <cell r="B3231" t="str">
            <v>Darone,Karren M</v>
          </cell>
          <cell r="C3231">
            <v>64.53</v>
          </cell>
        </row>
        <row r="3232">
          <cell r="B3232" t="str">
            <v>Turner,Catherine S</v>
          </cell>
          <cell r="C3232">
            <v>36.25</v>
          </cell>
        </row>
        <row r="3233">
          <cell r="B3233" t="str">
            <v>Jones,Mathew O</v>
          </cell>
          <cell r="C3233">
            <v>27</v>
          </cell>
        </row>
        <row r="3234">
          <cell r="B3234" t="str">
            <v>Khoury,Shane E</v>
          </cell>
          <cell r="C3234">
            <v>30.94</v>
          </cell>
        </row>
        <row r="3235">
          <cell r="B3235" t="str">
            <v>Rimbert,Ron G</v>
          </cell>
          <cell r="C3235">
            <v>48</v>
          </cell>
        </row>
        <row r="3236">
          <cell r="B3236" t="str">
            <v>Kroeger,Eugenia</v>
          </cell>
          <cell r="C3236">
            <v>21.04</v>
          </cell>
        </row>
        <row r="3237">
          <cell r="B3237" t="str">
            <v>Grauer,David J</v>
          </cell>
          <cell r="C3237">
            <v>43.44</v>
          </cell>
        </row>
        <row r="3238">
          <cell r="B3238" t="str">
            <v>Kollhopp,James J</v>
          </cell>
          <cell r="C3238">
            <v>45.53</v>
          </cell>
        </row>
        <row r="3239">
          <cell r="B3239" t="str">
            <v>Stroud,Wanda R</v>
          </cell>
          <cell r="C3239">
            <v>23.81</v>
          </cell>
        </row>
        <row r="3240">
          <cell r="B3240" t="str">
            <v>Waggoner Jr,James E.</v>
          </cell>
          <cell r="C3240">
            <v>48.25</v>
          </cell>
        </row>
        <row r="3241">
          <cell r="B3241" t="str">
            <v>Sheekey,Arthur</v>
          </cell>
          <cell r="C3241">
            <v>56.3</v>
          </cell>
        </row>
        <row r="3242">
          <cell r="B3242" t="str">
            <v>Aldea,Amanda D</v>
          </cell>
          <cell r="C3242">
            <v>46.48</v>
          </cell>
        </row>
        <row r="3243">
          <cell r="B3243" t="str">
            <v>Peterson,Joan D</v>
          </cell>
          <cell r="C3243">
            <v>47.56</v>
          </cell>
        </row>
        <row r="3244">
          <cell r="B3244" t="str">
            <v>Dadant,Carolyn</v>
          </cell>
          <cell r="C3244">
            <v>40.770000000000003</v>
          </cell>
        </row>
        <row r="3245">
          <cell r="B3245" t="str">
            <v>Cague,Timothy M</v>
          </cell>
          <cell r="C3245">
            <v>62.6</v>
          </cell>
        </row>
        <row r="3246">
          <cell r="B3246" t="str">
            <v>Kubal,James L.</v>
          </cell>
          <cell r="C3246">
            <v>51.44</v>
          </cell>
        </row>
        <row r="3247">
          <cell r="B3247" t="str">
            <v>MacEwen,Howard A</v>
          </cell>
          <cell r="C3247">
            <v>82.796999999999997</v>
          </cell>
        </row>
        <row r="3248">
          <cell r="B3248" t="str">
            <v>Ohagen,John D</v>
          </cell>
          <cell r="C3248">
            <v>17.78</v>
          </cell>
        </row>
        <row r="3249">
          <cell r="B3249" t="str">
            <v>Dulaney,Michael D</v>
          </cell>
          <cell r="C3249">
            <v>67.510000000000005</v>
          </cell>
        </row>
        <row r="3250">
          <cell r="B3250" t="str">
            <v>Singh,Sonia J.</v>
          </cell>
          <cell r="C3250">
            <v>31.25</v>
          </cell>
        </row>
        <row r="3251">
          <cell r="B3251" t="str">
            <v>Huie,Brian W</v>
          </cell>
          <cell r="C3251">
            <v>40.85</v>
          </cell>
        </row>
        <row r="3252">
          <cell r="B3252" t="str">
            <v>Ballard,Kyle Eric</v>
          </cell>
          <cell r="C3252">
            <v>37.42</v>
          </cell>
        </row>
        <row r="3253">
          <cell r="B3253" t="str">
            <v>Saunders,Allen M.</v>
          </cell>
          <cell r="C3253">
            <v>75.010000000000005</v>
          </cell>
        </row>
        <row r="3254">
          <cell r="B3254" t="str">
            <v>Wilson Jr.,Willie</v>
          </cell>
          <cell r="C3254">
            <v>32.83</v>
          </cell>
        </row>
        <row r="3255">
          <cell r="B3255" t="str">
            <v>McClure,Chris E</v>
          </cell>
          <cell r="C3255">
            <v>38.369999999999997</v>
          </cell>
        </row>
        <row r="3256">
          <cell r="B3256" t="str">
            <v>Powell,Elizabeth A</v>
          </cell>
          <cell r="C3256">
            <v>43.47</v>
          </cell>
        </row>
        <row r="3257">
          <cell r="B3257" t="str">
            <v>Lewis,Ann M.</v>
          </cell>
          <cell r="C3257">
            <v>53.04</v>
          </cell>
        </row>
        <row r="3258">
          <cell r="B3258" t="str">
            <v>Ballard,Brian H</v>
          </cell>
          <cell r="C3258">
            <v>36.64</v>
          </cell>
        </row>
        <row r="3259">
          <cell r="B3259" t="str">
            <v>Sanders,David A</v>
          </cell>
          <cell r="C3259">
            <v>74.55</v>
          </cell>
        </row>
        <row r="3260">
          <cell r="B3260" t="str">
            <v>Patrick,James W</v>
          </cell>
          <cell r="C3260">
            <v>45.61</v>
          </cell>
        </row>
        <row r="3261">
          <cell r="B3261" t="str">
            <v>Penn,Nathaniel C.</v>
          </cell>
          <cell r="C3261">
            <v>50.98</v>
          </cell>
        </row>
        <row r="3262">
          <cell r="B3262" t="str">
            <v>George,Joette R</v>
          </cell>
          <cell r="C3262">
            <v>23.78</v>
          </cell>
        </row>
        <row r="3263">
          <cell r="B3263" t="str">
            <v>Gilbert III,Warren W</v>
          </cell>
          <cell r="C3263">
            <v>19.3</v>
          </cell>
        </row>
        <row r="3264">
          <cell r="B3264" t="str">
            <v>Guthrie,Charles T</v>
          </cell>
          <cell r="C3264">
            <v>55.27</v>
          </cell>
        </row>
        <row r="3265">
          <cell r="B3265" t="str">
            <v>Farmer,Gregory D</v>
          </cell>
          <cell r="C3265">
            <v>54.47</v>
          </cell>
        </row>
        <row r="3266">
          <cell r="B3266" t="str">
            <v>Tipton-Hall,Kathleen R</v>
          </cell>
          <cell r="C3266">
            <v>21.9</v>
          </cell>
        </row>
        <row r="3267">
          <cell r="B3267" t="str">
            <v>Hall Jr.,John F</v>
          </cell>
          <cell r="C3267">
            <v>46.33</v>
          </cell>
        </row>
        <row r="3268">
          <cell r="B3268" t="str">
            <v>Bennett,Donald R</v>
          </cell>
          <cell r="C3268">
            <v>59.94</v>
          </cell>
        </row>
        <row r="3269">
          <cell r="B3269" t="str">
            <v>Hackney,Mattie M.</v>
          </cell>
          <cell r="C3269">
            <v>16.8</v>
          </cell>
        </row>
        <row r="3270">
          <cell r="B3270" t="str">
            <v>Valliant,Stephanie N</v>
          </cell>
          <cell r="C3270">
            <v>25.95</v>
          </cell>
        </row>
        <row r="3271">
          <cell r="B3271" t="str">
            <v>Miner,Teresa E</v>
          </cell>
          <cell r="C3271">
            <v>26.01</v>
          </cell>
        </row>
        <row r="3272">
          <cell r="B3272" t="str">
            <v>Fields,Douglas S</v>
          </cell>
          <cell r="C3272">
            <v>46.25</v>
          </cell>
        </row>
        <row r="3273">
          <cell r="B3273" t="str">
            <v>Kreutzer,Gary E.</v>
          </cell>
          <cell r="C3273">
            <v>75.819999999999993</v>
          </cell>
        </row>
        <row r="3274">
          <cell r="B3274" t="str">
            <v>Gregory,Marshall L</v>
          </cell>
          <cell r="C3274">
            <v>56.01</v>
          </cell>
        </row>
        <row r="3275">
          <cell r="B3275" t="str">
            <v>Hoffman,Kevin J</v>
          </cell>
          <cell r="C3275">
            <v>26.79</v>
          </cell>
        </row>
        <row r="3276">
          <cell r="B3276" t="str">
            <v>Scholz,David P.</v>
          </cell>
          <cell r="C3276">
            <v>30.29</v>
          </cell>
        </row>
        <row r="3277">
          <cell r="B3277" t="str">
            <v>Patrick,Laura S.</v>
          </cell>
          <cell r="C3277">
            <v>53.85</v>
          </cell>
        </row>
        <row r="3278">
          <cell r="B3278" t="str">
            <v>Dunn,LyndaDynese</v>
          </cell>
          <cell r="C3278">
            <v>49.39</v>
          </cell>
        </row>
        <row r="3279">
          <cell r="B3279" t="str">
            <v>Conklin,Andrew L</v>
          </cell>
          <cell r="C3279">
            <v>67</v>
          </cell>
        </row>
        <row r="3280">
          <cell r="B3280" t="str">
            <v>Bear,Daniel W.</v>
          </cell>
          <cell r="C3280">
            <v>29</v>
          </cell>
        </row>
        <row r="3281">
          <cell r="B3281" t="str">
            <v>Brown,Randall E</v>
          </cell>
          <cell r="C3281">
            <v>47.956699999999998</v>
          </cell>
        </row>
        <row r="3282">
          <cell r="B3282" t="str">
            <v>Hall,David C</v>
          </cell>
          <cell r="C3282">
            <v>65.75</v>
          </cell>
        </row>
        <row r="3283">
          <cell r="B3283" t="str">
            <v>Smith,Christopher J</v>
          </cell>
          <cell r="C3283">
            <v>30.96</v>
          </cell>
        </row>
        <row r="3284">
          <cell r="B3284" t="str">
            <v>Bobba,Bharat A.</v>
          </cell>
          <cell r="C3284">
            <v>66.39</v>
          </cell>
        </row>
        <row r="3285">
          <cell r="B3285" t="str">
            <v>Opp,Amy N</v>
          </cell>
          <cell r="C3285">
            <v>13.58</v>
          </cell>
        </row>
        <row r="3286">
          <cell r="B3286" t="str">
            <v>Nelson,Steven D</v>
          </cell>
          <cell r="C3286">
            <v>29.51</v>
          </cell>
        </row>
        <row r="3287">
          <cell r="B3287" t="str">
            <v>Dougherty,Michael E</v>
          </cell>
          <cell r="C3287">
            <v>67.790000000000006</v>
          </cell>
        </row>
        <row r="3288">
          <cell r="B3288" t="str">
            <v>Grinstead,Drew A</v>
          </cell>
          <cell r="C3288">
            <v>69.19</v>
          </cell>
        </row>
        <row r="3289">
          <cell r="B3289" t="str">
            <v>Ford,Patricia A</v>
          </cell>
          <cell r="C3289">
            <v>30.99</v>
          </cell>
        </row>
        <row r="3290">
          <cell r="B3290" t="str">
            <v>McCray Jr.,Garnett R</v>
          </cell>
          <cell r="C3290">
            <v>18.5</v>
          </cell>
        </row>
        <row r="3291">
          <cell r="B3291" t="str">
            <v>Babuchiwski,Sarah A</v>
          </cell>
          <cell r="C3291">
            <v>13</v>
          </cell>
        </row>
        <row r="3292">
          <cell r="B3292" t="str">
            <v>Robinson,Shelia M</v>
          </cell>
          <cell r="C3292">
            <v>19.239999999999998</v>
          </cell>
        </row>
        <row r="3293">
          <cell r="B3293" t="str">
            <v>Garner,Kevin L</v>
          </cell>
          <cell r="C3293">
            <v>36.04</v>
          </cell>
        </row>
        <row r="3294">
          <cell r="B3294" t="str">
            <v>Zhong,Zhen</v>
          </cell>
          <cell r="C3294">
            <v>37.130000000000003</v>
          </cell>
        </row>
        <row r="3295">
          <cell r="B3295" t="str">
            <v>Hoff,James T</v>
          </cell>
          <cell r="C3295">
            <v>39.130000000000003</v>
          </cell>
        </row>
        <row r="3296">
          <cell r="B3296" t="str">
            <v>Dreischer,Susan M.</v>
          </cell>
          <cell r="C3296">
            <v>51.72</v>
          </cell>
        </row>
        <row r="3297">
          <cell r="B3297" t="str">
            <v>Bailey,Cheryl E</v>
          </cell>
          <cell r="C3297">
            <v>51.93</v>
          </cell>
        </row>
        <row r="3298">
          <cell r="B3298" t="str">
            <v>Pope,Mary P</v>
          </cell>
          <cell r="C3298">
            <v>57.03</v>
          </cell>
        </row>
        <row r="3299">
          <cell r="B3299" t="str">
            <v>Niewedde,Judy L.</v>
          </cell>
          <cell r="C3299">
            <v>54.47</v>
          </cell>
        </row>
        <row r="3300">
          <cell r="B3300" t="str">
            <v>Curtis,Everett C</v>
          </cell>
          <cell r="C3300">
            <v>37.4</v>
          </cell>
        </row>
        <row r="3301">
          <cell r="B3301" t="str">
            <v>Moyer,Dorine L</v>
          </cell>
          <cell r="C3301">
            <v>25</v>
          </cell>
        </row>
        <row r="3302">
          <cell r="B3302" t="str">
            <v>Patton,Bobby D</v>
          </cell>
          <cell r="C3302">
            <v>21.42</v>
          </cell>
        </row>
        <row r="3303">
          <cell r="B3303" t="str">
            <v>Turner,Spencer L</v>
          </cell>
          <cell r="C3303">
            <v>28.34</v>
          </cell>
        </row>
        <row r="3304">
          <cell r="B3304" t="str">
            <v>Boelk,David J</v>
          </cell>
          <cell r="C3304">
            <v>54.39</v>
          </cell>
        </row>
        <row r="3305">
          <cell r="B3305" t="str">
            <v>Barger,Phillip O</v>
          </cell>
          <cell r="C3305">
            <v>93.542000000000002</v>
          </cell>
        </row>
        <row r="3306">
          <cell r="B3306" t="str">
            <v>Painter,Robin S</v>
          </cell>
          <cell r="C3306">
            <v>41.28</v>
          </cell>
        </row>
        <row r="3307">
          <cell r="B3307" t="str">
            <v>Burgess,Charles M</v>
          </cell>
          <cell r="C3307">
            <v>67.05</v>
          </cell>
        </row>
        <row r="3308">
          <cell r="B3308" t="str">
            <v>Fallon,Andrew J</v>
          </cell>
          <cell r="C3308">
            <v>110.9683</v>
          </cell>
        </row>
        <row r="3309">
          <cell r="B3309" t="str">
            <v>Graves,Michael T</v>
          </cell>
          <cell r="C3309">
            <v>46.3</v>
          </cell>
        </row>
        <row r="3310">
          <cell r="B3310" t="str">
            <v>Hansen,Lyndon T.</v>
          </cell>
          <cell r="C3310">
            <v>53.04</v>
          </cell>
        </row>
        <row r="3311">
          <cell r="B3311" t="str">
            <v>Sutton,John</v>
          </cell>
          <cell r="C3311">
            <v>59.7</v>
          </cell>
        </row>
        <row r="3312">
          <cell r="B3312" t="str">
            <v>Burger,Rainer E</v>
          </cell>
          <cell r="C3312">
            <v>64.989999999999995</v>
          </cell>
        </row>
        <row r="3313">
          <cell r="B3313" t="str">
            <v>Evans,Carleen A.</v>
          </cell>
          <cell r="C3313">
            <v>26.36</v>
          </cell>
        </row>
        <row r="3314">
          <cell r="B3314" t="str">
            <v>Miller,Craig S.</v>
          </cell>
          <cell r="C3314">
            <v>47.18</v>
          </cell>
        </row>
        <row r="3315">
          <cell r="B3315" t="str">
            <v>Knicley,Priscilla R.</v>
          </cell>
          <cell r="C3315">
            <v>41.07</v>
          </cell>
        </row>
        <row r="3316">
          <cell r="B3316" t="str">
            <v>Rubin,Jason</v>
          </cell>
          <cell r="C3316">
            <v>55.53</v>
          </cell>
        </row>
        <row r="3317">
          <cell r="B3317" t="str">
            <v>Rusnak II,George A</v>
          </cell>
          <cell r="C3317">
            <v>51.73</v>
          </cell>
        </row>
        <row r="3318">
          <cell r="B3318" t="str">
            <v>Munson,Homer C</v>
          </cell>
          <cell r="C3318">
            <v>48.61</v>
          </cell>
        </row>
        <row r="3319">
          <cell r="B3319" t="str">
            <v>Guillen,Rocio E</v>
          </cell>
          <cell r="C3319">
            <v>22.39</v>
          </cell>
        </row>
        <row r="3320">
          <cell r="B3320" t="str">
            <v>Stevens,Richard A</v>
          </cell>
          <cell r="C3320">
            <v>105.6006</v>
          </cell>
        </row>
        <row r="3321">
          <cell r="B3321" t="str">
            <v>Bessellieu,Lyman J</v>
          </cell>
          <cell r="C3321">
            <v>20.36</v>
          </cell>
        </row>
        <row r="3322">
          <cell r="B3322" t="str">
            <v>Draper,Kelly A</v>
          </cell>
          <cell r="C3322">
            <v>38.74</v>
          </cell>
        </row>
        <row r="3323">
          <cell r="B3323" t="str">
            <v>Stone,Nobie H</v>
          </cell>
          <cell r="C3323">
            <v>58.228900000000003</v>
          </cell>
        </row>
        <row r="3324">
          <cell r="B3324" t="str">
            <v>Uricheck,James T</v>
          </cell>
          <cell r="C3324">
            <v>30.73</v>
          </cell>
        </row>
        <row r="3325">
          <cell r="B3325" t="str">
            <v>Salonga Jr,Jose L</v>
          </cell>
          <cell r="C3325">
            <v>31.82</v>
          </cell>
        </row>
        <row r="3326">
          <cell r="B3326" t="str">
            <v>Willingham,Erik G</v>
          </cell>
          <cell r="C3326">
            <v>58.22</v>
          </cell>
        </row>
        <row r="3327">
          <cell r="B3327" t="str">
            <v>Strid,Jimmy</v>
          </cell>
          <cell r="C3327">
            <v>44.29</v>
          </cell>
        </row>
        <row r="3328">
          <cell r="B3328" t="str">
            <v>Siwy,Christopher</v>
          </cell>
          <cell r="C3328">
            <v>45.2</v>
          </cell>
        </row>
        <row r="3329">
          <cell r="B3329" t="str">
            <v>Burroughs,James F.</v>
          </cell>
          <cell r="C3329">
            <v>32.47</v>
          </cell>
        </row>
        <row r="3330">
          <cell r="B3330" t="str">
            <v>Elrayah,Ahmed</v>
          </cell>
          <cell r="C3330">
            <v>31.1</v>
          </cell>
        </row>
        <row r="3331">
          <cell r="B3331" t="str">
            <v>Berg,Thomas A</v>
          </cell>
          <cell r="C3331">
            <v>73.45</v>
          </cell>
        </row>
        <row r="3332">
          <cell r="B3332" t="str">
            <v>Kvasnicka,James H.</v>
          </cell>
          <cell r="C3332">
            <v>44.57</v>
          </cell>
        </row>
        <row r="3333">
          <cell r="B3333" t="str">
            <v>Prakken,Jeanette A</v>
          </cell>
          <cell r="C3333">
            <v>39.9</v>
          </cell>
        </row>
        <row r="3334">
          <cell r="B3334" t="str">
            <v>Newton Dosch,Jeanette Lynn</v>
          </cell>
          <cell r="C3334">
            <v>28.96</v>
          </cell>
        </row>
        <row r="3335">
          <cell r="B3335" t="str">
            <v>Mears,Daniel Chad</v>
          </cell>
          <cell r="C3335">
            <v>28.72</v>
          </cell>
        </row>
        <row r="3336">
          <cell r="B3336" t="str">
            <v>Duiguid,Justin A</v>
          </cell>
          <cell r="C3336">
            <v>32.19</v>
          </cell>
        </row>
        <row r="3337">
          <cell r="B3337" t="str">
            <v>Kassim,Alexander M</v>
          </cell>
          <cell r="C3337">
            <v>41.05</v>
          </cell>
        </row>
        <row r="3338">
          <cell r="B3338" t="str">
            <v>Means,Robert A.</v>
          </cell>
          <cell r="C3338">
            <v>23.12</v>
          </cell>
        </row>
        <row r="3339">
          <cell r="B3339" t="str">
            <v>Adams Jr.,James B</v>
          </cell>
          <cell r="C3339">
            <v>32.68</v>
          </cell>
        </row>
        <row r="3340">
          <cell r="B3340" t="str">
            <v>Ferrer,Renato Y</v>
          </cell>
          <cell r="C3340">
            <v>19.79</v>
          </cell>
        </row>
        <row r="3341">
          <cell r="B3341" t="str">
            <v>Kimmel,Brian L</v>
          </cell>
          <cell r="C3341">
            <v>64.42</v>
          </cell>
        </row>
        <row r="3342">
          <cell r="B3342" t="str">
            <v>Redhair,Lori A</v>
          </cell>
          <cell r="C3342">
            <v>49.2074</v>
          </cell>
        </row>
        <row r="3343">
          <cell r="B3343" t="str">
            <v>Mitchell,Charles A</v>
          </cell>
          <cell r="C3343">
            <v>54.848199999999999</v>
          </cell>
        </row>
        <row r="3344">
          <cell r="B3344" t="str">
            <v>Greene,Donald A</v>
          </cell>
          <cell r="C3344">
            <v>28</v>
          </cell>
        </row>
        <row r="3345">
          <cell r="B3345" t="str">
            <v>Johnson Sr.,Eric O</v>
          </cell>
          <cell r="C3345">
            <v>22</v>
          </cell>
        </row>
        <row r="3346">
          <cell r="B3346" t="str">
            <v>Lopez,Rigoberto</v>
          </cell>
          <cell r="C3346">
            <v>33.28</v>
          </cell>
        </row>
        <row r="3347">
          <cell r="B3347" t="str">
            <v>Jackson,Tyrone</v>
          </cell>
          <cell r="C3347">
            <v>63.121099999999998</v>
          </cell>
        </row>
        <row r="3348">
          <cell r="B3348" t="str">
            <v>Shipp,Anthony</v>
          </cell>
          <cell r="C3348">
            <v>58.960061000000003</v>
          </cell>
        </row>
        <row r="3349">
          <cell r="B3349" t="str">
            <v>Kaplan,David</v>
          </cell>
          <cell r="C3349">
            <v>65.510000000000005</v>
          </cell>
        </row>
        <row r="3350">
          <cell r="B3350" t="str">
            <v>Tillery,David M</v>
          </cell>
          <cell r="C3350">
            <v>32.299999999999997</v>
          </cell>
        </row>
        <row r="3351">
          <cell r="B3351" t="str">
            <v>Buchanan,Patricia E</v>
          </cell>
          <cell r="C3351">
            <v>38.340000000000003</v>
          </cell>
        </row>
        <row r="3352">
          <cell r="B3352" t="str">
            <v>Schupp,Henry P.</v>
          </cell>
          <cell r="C3352">
            <v>49.3</v>
          </cell>
        </row>
        <row r="3353">
          <cell r="B3353" t="str">
            <v>Schorer,David W.</v>
          </cell>
          <cell r="C3353">
            <v>85.67</v>
          </cell>
        </row>
        <row r="3354">
          <cell r="B3354" t="str">
            <v>Gundolfi,Kim E</v>
          </cell>
          <cell r="C3354">
            <v>52.31</v>
          </cell>
        </row>
        <row r="3355">
          <cell r="B3355" t="str">
            <v>Campbell,Gregory W</v>
          </cell>
          <cell r="C3355">
            <v>36.06</v>
          </cell>
        </row>
        <row r="3356">
          <cell r="B3356" t="str">
            <v>Broadwell,James H</v>
          </cell>
          <cell r="C3356">
            <v>52.09</v>
          </cell>
        </row>
        <row r="3357">
          <cell r="B3357" t="str">
            <v>Acero,Carlos</v>
          </cell>
          <cell r="C3357">
            <v>47.45</v>
          </cell>
        </row>
        <row r="3358">
          <cell r="B3358" t="str">
            <v>Sanders,Michael D</v>
          </cell>
          <cell r="C3358">
            <v>21.98</v>
          </cell>
        </row>
        <row r="3359">
          <cell r="B3359" t="str">
            <v>Adamski,Michael K</v>
          </cell>
          <cell r="C3359">
            <v>79.08</v>
          </cell>
        </row>
        <row r="3360">
          <cell r="B3360" t="str">
            <v>Kaisersatt,Samantha O</v>
          </cell>
          <cell r="C3360">
            <v>30.3248</v>
          </cell>
        </row>
        <row r="3361">
          <cell r="B3361" t="str">
            <v>Tomalesky,David</v>
          </cell>
          <cell r="C3361">
            <v>47.39</v>
          </cell>
        </row>
        <row r="3362">
          <cell r="B3362" t="str">
            <v>McCorry Jr.,Daniel C</v>
          </cell>
          <cell r="C3362">
            <v>95.819199999999995</v>
          </cell>
        </row>
        <row r="3363">
          <cell r="B3363" t="str">
            <v>Taylor,Gregory J</v>
          </cell>
          <cell r="C3363">
            <v>27.696000000000002</v>
          </cell>
        </row>
        <row r="3364">
          <cell r="B3364" t="str">
            <v>Rasi,Nancy C</v>
          </cell>
          <cell r="C3364">
            <v>16.170000000000002</v>
          </cell>
        </row>
        <row r="3365">
          <cell r="B3365" t="str">
            <v>Rawlings,Mark A</v>
          </cell>
          <cell r="C3365">
            <v>33.67</v>
          </cell>
        </row>
        <row r="3366">
          <cell r="B3366" t="str">
            <v>Nicholls,Jonathon R</v>
          </cell>
          <cell r="C3366">
            <v>49.398499999999999</v>
          </cell>
        </row>
        <row r="3367">
          <cell r="B3367" t="str">
            <v>Bradley,CaSandra Y</v>
          </cell>
          <cell r="C3367">
            <v>16.62</v>
          </cell>
        </row>
        <row r="3368">
          <cell r="B3368" t="str">
            <v>Bianchi,Robert N</v>
          </cell>
          <cell r="C3368">
            <v>46.03</v>
          </cell>
        </row>
        <row r="3369">
          <cell r="B3369" t="str">
            <v>Burt Jr.,Stanley</v>
          </cell>
          <cell r="C3369">
            <v>30.21</v>
          </cell>
        </row>
        <row r="3370">
          <cell r="B3370" t="str">
            <v>Cabreja Jr.,Rafael A</v>
          </cell>
          <cell r="C3370">
            <v>24.48</v>
          </cell>
        </row>
        <row r="3371">
          <cell r="B3371" t="str">
            <v>McCarty,Magdalena</v>
          </cell>
          <cell r="C3371">
            <v>66.44</v>
          </cell>
        </row>
        <row r="3372">
          <cell r="B3372" t="str">
            <v>Soisson,Craig J</v>
          </cell>
          <cell r="C3372">
            <v>34.17</v>
          </cell>
        </row>
        <row r="3373">
          <cell r="B3373" t="str">
            <v>Whittaker,Denise A</v>
          </cell>
          <cell r="C3373">
            <v>50.73</v>
          </cell>
        </row>
        <row r="3374">
          <cell r="B3374" t="str">
            <v>Copen,James E</v>
          </cell>
          <cell r="C3374">
            <v>50.49</v>
          </cell>
        </row>
        <row r="3375">
          <cell r="B3375" t="str">
            <v>Tip-Aucha,Veerapong</v>
          </cell>
          <cell r="C3375">
            <v>43.1</v>
          </cell>
        </row>
        <row r="3376">
          <cell r="B3376" t="str">
            <v>Skyles III,Walter A.</v>
          </cell>
          <cell r="C3376">
            <v>33.119999999999997</v>
          </cell>
        </row>
        <row r="3377">
          <cell r="B3377" t="str">
            <v>Olson,Nathanael B</v>
          </cell>
          <cell r="C3377">
            <v>24.44</v>
          </cell>
        </row>
        <row r="3378">
          <cell r="B3378" t="str">
            <v>Hartnett,Lawrence M</v>
          </cell>
          <cell r="C3378">
            <v>46.5</v>
          </cell>
        </row>
        <row r="3379">
          <cell r="B3379" t="str">
            <v>Varrato,Mark A</v>
          </cell>
          <cell r="C3379">
            <v>24.423300000000001</v>
          </cell>
        </row>
        <row r="3380">
          <cell r="B3380" t="str">
            <v>White,Maurice</v>
          </cell>
          <cell r="C3380">
            <v>22.78</v>
          </cell>
        </row>
        <row r="3381">
          <cell r="B3381" t="str">
            <v>Abela,Hymie D</v>
          </cell>
          <cell r="C3381">
            <v>36.35</v>
          </cell>
        </row>
        <row r="3382">
          <cell r="B3382" t="str">
            <v>Felton,James A</v>
          </cell>
          <cell r="C3382">
            <v>34.67</v>
          </cell>
        </row>
        <row r="3383">
          <cell r="B3383" t="str">
            <v>Stinson Jr.,Dwight D</v>
          </cell>
          <cell r="C3383">
            <v>19.62</v>
          </cell>
        </row>
        <row r="3384">
          <cell r="B3384" t="str">
            <v>Bucasas,Rolando B</v>
          </cell>
          <cell r="C3384">
            <v>23.07</v>
          </cell>
        </row>
        <row r="3385">
          <cell r="B3385" t="str">
            <v>Harkness,Shirley R.</v>
          </cell>
          <cell r="C3385">
            <v>49.52</v>
          </cell>
        </row>
        <row r="3386">
          <cell r="B3386" t="str">
            <v>Evans III,James C.</v>
          </cell>
          <cell r="C3386">
            <v>18.57</v>
          </cell>
        </row>
        <row r="3387">
          <cell r="B3387" t="str">
            <v>Sanchez,Carlos Andres</v>
          </cell>
          <cell r="C3387">
            <v>6.41</v>
          </cell>
        </row>
        <row r="3388">
          <cell r="B3388" t="str">
            <v>Nelson,Lance P</v>
          </cell>
          <cell r="C3388">
            <v>45.68</v>
          </cell>
        </row>
        <row r="3389">
          <cell r="B3389" t="str">
            <v>Marshall,Marsha C.</v>
          </cell>
          <cell r="C3389">
            <v>61.22</v>
          </cell>
        </row>
        <row r="3390">
          <cell r="B3390" t="str">
            <v>Camara,Jennifer</v>
          </cell>
          <cell r="C3390">
            <v>40.39</v>
          </cell>
        </row>
        <row r="3391">
          <cell r="B3391" t="str">
            <v>Belt,Jon D</v>
          </cell>
          <cell r="C3391">
            <v>41.56</v>
          </cell>
        </row>
        <row r="3392">
          <cell r="B3392" t="str">
            <v>Morgan,Paula J</v>
          </cell>
          <cell r="C3392">
            <v>51.03</v>
          </cell>
        </row>
        <row r="3393">
          <cell r="B3393" t="str">
            <v>Musimbago,Michael M.</v>
          </cell>
          <cell r="C3393">
            <v>35.33</v>
          </cell>
        </row>
        <row r="3394">
          <cell r="B3394" t="str">
            <v>Boynton,Ann M</v>
          </cell>
          <cell r="C3394">
            <v>63.26</v>
          </cell>
        </row>
        <row r="3395">
          <cell r="B3395" t="str">
            <v>Brown,Randall J</v>
          </cell>
          <cell r="C3395">
            <v>22.23</v>
          </cell>
        </row>
        <row r="3396">
          <cell r="B3396" t="str">
            <v>Hauger,Janine R</v>
          </cell>
          <cell r="C3396">
            <v>31.3</v>
          </cell>
        </row>
        <row r="3397">
          <cell r="B3397" t="str">
            <v>Rollins,Loraine T</v>
          </cell>
          <cell r="C3397">
            <v>56.94</v>
          </cell>
        </row>
        <row r="3398">
          <cell r="B3398" t="str">
            <v>Spendolini,Rachael M</v>
          </cell>
          <cell r="C3398">
            <v>26.5</v>
          </cell>
        </row>
        <row r="3399">
          <cell r="B3399" t="str">
            <v>Ogburn,James Alan</v>
          </cell>
          <cell r="C3399">
            <v>40.15</v>
          </cell>
        </row>
        <row r="3400">
          <cell r="B3400" t="str">
            <v>Acosta Jr.,Carlos M</v>
          </cell>
          <cell r="C3400">
            <v>19.420000000000002</v>
          </cell>
        </row>
        <row r="3401">
          <cell r="B3401" t="str">
            <v>Werkheiser,Larry R</v>
          </cell>
          <cell r="C3401">
            <v>29.12</v>
          </cell>
        </row>
        <row r="3402">
          <cell r="B3402" t="str">
            <v>Burgess,Bridget A</v>
          </cell>
          <cell r="C3402">
            <v>41.25</v>
          </cell>
        </row>
        <row r="3403">
          <cell r="B3403" t="str">
            <v>Ames,Jorgill J.</v>
          </cell>
          <cell r="C3403">
            <v>35.03</v>
          </cell>
        </row>
        <row r="3404">
          <cell r="B3404" t="str">
            <v>Pipkin,William A.</v>
          </cell>
          <cell r="C3404">
            <v>34.69</v>
          </cell>
        </row>
        <row r="3405">
          <cell r="B3405" t="str">
            <v>Reese,Todd S.</v>
          </cell>
          <cell r="C3405">
            <v>54.63</v>
          </cell>
        </row>
        <row r="3406">
          <cell r="B3406" t="str">
            <v>Smith,Charles R</v>
          </cell>
          <cell r="C3406">
            <v>24.03</v>
          </cell>
        </row>
        <row r="3407">
          <cell r="B3407" t="str">
            <v>Frago,Jose C</v>
          </cell>
          <cell r="C3407">
            <v>33.61</v>
          </cell>
        </row>
        <row r="3408">
          <cell r="B3408" t="str">
            <v>Hunt,Alvin O</v>
          </cell>
          <cell r="C3408">
            <v>15.79</v>
          </cell>
        </row>
        <row r="3409">
          <cell r="B3409" t="str">
            <v>Stapleton,Robert E</v>
          </cell>
          <cell r="C3409">
            <v>28.49</v>
          </cell>
        </row>
        <row r="3410">
          <cell r="B3410" t="str">
            <v>Berend,Linda P</v>
          </cell>
          <cell r="C3410">
            <v>51.59</v>
          </cell>
        </row>
        <row r="3411">
          <cell r="B3411" t="str">
            <v>Gardner,Kenneth D</v>
          </cell>
          <cell r="C3411">
            <v>35.409999999999997</v>
          </cell>
        </row>
        <row r="3412">
          <cell r="B3412" t="str">
            <v>Delesky,Mark G.</v>
          </cell>
          <cell r="C3412">
            <v>45.68</v>
          </cell>
        </row>
        <row r="3413">
          <cell r="B3413" t="str">
            <v>Flynn,Robert L</v>
          </cell>
          <cell r="C3413">
            <v>42.77</v>
          </cell>
        </row>
        <row r="3414">
          <cell r="B3414" t="str">
            <v>Henry,Michael</v>
          </cell>
          <cell r="C3414">
            <v>67.73</v>
          </cell>
        </row>
        <row r="3415">
          <cell r="B3415" t="str">
            <v>Smith,Amy A</v>
          </cell>
          <cell r="C3415">
            <v>34.909999999999997</v>
          </cell>
        </row>
        <row r="3416">
          <cell r="B3416" t="str">
            <v>Waters,Charles R</v>
          </cell>
          <cell r="C3416">
            <v>19.75</v>
          </cell>
        </row>
        <row r="3417">
          <cell r="B3417" t="str">
            <v>Burke,Anne F</v>
          </cell>
          <cell r="C3417">
            <v>28.01</v>
          </cell>
        </row>
        <row r="3418">
          <cell r="B3418" t="str">
            <v>Davis,Arnie</v>
          </cell>
          <cell r="C3418">
            <v>22.94</v>
          </cell>
        </row>
        <row r="3419">
          <cell r="B3419" t="str">
            <v>Geiss,Andrew P</v>
          </cell>
          <cell r="C3419">
            <v>22.51</v>
          </cell>
        </row>
        <row r="3420">
          <cell r="B3420" t="str">
            <v>Roberts,Jimmy T</v>
          </cell>
          <cell r="C3420">
            <v>35</v>
          </cell>
        </row>
        <row r="3421">
          <cell r="B3421" t="str">
            <v>Roberts,Elizabeth J.</v>
          </cell>
          <cell r="C3421">
            <v>58.18</v>
          </cell>
        </row>
        <row r="3422">
          <cell r="B3422" t="str">
            <v>Clay,Yvonne D</v>
          </cell>
          <cell r="C3422">
            <v>31.21</v>
          </cell>
        </row>
        <row r="3423">
          <cell r="B3423" t="str">
            <v>Coleman,Stephanie</v>
          </cell>
          <cell r="C3423">
            <v>32.450000000000003</v>
          </cell>
        </row>
        <row r="3424">
          <cell r="B3424" t="str">
            <v>Duncan,Jay D.</v>
          </cell>
          <cell r="C3424">
            <v>33.770000000000003</v>
          </cell>
        </row>
        <row r="3425">
          <cell r="B3425" t="str">
            <v>Kiley,Kathleen L</v>
          </cell>
          <cell r="C3425">
            <v>50.48</v>
          </cell>
        </row>
        <row r="3426">
          <cell r="B3426" t="str">
            <v>March,Bobby W</v>
          </cell>
          <cell r="C3426">
            <v>45.9</v>
          </cell>
        </row>
        <row r="3427">
          <cell r="B3427" t="str">
            <v>Brooks,Myron E.</v>
          </cell>
          <cell r="C3427">
            <v>35.39</v>
          </cell>
        </row>
        <row r="3428">
          <cell r="B3428" t="str">
            <v>DeLong,Steven</v>
          </cell>
          <cell r="C3428">
            <v>57.66</v>
          </cell>
        </row>
        <row r="3429">
          <cell r="B3429" t="str">
            <v>Nicholson,Shawn L</v>
          </cell>
          <cell r="C3429">
            <v>38.47</v>
          </cell>
        </row>
        <row r="3430">
          <cell r="B3430" t="str">
            <v>Malotte,Eric S</v>
          </cell>
          <cell r="C3430">
            <v>41.69</v>
          </cell>
        </row>
        <row r="3431">
          <cell r="B3431" t="str">
            <v>Beckwith,James A.</v>
          </cell>
          <cell r="C3431">
            <v>49.49</v>
          </cell>
        </row>
        <row r="3432">
          <cell r="B3432" t="str">
            <v>Eifert,Douglas W</v>
          </cell>
          <cell r="C3432">
            <v>45.36</v>
          </cell>
        </row>
        <row r="3433">
          <cell r="B3433" t="str">
            <v>Kaluai,Aaron K</v>
          </cell>
          <cell r="C3433">
            <v>19.41</v>
          </cell>
        </row>
        <row r="3434">
          <cell r="B3434" t="str">
            <v>Bernard,Dennis J</v>
          </cell>
          <cell r="C3434">
            <v>40</v>
          </cell>
        </row>
        <row r="3435">
          <cell r="B3435" t="str">
            <v>Denbrock,Albert C.</v>
          </cell>
          <cell r="C3435">
            <v>48.63</v>
          </cell>
        </row>
        <row r="3436">
          <cell r="B3436" t="str">
            <v>Scher,Hugh P</v>
          </cell>
          <cell r="C3436">
            <v>79.33</v>
          </cell>
        </row>
        <row r="3437">
          <cell r="B3437" t="str">
            <v>Sardella,Donn C</v>
          </cell>
          <cell r="C3437">
            <v>38.463500000000003</v>
          </cell>
        </row>
        <row r="3438">
          <cell r="B3438" t="str">
            <v>Morales,Matthew D</v>
          </cell>
          <cell r="C3438">
            <v>20.5</v>
          </cell>
        </row>
        <row r="3439">
          <cell r="B3439" t="str">
            <v>Burns,Christopher S</v>
          </cell>
          <cell r="C3439">
            <v>53.27</v>
          </cell>
        </row>
        <row r="3440">
          <cell r="B3440" t="str">
            <v>James,Scott A</v>
          </cell>
          <cell r="C3440">
            <v>50.55</v>
          </cell>
        </row>
        <row r="3441">
          <cell r="B3441" t="str">
            <v>Davis,Kathy T</v>
          </cell>
          <cell r="C3441">
            <v>24.01</v>
          </cell>
        </row>
        <row r="3442">
          <cell r="B3442" t="str">
            <v>Koenig,Joseph R</v>
          </cell>
          <cell r="C3442">
            <v>36.409999999999997</v>
          </cell>
        </row>
        <row r="3443">
          <cell r="B3443" t="str">
            <v>Broady,Arlene</v>
          </cell>
          <cell r="C3443">
            <v>45.43</v>
          </cell>
        </row>
        <row r="3444">
          <cell r="B3444" t="str">
            <v>Williams,Martin K</v>
          </cell>
          <cell r="C3444">
            <v>24.04</v>
          </cell>
        </row>
        <row r="3445">
          <cell r="B3445" t="str">
            <v>Polidoro,Christopher M</v>
          </cell>
          <cell r="C3445">
            <v>34</v>
          </cell>
        </row>
        <row r="3446">
          <cell r="B3446" t="str">
            <v>Anderson,Glenda F.</v>
          </cell>
          <cell r="C3446">
            <v>44.43</v>
          </cell>
        </row>
        <row r="3447">
          <cell r="B3447" t="str">
            <v>Klamm,Michael G</v>
          </cell>
          <cell r="C3447">
            <v>33.19</v>
          </cell>
        </row>
        <row r="3448">
          <cell r="B3448" t="str">
            <v>Fleeson,James M.</v>
          </cell>
          <cell r="C3448">
            <v>62.85</v>
          </cell>
        </row>
        <row r="3449">
          <cell r="B3449" t="str">
            <v>Lynch,Michael Scott</v>
          </cell>
          <cell r="C3449">
            <v>37.5</v>
          </cell>
        </row>
        <row r="3450">
          <cell r="B3450" t="str">
            <v>Rodarmel II,Sherman A.</v>
          </cell>
          <cell r="C3450">
            <v>37.64</v>
          </cell>
        </row>
        <row r="3451">
          <cell r="B3451" t="str">
            <v>Fulmer,Carolyn S</v>
          </cell>
          <cell r="C3451">
            <v>37.5</v>
          </cell>
        </row>
        <row r="3452">
          <cell r="B3452" t="str">
            <v>Parente,Estelle E</v>
          </cell>
          <cell r="C3452">
            <v>38.86</v>
          </cell>
        </row>
        <row r="3453">
          <cell r="B3453" t="str">
            <v>Gonyo,Peter J.</v>
          </cell>
          <cell r="C3453">
            <v>41.41</v>
          </cell>
        </row>
        <row r="3454">
          <cell r="B3454" t="str">
            <v>Wyse,Frederick C</v>
          </cell>
          <cell r="C3454">
            <v>60.26</v>
          </cell>
        </row>
        <row r="3455">
          <cell r="B3455" t="str">
            <v>Lowman,Joel K.</v>
          </cell>
          <cell r="C3455">
            <v>48.1</v>
          </cell>
        </row>
        <row r="3456">
          <cell r="B3456" t="str">
            <v>Howard,Andrew S</v>
          </cell>
          <cell r="C3456">
            <v>32.96</v>
          </cell>
        </row>
        <row r="3457">
          <cell r="B3457" t="str">
            <v>Ayala,Iraida</v>
          </cell>
          <cell r="C3457">
            <v>15.45</v>
          </cell>
        </row>
        <row r="3458">
          <cell r="B3458" t="str">
            <v>Weiner,Robert S.</v>
          </cell>
          <cell r="C3458">
            <v>52.49</v>
          </cell>
        </row>
        <row r="3459">
          <cell r="B3459" t="str">
            <v>Morrow,Melissa R</v>
          </cell>
          <cell r="C3459">
            <v>26</v>
          </cell>
        </row>
        <row r="3460">
          <cell r="B3460" t="str">
            <v>Goodman,Olivia</v>
          </cell>
          <cell r="C3460">
            <v>28.5</v>
          </cell>
        </row>
        <row r="3461">
          <cell r="B3461" t="str">
            <v>Sainz,David B</v>
          </cell>
          <cell r="C3461">
            <v>48.59</v>
          </cell>
        </row>
        <row r="3462">
          <cell r="B3462" t="str">
            <v>Hudock,Terry J</v>
          </cell>
          <cell r="C3462">
            <v>55.42</v>
          </cell>
        </row>
        <row r="3463">
          <cell r="B3463" t="str">
            <v>Rice,Scott C</v>
          </cell>
          <cell r="C3463">
            <v>60.83</v>
          </cell>
        </row>
        <row r="3464">
          <cell r="B3464" t="str">
            <v>Taylor,Craig S</v>
          </cell>
          <cell r="C3464">
            <v>37.840000000000003</v>
          </cell>
        </row>
        <row r="3465">
          <cell r="B3465" t="str">
            <v>Wallace,Jacquan</v>
          </cell>
          <cell r="C3465">
            <v>16.5</v>
          </cell>
        </row>
        <row r="3466">
          <cell r="B3466" t="str">
            <v>Haley,Patrick</v>
          </cell>
          <cell r="C3466">
            <v>70.77</v>
          </cell>
        </row>
        <row r="3467">
          <cell r="B3467" t="str">
            <v>Schaeffer,Tabb</v>
          </cell>
          <cell r="C3467">
            <v>71.17</v>
          </cell>
        </row>
        <row r="3468">
          <cell r="B3468" t="str">
            <v>Ellis,Crystal M</v>
          </cell>
          <cell r="C3468">
            <v>26.45</v>
          </cell>
        </row>
        <row r="3469">
          <cell r="B3469" t="str">
            <v>Kurtz,Kevin A</v>
          </cell>
          <cell r="C3469">
            <v>38.99</v>
          </cell>
        </row>
        <row r="3470">
          <cell r="B3470" t="str">
            <v>Lloyd,Barbara D</v>
          </cell>
          <cell r="C3470">
            <v>21.12</v>
          </cell>
        </row>
        <row r="3471">
          <cell r="B3471" t="str">
            <v>Nitzenberger,Robert S</v>
          </cell>
          <cell r="C3471">
            <v>76.83</v>
          </cell>
        </row>
        <row r="3472">
          <cell r="B3472" t="str">
            <v>Spellane,Michael S.</v>
          </cell>
          <cell r="C3472">
            <v>63.89</v>
          </cell>
        </row>
        <row r="3473">
          <cell r="B3473" t="str">
            <v>Crafton,Judith A.</v>
          </cell>
          <cell r="C3473">
            <v>24.2</v>
          </cell>
        </row>
        <row r="3474">
          <cell r="B3474" t="str">
            <v>Miller,Scott</v>
          </cell>
          <cell r="C3474">
            <v>40.69</v>
          </cell>
        </row>
        <row r="3475">
          <cell r="B3475" t="str">
            <v>Edling,Krysti S</v>
          </cell>
          <cell r="C3475">
            <v>13.85</v>
          </cell>
        </row>
        <row r="3476">
          <cell r="B3476" t="str">
            <v>Fleck,Francis R</v>
          </cell>
          <cell r="C3476">
            <v>66.59</v>
          </cell>
        </row>
        <row r="3477">
          <cell r="B3477" t="str">
            <v>Anspaugh,Jeremy D</v>
          </cell>
          <cell r="C3477">
            <v>47.43</v>
          </cell>
        </row>
        <row r="3478">
          <cell r="B3478" t="str">
            <v>Jackson,John M</v>
          </cell>
          <cell r="C3478">
            <v>50.41</v>
          </cell>
        </row>
        <row r="3479">
          <cell r="B3479" t="str">
            <v>Thompson,Linda L</v>
          </cell>
          <cell r="C3479">
            <v>60.01</v>
          </cell>
        </row>
        <row r="3480">
          <cell r="B3480" t="str">
            <v>Smith Sr.,Douglas B</v>
          </cell>
          <cell r="C3480">
            <v>25.21</v>
          </cell>
        </row>
        <row r="3481">
          <cell r="B3481" t="str">
            <v>Mello,Michael J</v>
          </cell>
          <cell r="C3481">
            <v>24</v>
          </cell>
        </row>
        <row r="3482">
          <cell r="B3482" t="str">
            <v>Thomas,Daniel G</v>
          </cell>
          <cell r="C3482">
            <v>32.57</v>
          </cell>
        </row>
        <row r="3483">
          <cell r="B3483" t="str">
            <v>Carroll,Brenda S</v>
          </cell>
          <cell r="C3483">
            <v>38.11</v>
          </cell>
        </row>
        <row r="3484">
          <cell r="B3484" t="str">
            <v>Chun,Kenneth</v>
          </cell>
          <cell r="C3484">
            <v>52.5</v>
          </cell>
        </row>
        <row r="3485">
          <cell r="B3485" t="str">
            <v>Baker,Karl G</v>
          </cell>
          <cell r="C3485">
            <v>27.75</v>
          </cell>
        </row>
        <row r="3486">
          <cell r="B3486" t="str">
            <v>Proft,Donovan M.</v>
          </cell>
          <cell r="C3486">
            <v>45.41</v>
          </cell>
        </row>
        <row r="3487">
          <cell r="B3487" t="str">
            <v>Peterman,Alfred W</v>
          </cell>
          <cell r="C3487">
            <v>67.45</v>
          </cell>
        </row>
        <row r="3488">
          <cell r="B3488" t="str">
            <v>Bane,Thomas H</v>
          </cell>
          <cell r="C3488">
            <v>16.38</v>
          </cell>
        </row>
        <row r="3489">
          <cell r="B3489" t="str">
            <v>Schlottach,Kristin J.</v>
          </cell>
          <cell r="C3489">
            <v>41.11</v>
          </cell>
        </row>
        <row r="3490">
          <cell r="B3490" t="str">
            <v>Wagner,Timothy G</v>
          </cell>
          <cell r="C3490">
            <v>40.61</v>
          </cell>
        </row>
        <row r="3491">
          <cell r="B3491" t="str">
            <v>Bekono,Gina A</v>
          </cell>
          <cell r="C3491">
            <v>20.170000000000002</v>
          </cell>
        </row>
        <row r="3492">
          <cell r="B3492" t="str">
            <v>O'Brien,Loletta L</v>
          </cell>
          <cell r="C3492">
            <v>22.83</v>
          </cell>
        </row>
        <row r="3493">
          <cell r="B3493" t="str">
            <v>Barton,Kelly J</v>
          </cell>
          <cell r="C3493">
            <v>27.84</v>
          </cell>
        </row>
        <row r="3494">
          <cell r="B3494" t="str">
            <v>Verdejo,Cruz A</v>
          </cell>
          <cell r="C3494">
            <v>23</v>
          </cell>
        </row>
        <row r="3495">
          <cell r="B3495" t="str">
            <v>Isaac-Villanueva,Joan</v>
          </cell>
          <cell r="C3495">
            <v>18.53</v>
          </cell>
        </row>
        <row r="3496">
          <cell r="B3496" t="str">
            <v>Wallace,James R</v>
          </cell>
          <cell r="C3496">
            <v>47.13</v>
          </cell>
        </row>
        <row r="3497">
          <cell r="B3497" t="str">
            <v>Devier,Leonard G</v>
          </cell>
          <cell r="C3497">
            <v>44.02</v>
          </cell>
        </row>
        <row r="3498">
          <cell r="B3498" t="str">
            <v>Webster,Gregory J</v>
          </cell>
          <cell r="C3498">
            <v>28.81</v>
          </cell>
        </row>
        <row r="3499">
          <cell r="B3499" t="str">
            <v>Decasper,Christopher P</v>
          </cell>
          <cell r="C3499">
            <v>38.25</v>
          </cell>
        </row>
        <row r="3500">
          <cell r="B3500" t="str">
            <v>Arseneault,Joseph R.</v>
          </cell>
          <cell r="C3500">
            <v>54.86</v>
          </cell>
        </row>
        <row r="3501">
          <cell r="B3501" t="str">
            <v>Horsley III,Robert L</v>
          </cell>
          <cell r="C3501">
            <v>21</v>
          </cell>
        </row>
        <row r="3502">
          <cell r="B3502" t="str">
            <v>Jones,Vincent E</v>
          </cell>
          <cell r="C3502">
            <v>31.28</v>
          </cell>
        </row>
        <row r="3503">
          <cell r="B3503" t="str">
            <v>Sullivan,Christine</v>
          </cell>
          <cell r="C3503">
            <v>57.94</v>
          </cell>
        </row>
        <row r="3504">
          <cell r="B3504" t="str">
            <v>Gass,Robert H</v>
          </cell>
          <cell r="C3504">
            <v>80</v>
          </cell>
        </row>
        <row r="3505">
          <cell r="B3505" t="str">
            <v>White,Everett M</v>
          </cell>
          <cell r="C3505">
            <v>31.25</v>
          </cell>
        </row>
        <row r="3506">
          <cell r="B3506" t="str">
            <v>Blue,Kenneth D</v>
          </cell>
          <cell r="C3506">
            <v>32.47</v>
          </cell>
        </row>
        <row r="3507">
          <cell r="B3507" t="str">
            <v>Lovegrove,Elizabeth G</v>
          </cell>
          <cell r="C3507">
            <v>21.32</v>
          </cell>
        </row>
        <row r="3508">
          <cell r="B3508" t="str">
            <v>Griggs,Carlton A</v>
          </cell>
          <cell r="C3508">
            <v>60.92</v>
          </cell>
        </row>
        <row r="3509">
          <cell r="B3509" t="str">
            <v>Lawson,Reuben L</v>
          </cell>
          <cell r="C3509">
            <v>48.78</v>
          </cell>
        </row>
        <row r="3510">
          <cell r="B3510" t="str">
            <v>Kloc,David F</v>
          </cell>
          <cell r="C3510">
            <v>53.1</v>
          </cell>
        </row>
        <row r="3511">
          <cell r="B3511" t="str">
            <v>Wilde,Paul R</v>
          </cell>
          <cell r="C3511">
            <v>59.06</v>
          </cell>
        </row>
        <row r="3512">
          <cell r="B3512" t="str">
            <v>Dubey,Ravi R.</v>
          </cell>
          <cell r="C3512">
            <v>64.81</v>
          </cell>
        </row>
        <row r="3513">
          <cell r="B3513" t="str">
            <v>Gardner,Ernest A</v>
          </cell>
          <cell r="C3513">
            <v>43.47</v>
          </cell>
        </row>
        <row r="3514">
          <cell r="B3514" t="str">
            <v>Clark,Kenneth Martin</v>
          </cell>
          <cell r="C3514">
            <v>22.65</v>
          </cell>
        </row>
        <row r="3515">
          <cell r="B3515" t="str">
            <v>McClain,Cynthia H</v>
          </cell>
          <cell r="C3515">
            <v>9.8699999999999992</v>
          </cell>
        </row>
        <row r="3516">
          <cell r="B3516" t="str">
            <v>Cleary,John P</v>
          </cell>
          <cell r="C3516">
            <v>19.5</v>
          </cell>
        </row>
        <row r="3517">
          <cell r="B3517" t="str">
            <v>Flynn,Jason M</v>
          </cell>
          <cell r="C3517">
            <v>35.9</v>
          </cell>
        </row>
        <row r="3518">
          <cell r="B3518" t="str">
            <v>McBee,Charles J</v>
          </cell>
          <cell r="C3518">
            <v>38.93</v>
          </cell>
        </row>
        <row r="3519">
          <cell r="B3519" t="str">
            <v>Dominguez,Juan C</v>
          </cell>
          <cell r="C3519">
            <v>20.92</v>
          </cell>
        </row>
        <row r="3520">
          <cell r="B3520" t="str">
            <v>Saucedo,Susan</v>
          </cell>
          <cell r="C3520">
            <v>31.12</v>
          </cell>
        </row>
        <row r="3521">
          <cell r="B3521" t="str">
            <v>Simmons,Bobby</v>
          </cell>
          <cell r="C3521">
            <v>34.200000000000003</v>
          </cell>
        </row>
        <row r="3522">
          <cell r="B3522" t="str">
            <v>Salisbury,Jonathan</v>
          </cell>
          <cell r="C3522">
            <v>45.59</v>
          </cell>
        </row>
        <row r="3523">
          <cell r="B3523" t="str">
            <v>Carter,Anita M</v>
          </cell>
          <cell r="C3523">
            <v>50.42</v>
          </cell>
        </row>
        <row r="3524">
          <cell r="B3524" t="str">
            <v>Anderson,William B</v>
          </cell>
          <cell r="C3524">
            <v>32.21</v>
          </cell>
        </row>
        <row r="3525">
          <cell r="B3525" t="str">
            <v>Cohee,Robin A</v>
          </cell>
          <cell r="C3525">
            <v>39.03</v>
          </cell>
        </row>
        <row r="3526">
          <cell r="B3526" t="str">
            <v>Dunlap,Scott A</v>
          </cell>
          <cell r="C3526">
            <v>36.090000000000003</v>
          </cell>
        </row>
        <row r="3527">
          <cell r="B3527" t="str">
            <v>Collier,Tony A.</v>
          </cell>
          <cell r="C3527">
            <v>16.93</v>
          </cell>
        </row>
        <row r="3528">
          <cell r="B3528" t="str">
            <v>Johnson,Brandon S</v>
          </cell>
          <cell r="C3528">
            <v>19.739999999999998</v>
          </cell>
        </row>
        <row r="3529">
          <cell r="B3529" t="str">
            <v>Sorci,Peter L</v>
          </cell>
          <cell r="C3529">
            <v>51.5</v>
          </cell>
        </row>
        <row r="3530">
          <cell r="B3530" t="str">
            <v>Baldwin,Eboni N</v>
          </cell>
          <cell r="C3530">
            <v>18.5</v>
          </cell>
        </row>
        <row r="3531">
          <cell r="B3531" t="str">
            <v>McIntyre,Timothy G</v>
          </cell>
          <cell r="C3531">
            <v>60.401000000000003</v>
          </cell>
        </row>
        <row r="3532">
          <cell r="B3532" t="str">
            <v>Cash,William B</v>
          </cell>
          <cell r="C3532">
            <v>18.52</v>
          </cell>
        </row>
        <row r="3533">
          <cell r="B3533" t="str">
            <v>Smith,Timothy</v>
          </cell>
          <cell r="C3533">
            <v>73.248000000000005</v>
          </cell>
        </row>
        <row r="3534">
          <cell r="B3534" t="str">
            <v>Lipford,Andrew H</v>
          </cell>
          <cell r="C3534">
            <v>31.33</v>
          </cell>
        </row>
        <row r="3535">
          <cell r="B3535" t="str">
            <v>Viglienzoni,Peter L</v>
          </cell>
          <cell r="C3535">
            <v>45.36</v>
          </cell>
        </row>
        <row r="3536">
          <cell r="B3536" t="str">
            <v>Norman,Nicole A</v>
          </cell>
          <cell r="C3536">
            <v>28.76</v>
          </cell>
        </row>
        <row r="3537">
          <cell r="B3537" t="str">
            <v>Morris II,Carl W</v>
          </cell>
          <cell r="C3537">
            <v>20.079999999999998</v>
          </cell>
        </row>
        <row r="3538">
          <cell r="B3538" t="str">
            <v>Bertsch,Joan M</v>
          </cell>
          <cell r="C3538">
            <v>35.630000000000003</v>
          </cell>
        </row>
        <row r="3539">
          <cell r="B3539" t="str">
            <v>Anderson,Jacqueia R</v>
          </cell>
          <cell r="C3539">
            <v>17.28</v>
          </cell>
        </row>
        <row r="3540">
          <cell r="B3540" t="str">
            <v>Chapin Jr.,Henry T</v>
          </cell>
          <cell r="C3540">
            <v>43.27</v>
          </cell>
        </row>
        <row r="3541">
          <cell r="B3541" t="str">
            <v>Little,Joshua J</v>
          </cell>
          <cell r="C3541">
            <v>59.28</v>
          </cell>
        </row>
        <row r="3542">
          <cell r="B3542" t="str">
            <v>Baldwin,Jerome L</v>
          </cell>
          <cell r="C3542">
            <v>31.05</v>
          </cell>
        </row>
        <row r="3543">
          <cell r="B3543" t="str">
            <v>Akst,Harold G</v>
          </cell>
          <cell r="C3543">
            <v>54.02</v>
          </cell>
        </row>
        <row r="3544">
          <cell r="B3544" t="str">
            <v>Fisher III,William H.</v>
          </cell>
          <cell r="C3544">
            <v>39.79</v>
          </cell>
        </row>
        <row r="3545">
          <cell r="B3545" t="str">
            <v>Longyear,Howard W</v>
          </cell>
          <cell r="C3545">
            <v>82.2</v>
          </cell>
        </row>
        <row r="3546">
          <cell r="B3546" t="str">
            <v>Knapp,Jonathan T</v>
          </cell>
          <cell r="C3546">
            <v>43.61</v>
          </cell>
        </row>
        <row r="3547">
          <cell r="B3547" t="str">
            <v>Friend,Michael N</v>
          </cell>
          <cell r="C3547">
            <v>41.25</v>
          </cell>
        </row>
        <row r="3548">
          <cell r="B3548" t="str">
            <v>Hall,Madelynn C</v>
          </cell>
          <cell r="C3548">
            <v>35.340000000000003</v>
          </cell>
        </row>
        <row r="3549">
          <cell r="B3549" t="str">
            <v>Rand,August L</v>
          </cell>
          <cell r="C3549">
            <v>29.86</v>
          </cell>
        </row>
        <row r="3550">
          <cell r="B3550" t="str">
            <v>Tesso,Sara</v>
          </cell>
          <cell r="C3550">
            <v>29.807700000000001</v>
          </cell>
        </row>
        <row r="3551">
          <cell r="B3551" t="str">
            <v>Speight,Andre A</v>
          </cell>
          <cell r="C3551">
            <v>39.42</v>
          </cell>
        </row>
        <row r="3552">
          <cell r="B3552" t="str">
            <v>Harney,Reed K</v>
          </cell>
          <cell r="C3552">
            <v>54.337499999999999</v>
          </cell>
        </row>
        <row r="3553">
          <cell r="B3553" t="str">
            <v>Batton,Carl L</v>
          </cell>
          <cell r="C3553">
            <v>47.0227</v>
          </cell>
        </row>
        <row r="3554">
          <cell r="B3554" t="str">
            <v>Fadul,Michael</v>
          </cell>
          <cell r="C3554">
            <v>69.489999999999995</v>
          </cell>
        </row>
        <row r="3555">
          <cell r="B3555" t="str">
            <v>Johnson,William P</v>
          </cell>
          <cell r="C3555">
            <v>30.14</v>
          </cell>
        </row>
        <row r="3556">
          <cell r="B3556" t="str">
            <v>Powars,Wayne L</v>
          </cell>
          <cell r="C3556">
            <v>54.07</v>
          </cell>
        </row>
        <row r="3557">
          <cell r="B3557" t="str">
            <v>Harris,Kevin W.</v>
          </cell>
          <cell r="C3557">
            <v>55.53</v>
          </cell>
        </row>
        <row r="3558">
          <cell r="B3558" t="str">
            <v>Rawson,Jeryl L.</v>
          </cell>
          <cell r="C3558">
            <v>67.31</v>
          </cell>
        </row>
        <row r="3559">
          <cell r="B3559" t="str">
            <v>Adams,Michael E.</v>
          </cell>
          <cell r="C3559">
            <v>24.79</v>
          </cell>
        </row>
        <row r="3560">
          <cell r="B3560" t="str">
            <v>Graham,William H</v>
          </cell>
          <cell r="C3560">
            <v>26.93</v>
          </cell>
        </row>
        <row r="3561">
          <cell r="B3561" t="str">
            <v>Richardson Jr.,Charles L</v>
          </cell>
          <cell r="C3561">
            <v>46.16</v>
          </cell>
        </row>
        <row r="3562">
          <cell r="B3562" t="str">
            <v>Eifler,Eric S</v>
          </cell>
          <cell r="C3562">
            <v>53.55</v>
          </cell>
        </row>
        <row r="3563">
          <cell r="B3563" t="str">
            <v>Tisdale,Elizabeth A</v>
          </cell>
          <cell r="C3563">
            <v>44.06</v>
          </cell>
        </row>
        <row r="3564">
          <cell r="B3564" t="str">
            <v>Lyman,Timothy W</v>
          </cell>
          <cell r="C3564">
            <v>68.89</v>
          </cell>
        </row>
        <row r="3565">
          <cell r="B3565" t="str">
            <v>Miller,Andrew W</v>
          </cell>
          <cell r="C3565">
            <v>22.13</v>
          </cell>
        </row>
        <row r="3566">
          <cell r="B3566" t="str">
            <v>Nicastro Sr.,Frank W</v>
          </cell>
          <cell r="C3566">
            <v>20.48</v>
          </cell>
        </row>
        <row r="3567">
          <cell r="B3567" t="str">
            <v>Barnes,Virgil J.</v>
          </cell>
          <cell r="C3567">
            <v>37.619999999999997</v>
          </cell>
        </row>
        <row r="3568">
          <cell r="B3568" t="str">
            <v>Duncan Jr.,Herman</v>
          </cell>
          <cell r="C3568">
            <v>54.01</v>
          </cell>
        </row>
        <row r="3569">
          <cell r="B3569" t="str">
            <v>Kuchler,Albert</v>
          </cell>
          <cell r="C3569">
            <v>39.915199999999999</v>
          </cell>
        </row>
        <row r="3570">
          <cell r="B3570" t="str">
            <v>Tucker,Brian J</v>
          </cell>
          <cell r="C3570">
            <v>65.33</v>
          </cell>
        </row>
        <row r="3571">
          <cell r="B3571" t="str">
            <v>St. Peter,John</v>
          </cell>
          <cell r="C3571">
            <v>66.91</v>
          </cell>
        </row>
        <row r="3572">
          <cell r="B3572" t="str">
            <v>Morales,Michael C</v>
          </cell>
          <cell r="C3572">
            <v>32.36</v>
          </cell>
        </row>
        <row r="3573">
          <cell r="B3573" t="str">
            <v>Shelton,Kenneth S</v>
          </cell>
          <cell r="C3573">
            <v>55.53</v>
          </cell>
        </row>
        <row r="3574">
          <cell r="B3574" t="str">
            <v>Mackes Jr.,Charles M.</v>
          </cell>
          <cell r="C3574">
            <v>40.69</v>
          </cell>
        </row>
        <row r="3575">
          <cell r="B3575" t="str">
            <v>Jamison,Mark G</v>
          </cell>
          <cell r="C3575">
            <v>29.9</v>
          </cell>
        </row>
        <row r="3576">
          <cell r="B3576" t="str">
            <v>Craig,Frank D</v>
          </cell>
          <cell r="C3576">
            <v>32.630000000000003</v>
          </cell>
        </row>
        <row r="3577">
          <cell r="B3577" t="str">
            <v>Fletcher,Kelvin C</v>
          </cell>
          <cell r="C3577">
            <v>31.3</v>
          </cell>
        </row>
        <row r="3578">
          <cell r="B3578" t="str">
            <v>Rumpf,Gregory K</v>
          </cell>
          <cell r="C3578">
            <v>50</v>
          </cell>
        </row>
        <row r="3579">
          <cell r="B3579" t="str">
            <v>Douglas,Diana J</v>
          </cell>
          <cell r="C3579">
            <v>36.08</v>
          </cell>
        </row>
        <row r="3580">
          <cell r="B3580" t="str">
            <v>Sorensen,Clyde R</v>
          </cell>
          <cell r="C3580">
            <v>53.37</v>
          </cell>
        </row>
        <row r="3581">
          <cell r="B3581" t="str">
            <v>Zia,Christopher W.</v>
          </cell>
          <cell r="C3581">
            <v>67.709999999999994</v>
          </cell>
        </row>
        <row r="3582">
          <cell r="B3582" t="str">
            <v>Martinez,Ronald A</v>
          </cell>
          <cell r="C3582">
            <v>43.26</v>
          </cell>
        </row>
        <row r="3583">
          <cell r="B3583" t="str">
            <v>Wallace,Emily M.L.</v>
          </cell>
          <cell r="C3583">
            <v>52.28</v>
          </cell>
        </row>
        <row r="3584">
          <cell r="B3584" t="str">
            <v>Johnson Jr,Bobby R</v>
          </cell>
          <cell r="C3584">
            <v>50.34</v>
          </cell>
        </row>
        <row r="3585">
          <cell r="B3585" t="str">
            <v>Keffer,Susan M.</v>
          </cell>
          <cell r="C3585">
            <v>53.97</v>
          </cell>
        </row>
        <row r="3586">
          <cell r="B3586" t="str">
            <v>Brummell,Cheryl</v>
          </cell>
          <cell r="C3586">
            <v>64.62</v>
          </cell>
        </row>
        <row r="3587">
          <cell r="B3587" t="str">
            <v>Prater,Jason D</v>
          </cell>
          <cell r="C3587">
            <v>46.19</v>
          </cell>
        </row>
        <row r="3588">
          <cell r="B3588" t="str">
            <v>Cowperthwaite,Milton H</v>
          </cell>
          <cell r="C3588">
            <v>42</v>
          </cell>
        </row>
        <row r="3589">
          <cell r="B3589" t="str">
            <v>Manders,Lynn L</v>
          </cell>
          <cell r="C3589">
            <v>39.28</v>
          </cell>
        </row>
        <row r="3590">
          <cell r="B3590" t="str">
            <v>Sloan,William</v>
          </cell>
          <cell r="C3590">
            <v>19.84</v>
          </cell>
        </row>
        <row r="3591">
          <cell r="B3591" t="str">
            <v>Jones,Janine T</v>
          </cell>
          <cell r="C3591">
            <v>49.5</v>
          </cell>
        </row>
        <row r="3592">
          <cell r="B3592" t="str">
            <v>Williamson,Carol A</v>
          </cell>
          <cell r="C3592">
            <v>57.7</v>
          </cell>
        </row>
        <row r="3593">
          <cell r="B3593" t="str">
            <v>Butler,Christopher L</v>
          </cell>
          <cell r="C3593">
            <v>25.95</v>
          </cell>
        </row>
        <row r="3594">
          <cell r="B3594" t="str">
            <v>Froehlich,Charles R</v>
          </cell>
          <cell r="C3594">
            <v>65.790000000000006</v>
          </cell>
        </row>
        <row r="3595">
          <cell r="B3595" t="str">
            <v>Hite,David</v>
          </cell>
          <cell r="C3595">
            <v>49</v>
          </cell>
        </row>
        <row r="3596">
          <cell r="B3596" t="str">
            <v>Combs,Brita C</v>
          </cell>
          <cell r="C3596">
            <v>32.869999999999997</v>
          </cell>
        </row>
        <row r="3597">
          <cell r="B3597" t="str">
            <v>Hall Jr.,David G</v>
          </cell>
          <cell r="C3597">
            <v>42.6</v>
          </cell>
        </row>
        <row r="3598">
          <cell r="B3598" t="str">
            <v>McGrath,William J</v>
          </cell>
          <cell r="C3598">
            <v>41.17</v>
          </cell>
        </row>
        <row r="3599">
          <cell r="B3599" t="str">
            <v>Naylor,Mary</v>
          </cell>
          <cell r="C3599">
            <v>76.849999999999994</v>
          </cell>
        </row>
        <row r="3600">
          <cell r="B3600" t="str">
            <v>Celestine,Troy K</v>
          </cell>
          <cell r="C3600">
            <v>21.01</v>
          </cell>
        </row>
        <row r="3601">
          <cell r="B3601" t="str">
            <v>Taylor,Keith M</v>
          </cell>
          <cell r="C3601">
            <v>64.7</v>
          </cell>
        </row>
        <row r="3602">
          <cell r="B3602" t="str">
            <v>Sturch,Kenneth L.</v>
          </cell>
          <cell r="C3602">
            <v>52.89</v>
          </cell>
        </row>
        <row r="3603">
          <cell r="B3603" t="str">
            <v>Larson,Cheryl A</v>
          </cell>
          <cell r="C3603">
            <v>32.700000000000003</v>
          </cell>
        </row>
        <row r="3604">
          <cell r="B3604" t="str">
            <v>Wilson,Kelly M</v>
          </cell>
          <cell r="C3604">
            <v>46.53</v>
          </cell>
        </row>
        <row r="3605">
          <cell r="B3605" t="str">
            <v>Delgado,Marcos B</v>
          </cell>
          <cell r="C3605">
            <v>17.399999999999999</v>
          </cell>
        </row>
        <row r="3606">
          <cell r="B3606" t="str">
            <v>Mitchell,Gary L</v>
          </cell>
          <cell r="C3606">
            <v>20.09</v>
          </cell>
        </row>
        <row r="3607">
          <cell r="B3607" t="str">
            <v>Jaunich,Joseph C</v>
          </cell>
          <cell r="C3607">
            <v>42.795999999999999</v>
          </cell>
        </row>
        <row r="3608">
          <cell r="B3608" t="str">
            <v>Thomas,Dwayne A</v>
          </cell>
          <cell r="C3608">
            <v>28.45</v>
          </cell>
        </row>
        <row r="3609">
          <cell r="B3609" t="str">
            <v>Budden,Kenneth A</v>
          </cell>
          <cell r="C3609">
            <v>56.9711</v>
          </cell>
        </row>
        <row r="3610">
          <cell r="B3610" t="str">
            <v>DiBari,Rebecca C</v>
          </cell>
          <cell r="C3610">
            <v>48.8</v>
          </cell>
        </row>
        <row r="3611">
          <cell r="B3611" t="str">
            <v>Freeman,Robert B</v>
          </cell>
          <cell r="C3611">
            <v>66.98</v>
          </cell>
        </row>
        <row r="3612">
          <cell r="B3612" t="str">
            <v>Hill,Earl D</v>
          </cell>
          <cell r="C3612">
            <v>15.27</v>
          </cell>
        </row>
        <row r="3613">
          <cell r="B3613" t="str">
            <v>Arrington,Tamara N.</v>
          </cell>
          <cell r="C3613">
            <v>41.8</v>
          </cell>
        </row>
        <row r="3614">
          <cell r="B3614" t="str">
            <v>Norris,Jerry G</v>
          </cell>
          <cell r="C3614">
            <v>50.65</v>
          </cell>
        </row>
        <row r="3615">
          <cell r="B3615" t="str">
            <v>Sylvester,Robert J</v>
          </cell>
          <cell r="C3615">
            <v>28.84</v>
          </cell>
        </row>
        <row r="3616">
          <cell r="B3616" t="str">
            <v>Hogan,William D</v>
          </cell>
          <cell r="C3616">
            <v>59.55</v>
          </cell>
        </row>
        <row r="3617">
          <cell r="B3617" t="str">
            <v>Terry,David L</v>
          </cell>
          <cell r="C3617">
            <v>42.06</v>
          </cell>
        </row>
        <row r="3618">
          <cell r="B3618" t="str">
            <v>Engle III,Albert</v>
          </cell>
          <cell r="C3618">
            <v>31.89</v>
          </cell>
        </row>
        <row r="3619">
          <cell r="B3619" t="str">
            <v>Roina,Christopher J</v>
          </cell>
          <cell r="C3619">
            <v>35.009500000000003</v>
          </cell>
        </row>
        <row r="3620">
          <cell r="B3620" t="str">
            <v>Duckworth,Desmon</v>
          </cell>
          <cell r="C3620">
            <v>16.02</v>
          </cell>
        </row>
        <row r="3621">
          <cell r="B3621" t="str">
            <v>Clark,Brandon S</v>
          </cell>
          <cell r="C3621">
            <v>64.95</v>
          </cell>
        </row>
        <row r="3622">
          <cell r="B3622" t="str">
            <v>Cirak,Gene E</v>
          </cell>
          <cell r="C3622">
            <v>49.95</v>
          </cell>
        </row>
        <row r="3623">
          <cell r="B3623" t="str">
            <v>Graf,Paul M</v>
          </cell>
          <cell r="C3623">
            <v>42.79</v>
          </cell>
        </row>
        <row r="3624">
          <cell r="B3624" t="str">
            <v>Holt,Frank B</v>
          </cell>
          <cell r="C3624">
            <v>49.08</v>
          </cell>
        </row>
        <row r="3625">
          <cell r="B3625" t="str">
            <v>Cappelli,Leo W</v>
          </cell>
          <cell r="C3625">
            <v>40.889499999999998</v>
          </cell>
        </row>
        <row r="3626">
          <cell r="B3626" t="str">
            <v>Lewis,Khalilah R</v>
          </cell>
          <cell r="C3626">
            <v>16.73</v>
          </cell>
        </row>
        <row r="3627">
          <cell r="B3627" t="str">
            <v>Nault,Patricia A</v>
          </cell>
          <cell r="C3627">
            <v>28.24</v>
          </cell>
        </row>
        <row r="3628">
          <cell r="B3628" t="str">
            <v>Spina,Veronica M</v>
          </cell>
          <cell r="C3628">
            <v>79.88</v>
          </cell>
        </row>
        <row r="3629">
          <cell r="B3629" t="str">
            <v>Page,David B</v>
          </cell>
          <cell r="C3629">
            <v>43.1</v>
          </cell>
        </row>
        <row r="3630">
          <cell r="B3630" t="str">
            <v>Eisold,Richard J</v>
          </cell>
          <cell r="C3630">
            <v>55.62</v>
          </cell>
        </row>
        <row r="3631">
          <cell r="B3631" t="str">
            <v>Jones,Cheree J</v>
          </cell>
          <cell r="C3631">
            <v>37.6</v>
          </cell>
        </row>
        <row r="3632">
          <cell r="B3632" t="str">
            <v>Sheffield,Kent J</v>
          </cell>
          <cell r="C3632">
            <v>24.5</v>
          </cell>
        </row>
        <row r="3633">
          <cell r="B3633" t="str">
            <v>Martin,Marielena</v>
          </cell>
          <cell r="C3633">
            <v>36</v>
          </cell>
        </row>
        <row r="3634">
          <cell r="B3634" t="str">
            <v>Smith,Brent C</v>
          </cell>
          <cell r="C3634">
            <v>22.5</v>
          </cell>
        </row>
        <row r="3635">
          <cell r="B3635" t="str">
            <v>Sampson,Mark M</v>
          </cell>
          <cell r="C3635">
            <v>24.21</v>
          </cell>
        </row>
        <row r="3636">
          <cell r="B3636" t="str">
            <v>Harris,Gary R.</v>
          </cell>
          <cell r="C3636">
            <v>68.489999999999995</v>
          </cell>
        </row>
        <row r="3637">
          <cell r="B3637" t="str">
            <v>Steere,David W.</v>
          </cell>
          <cell r="C3637">
            <v>68.02</v>
          </cell>
        </row>
        <row r="3638">
          <cell r="B3638" t="str">
            <v>Laber,Tracey L</v>
          </cell>
          <cell r="C3638">
            <v>36.909999999999997</v>
          </cell>
        </row>
        <row r="3639">
          <cell r="B3639" t="str">
            <v>Gaitan,John P.</v>
          </cell>
          <cell r="C3639">
            <v>58.05</v>
          </cell>
        </row>
        <row r="3640">
          <cell r="B3640" t="str">
            <v>Black,Thomas W</v>
          </cell>
          <cell r="C3640">
            <v>39.479999999999997</v>
          </cell>
        </row>
        <row r="3641">
          <cell r="B3641" t="str">
            <v>Brownyard,Blair</v>
          </cell>
          <cell r="C3641">
            <v>30.004000000000001</v>
          </cell>
        </row>
        <row r="3642">
          <cell r="B3642" t="str">
            <v>Cruvant,Christopher M</v>
          </cell>
          <cell r="C3642">
            <v>57.14</v>
          </cell>
        </row>
        <row r="3643">
          <cell r="B3643" t="str">
            <v>Hockett,Leilani M</v>
          </cell>
          <cell r="C3643">
            <v>24.74</v>
          </cell>
        </row>
        <row r="3644">
          <cell r="B3644" t="str">
            <v>Wolff,Herbert D</v>
          </cell>
          <cell r="C3644">
            <v>49.35</v>
          </cell>
        </row>
        <row r="3645">
          <cell r="B3645" t="str">
            <v>Root,David</v>
          </cell>
          <cell r="C3645">
            <v>30.5</v>
          </cell>
        </row>
        <row r="3646">
          <cell r="B3646" t="str">
            <v>Hairston Jr.,Walter E</v>
          </cell>
          <cell r="C3646">
            <v>28.53</v>
          </cell>
        </row>
        <row r="3647">
          <cell r="B3647" t="str">
            <v>Wimberly Jr.,Edward</v>
          </cell>
          <cell r="C3647">
            <v>23.03</v>
          </cell>
        </row>
        <row r="3648">
          <cell r="B3648" t="str">
            <v>Pringle,Judy A</v>
          </cell>
          <cell r="C3648">
            <v>53.335000000000001</v>
          </cell>
        </row>
        <row r="3649">
          <cell r="B3649" t="str">
            <v>Craft,Mary J</v>
          </cell>
          <cell r="C3649">
            <v>28.76</v>
          </cell>
        </row>
        <row r="3650">
          <cell r="B3650" t="str">
            <v>Royal,Alphonzo L</v>
          </cell>
          <cell r="C3650">
            <v>23.51</v>
          </cell>
        </row>
        <row r="3651">
          <cell r="B3651" t="str">
            <v>Fagan,Alexander J</v>
          </cell>
          <cell r="C3651">
            <v>34.700000000000003</v>
          </cell>
        </row>
        <row r="3652">
          <cell r="B3652" t="str">
            <v>Henderson,Darnell M</v>
          </cell>
          <cell r="C3652">
            <v>22.93</v>
          </cell>
        </row>
        <row r="3653">
          <cell r="B3653" t="str">
            <v>Slater,Jill L</v>
          </cell>
          <cell r="C3653">
            <v>50.956499999999998</v>
          </cell>
        </row>
        <row r="3654">
          <cell r="B3654" t="str">
            <v>Smith,Kenneth H</v>
          </cell>
          <cell r="C3654">
            <v>50.966099999999997</v>
          </cell>
        </row>
        <row r="3655">
          <cell r="B3655" t="str">
            <v>Rose,Kelly Wilson</v>
          </cell>
          <cell r="C3655">
            <v>27.78</v>
          </cell>
        </row>
        <row r="3656">
          <cell r="B3656" t="str">
            <v>Williamson,Theresa M</v>
          </cell>
          <cell r="C3656">
            <v>54.81</v>
          </cell>
        </row>
        <row r="3657">
          <cell r="B3657" t="str">
            <v>Salas,Eric T</v>
          </cell>
          <cell r="C3657">
            <v>30</v>
          </cell>
        </row>
        <row r="3658">
          <cell r="B3658" t="str">
            <v>Thordsen,Marvin L</v>
          </cell>
          <cell r="C3658">
            <v>45.96</v>
          </cell>
        </row>
        <row r="3659">
          <cell r="B3659" t="str">
            <v>Neal,Annie J</v>
          </cell>
          <cell r="C3659">
            <v>50.07</v>
          </cell>
        </row>
        <row r="3660">
          <cell r="B3660" t="str">
            <v>Zanders,Carol S</v>
          </cell>
          <cell r="C3660">
            <v>23</v>
          </cell>
        </row>
        <row r="3661">
          <cell r="B3661" t="str">
            <v>Vaughan,Kenneth J.</v>
          </cell>
          <cell r="C3661">
            <v>48.43</v>
          </cell>
        </row>
        <row r="3662">
          <cell r="B3662" t="str">
            <v>Skaar,Thomas P</v>
          </cell>
          <cell r="C3662">
            <v>42.54</v>
          </cell>
        </row>
        <row r="3663">
          <cell r="B3663" t="str">
            <v>McGhee,Lazarus D</v>
          </cell>
          <cell r="C3663">
            <v>18.5</v>
          </cell>
        </row>
        <row r="3664">
          <cell r="B3664" t="str">
            <v>Lewis,Elizabeth C</v>
          </cell>
          <cell r="C3664">
            <v>71.72</v>
          </cell>
        </row>
        <row r="3665">
          <cell r="B3665" t="str">
            <v>Cortes,Edson A</v>
          </cell>
          <cell r="C3665">
            <v>45.36</v>
          </cell>
        </row>
        <row r="3666">
          <cell r="B3666" t="str">
            <v>Jordan,Steven L</v>
          </cell>
          <cell r="C3666">
            <v>28.99</v>
          </cell>
        </row>
        <row r="3667">
          <cell r="B3667" t="str">
            <v>London,Korey D</v>
          </cell>
          <cell r="C3667">
            <v>31.79</v>
          </cell>
        </row>
        <row r="3668">
          <cell r="B3668" t="str">
            <v>Morton,Barbara W</v>
          </cell>
          <cell r="C3668">
            <v>70.84</v>
          </cell>
        </row>
        <row r="3669">
          <cell r="B3669" t="str">
            <v>Losa,Dennis</v>
          </cell>
          <cell r="C3669">
            <v>42.89</v>
          </cell>
        </row>
        <row r="3670">
          <cell r="B3670" t="str">
            <v>Rampey,Michelle D</v>
          </cell>
          <cell r="C3670">
            <v>40.386600000000001</v>
          </cell>
        </row>
        <row r="3671">
          <cell r="B3671" t="str">
            <v>George,Cynthia D</v>
          </cell>
          <cell r="C3671">
            <v>30.74</v>
          </cell>
        </row>
        <row r="3672">
          <cell r="B3672" t="str">
            <v>Hammer,Dennis L</v>
          </cell>
          <cell r="C3672">
            <v>57.48</v>
          </cell>
        </row>
        <row r="3673">
          <cell r="B3673" t="str">
            <v>Bushar,Ronald P</v>
          </cell>
          <cell r="C3673">
            <v>66.52</v>
          </cell>
        </row>
        <row r="3674">
          <cell r="B3674" t="str">
            <v>Kyung,Min Gon</v>
          </cell>
          <cell r="C3674">
            <v>33.28</v>
          </cell>
        </row>
        <row r="3675">
          <cell r="B3675" t="str">
            <v>Allis,Kevin F.</v>
          </cell>
          <cell r="C3675">
            <v>30.65</v>
          </cell>
        </row>
        <row r="3676">
          <cell r="B3676" t="str">
            <v>Mitchell,David J</v>
          </cell>
          <cell r="C3676">
            <v>39.86</v>
          </cell>
        </row>
        <row r="3677">
          <cell r="B3677" t="str">
            <v>Niskoch,John J</v>
          </cell>
          <cell r="C3677">
            <v>39.11</v>
          </cell>
        </row>
        <row r="3678">
          <cell r="B3678" t="str">
            <v>Tilton,Howard A.</v>
          </cell>
          <cell r="C3678">
            <v>68.010000000000005</v>
          </cell>
        </row>
        <row r="3679">
          <cell r="B3679" t="str">
            <v>Gordon,Rickey</v>
          </cell>
          <cell r="C3679">
            <v>42.49</v>
          </cell>
        </row>
        <row r="3680">
          <cell r="B3680" t="str">
            <v>Larsen,Lawrence M.</v>
          </cell>
          <cell r="C3680">
            <v>67.31</v>
          </cell>
        </row>
        <row r="3681">
          <cell r="B3681" t="str">
            <v>Lee,Christine L</v>
          </cell>
          <cell r="C3681">
            <v>34.229999999999997</v>
          </cell>
        </row>
        <row r="3682">
          <cell r="B3682" t="str">
            <v>Mead,Steve L</v>
          </cell>
          <cell r="C3682">
            <v>45.68</v>
          </cell>
        </row>
        <row r="3683">
          <cell r="B3683" t="str">
            <v>Hall,Tiffiny A</v>
          </cell>
          <cell r="C3683">
            <v>66.25</v>
          </cell>
        </row>
        <row r="3684">
          <cell r="B3684" t="str">
            <v>Gerken,Catherine M</v>
          </cell>
          <cell r="C3684">
            <v>29.04</v>
          </cell>
        </row>
        <row r="3685">
          <cell r="B3685" t="str">
            <v>Kirkpatrick,Scott S</v>
          </cell>
          <cell r="C3685">
            <v>74.52</v>
          </cell>
        </row>
        <row r="3686">
          <cell r="B3686" t="str">
            <v>Weaver,Carla Campbell</v>
          </cell>
          <cell r="C3686">
            <v>42.99</v>
          </cell>
        </row>
        <row r="3687">
          <cell r="B3687" t="str">
            <v>Suner Jr.,Rafael</v>
          </cell>
          <cell r="C3687">
            <v>34.42</v>
          </cell>
        </row>
        <row r="3688">
          <cell r="B3688" t="str">
            <v>Richards,Martin S</v>
          </cell>
          <cell r="C3688">
            <v>30.78</v>
          </cell>
        </row>
        <row r="3689">
          <cell r="B3689" t="str">
            <v>Quinn,James D</v>
          </cell>
          <cell r="C3689">
            <v>69.096599999999995</v>
          </cell>
        </row>
        <row r="3690">
          <cell r="B3690" t="str">
            <v>Pledger,Matthew R</v>
          </cell>
          <cell r="C3690">
            <v>33.520000000000003</v>
          </cell>
        </row>
        <row r="3691">
          <cell r="B3691" t="str">
            <v>Davis,Benjamin</v>
          </cell>
          <cell r="C3691">
            <v>19.7</v>
          </cell>
        </row>
        <row r="3692">
          <cell r="B3692" t="str">
            <v>Drummond,Barton W</v>
          </cell>
          <cell r="C3692">
            <v>30.936599999999999</v>
          </cell>
        </row>
        <row r="3693">
          <cell r="B3693" t="str">
            <v>Laiti,Aaron D.</v>
          </cell>
          <cell r="C3693">
            <v>64.38</v>
          </cell>
        </row>
        <row r="3694">
          <cell r="B3694" t="str">
            <v>Hughes,Thea L</v>
          </cell>
          <cell r="C3694">
            <v>53.94</v>
          </cell>
        </row>
        <row r="3695">
          <cell r="B3695" t="str">
            <v>Lammer,Matthew F</v>
          </cell>
          <cell r="C3695">
            <v>46</v>
          </cell>
        </row>
        <row r="3696">
          <cell r="B3696" t="str">
            <v>Shue,John A</v>
          </cell>
          <cell r="C3696">
            <v>71.45</v>
          </cell>
        </row>
        <row r="3697">
          <cell r="B3697" t="str">
            <v>Pestka,Steven J</v>
          </cell>
          <cell r="C3697">
            <v>43.66</v>
          </cell>
        </row>
        <row r="3698">
          <cell r="B3698" t="str">
            <v>Jolly,Frank</v>
          </cell>
          <cell r="C3698">
            <v>45.03</v>
          </cell>
        </row>
        <row r="3699">
          <cell r="B3699" t="str">
            <v>Hartell,Deena A</v>
          </cell>
          <cell r="C3699">
            <v>34.14</v>
          </cell>
        </row>
        <row r="3700">
          <cell r="B3700" t="str">
            <v>Ferrell,Mark T</v>
          </cell>
          <cell r="C3700">
            <v>20.420000000000002</v>
          </cell>
        </row>
        <row r="3701">
          <cell r="B3701" t="str">
            <v>Ashburn,Matthew W</v>
          </cell>
          <cell r="C3701">
            <v>48.08</v>
          </cell>
        </row>
        <row r="3702">
          <cell r="B3702" t="str">
            <v>Small,Derrell L</v>
          </cell>
          <cell r="C3702">
            <v>52.41</v>
          </cell>
        </row>
        <row r="3703">
          <cell r="B3703" t="str">
            <v>McKay,Daryl J.</v>
          </cell>
          <cell r="C3703">
            <v>45.52</v>
          </cell>
        </row>
        <row r="3704">
          <cell r="B3704" t="str">
            <v>Brock,Brian L</v>
          </cell>
          <cell r="C3704">
            <v>46.191600000000001</v>
          </cell>
        </row>
        <row r="3705">
          <cell r="B3705" t="str">
            <v>Austin Jr.,Haroll J</v>
          </cell>
          <cell r="C3705">
            <v>28.47</v>
          </cell>
        </row>
        <row r="3706">
          <cell r="B3706" t="str">
            <v>Souza,Sheldon Y</v>
          </cell>
          <cell r="C3706">
            <v>20.25</v>
          </cell>
        </row>
        <row r="3707">
          <cell r="B3707" t="str">
            <v>Nguyen,Nina N</v>
          </cell>
          <cell r="C3707">
            <v>38.576500000000003</v>
          </cell>
        </row>
        <row r="3708">
          <cell r="B3708" t="str">
            <v>Fujikawa,Walter K</v>
          </cell>
          <cell r="C3708">
            <v>35.74</v>
          </cell>
        </row>
        <row r="3709">
          <cell r="B3709" t="str">
            <v>Nuckles,John D</v>
          </cell>
          <cell r="C3709">
            <v>66.72</v>
          </cell>
        </row>
        <row r="3710">
          <cell r="B3710" t="str">
            <v>Llacuna,Marivic S</v>
          </cell>
          <cell r="C3710">
            <v>46.64</v>
          </cell>
        </row>
        <row r="3711">
          <cell r="B3711" t="str">
            <v>Voss,Thomas G</v>
          </cell>
          <cell r="C3711">
            <v>62.5</v>
          </cell>
        </row>
        <row r="3712">
          <cell r="B3712" t="str">
            <v>Mann,Sara B.</v>
          </cell>
          <cell r="C3712">
            <v>17.09</v>
          </cell>
        </row>
        <row r="3713">
          <cell r="B3713" t="str">
            <v>Williams,Leslie A</v>
          </cell>
          <cell r="C3713">
            <v>18.27</v>
          </cell>
        </row>
        <row r="3714">
          <cell r="B3714" t="str">
            <v>Castro,Nelson</v>
          </cell>
          <cell r="C3714">
            <v>21.46</v>
          </cell>
        </row>
        <row r="3715">
          <cell r="B3715" t="str">
            <v>Marshall,Lorne A</v>
          </cell>
          <cell r="C3715">
            <v>33.590000000000003</v>
          </cell>
        </row>
        <row r="3716">
          <cell r="B3716" t="str">
            <v>Tayar,Mirabelle</v>
          </cell>
          <cell r="C3716">
            <v>15.03</v>
          </cell>
        </row>
        <row r="3717">
          <cell r="B3717" t="str">
            <v>Contee,Maxine E</v>
          </cell>
          <cell r="C3717">
            <v>42.65</v>
          </cell>
        </row>
        <row r="3718">
          <cell r="B3718" t="str">
            <v>Anderson,Sonja A.</v>
          </cell>
          <cell r="C3718">
            <v>39.82</v>
          </cell>
        </row>
        <row r="3719">
          <cell r="B3719" t="str">
            <v>Troutman,Bruce A</v>
          </cell>
          <cell r="C3719">
            <v>36.04</v>
          </cell>
        </row>
        <row r="3720">
          <cell r="B3720" t="str">
            <v>Durkin,Mark W</v>
          </cell>
          <cell r="C3720">
            <v>42.86</v>
          </cell>
        </row>
        <row r="3721">
          <cell r="B3721" t="str">
            <v>Midling,Eugene A.</v>
          </cell>
          <cell r="C3721">
            <v>37.43</v>
          </cell>
        </row>
        <row r="3722">
          <cell r="B3722" t="str">
            <v>Rivera,Benjamin</v>
          </cell>
          <cell r="C3722">
            <v>20.260000000000002</v>
          </cell>
        </row>
        <row r="3723">
          <cell r="B3723" t="str">
            <v>Sponhower,Marlou R</v>
          </cell>
          <cell r="C3723">
            <v>22.5</v>
          </cell>
        </row>
        <row r="3724">
          <cell r="B3724" t="str">
            <v>Parrish,Charles A</v>
          </cell>
          <cell r="C3724">
            <v>25</v>
          </cell>
        </row>
        <row r="3725">
          <cell r="B3725" t="str">
            <v>Gomez,Cynthia Q</v>
          </cell>
          <cell r="C3725">
            <v>17.8</v>
          </cell>
        </row>
        <row r="3726">
          <cell r="B3726" t="str">
            <v>Herrmann,Maureen A</v>
          </cell>
          <cell r="C3726">
            <v>47.89</v>
          </cell>
        </row>
        <row r="3727">
          <cell r="B3727" t="str">
            <v>Nieto,Maria-Paloma</v>
          </cell>
          <cell r="C3727">
            <v>50.263100000000001</v>
          </cell>
        </row>
        <row r="3728">
          <cell r="B3728" t="str">
            <v>Drury,Michael Pace</v>
          </cell>
          <cell r="C3728">
            <v>57.43</v>
          </cell>
        </row>
        <row r="3729">
          <cell r="B3729" t="str">
            <v>Sbarbori,Joshua J</v>
          </cell>
          <cell r="C3729">
            <v>29.16</v>
          </cell>
        </row>
        <row r="3730">
          <cell r="B3730" t="str">
            <v>White,Christopher D</v>
          </cell>
          <cell r="C3730">
            <v>18.54</v>
          </cell>
        </row>
        <row r="3731">
          <cell r="B3731" t="str">
            <v>Cooper,Alvin L</v>
          </cell>
          <cell r="C3731">
            <v>20.399999999999999</v>
          </cell>
        </row>
        <row r="3732">
          <cell r="B3732" t="str">
            <v>Ball,Dester L</v>
          </cell>
          <cell r="C3732">
            <v>21.72</v>
          </cell>
        </row>
        <row r="3733">
          <cell r="B3733" t="str">
            <v>Nazari,Tamim A</v>
          </cell>
          <cell r="C3733">
            <v>51.15</v>
          </cell>
        </row>
        <row r="3734">
          <cell r="B3734" t="str">
            <v>Hatcher,Darryl P</v>
          </cell>
          <cell r="C3734">
            <v>34.29</v>
          </cell>
        </row>
        <row r="3735">
          <cell r="B3735" t="str">
            <v>Braun,Christopher G</v>
          </cell>
          <cell r="C3735">
            <v>78.73</v>
          </cell>
        </row>
        <row r="3736">
          <cell r="B3736" t="str">
            <v>Henderson,LaMartoe</v>
          </cell>
          <cell r="C3736">
            <v>21.72</v>
          </cell>
        </row>
        <row r="3737">
          <cell r="B3737" t="str">
            <v>Newman,Benjamin E.</v>
          </cell>
          <cell r="C3737">
            <v>52.89</v>
          </cell>
        </row>
        <row r="3738">
          <cell r="B3738" t="str">
            <v>Labonte,Brian A.</v>
          </cell>
          <cell r="C3738">
            <v>37.200000000000003</v>
          </cell>
        </row>
        <row r="3739">
          <cell r="B3739" t="str">
            <v>Jobe,Harold G</v>
          </cell>
          <cell r="C3739">
            <v>63.98</v>
          </cell>
        </row>
        <row r="3740">
          <cell r="B3740" t="str">
            <v>Belcher,Karen S</v>
          </cell>
          <cell r="C3740">
            <v>22.82</v>
          </cell>
        </row>
        <row r="3741">
          <cell r="B3741" t="str">
            <v>Ellis,Guy T</v>
          </cell>
          <cell r="C3741">
            <v>69.209999999999994</v>
          </cell>
        </row>
        <row r="3742">
          <cell r="B3742" t="str">
            <v>Rains,Gene L</v>
          </cell>
          <cell r="C3742">
            <v>27</v>
          </cell>
        </row>
        <row r="3743">
          <cell r="B3743" t="str">
            <v>Quevedo,Antonio</v>
          </cell>
          <cell r="C3743">
            <v>41.87</v>
          </cell>
        </row>
        <row r="3744">
          <cell r="B3744" t="str">
            <v>Parmenter,Albert E</v>
          </cell>
          <cell r="C3744">
            <v>45.68</v>
          </cell>
        </row>
        <row r="3745">
          <cell r="B3745" t="str">
            <v>Hudlin,George A</v>
          </cell>
          <cell r="C3745">
            <v>26.37</v>
          </cell>
        </row>
        <row r="3746">
          <cell r="B3746" t="str">
            <v>Aiken,Christopher P</v>
          </cell>
          <cell r="C3746">
            <v>72.88</v>
          </cell>
        </row>
        <row r="3747">
          <cell r="B3747" t="str">
            <v>Gordon,Matthew M</v>
          </cell>
          <cell r="C3747">
            <v>26.38</v>
          </cell>
        </row>
        <row r="3748">
          <cell r="B3748" t="str">
            <v>Gumabay,Kimberly M</v>
          </cell>
          <cell r="C3748">
            <v>78.37</v>
          </cell>
        </row>
        <row r="3749">
          <cell r="B3749" t="str">
            <v>Pizzullo,Michael</v>
          </cell>
          <cell r="C3749">
            <v>20.28</v>
          </cell>
        </row>
        <row r="3750">
          <cell r="B3750" t="str">
            <v>Harris,Troy N</v>
          </cell>
          <cell r="C3750">
            <v>30.98</v>
          </cell>
        </row>
        <row r="3751">
          <cell r="B3751" t="str">
            <v>Hegarty,Imane T</v>
          </cell>
          <cell r="C3751">
            <v>26.445</v>
          </cell>
        </row>
        <row r="3752">
          <cell r="B3752" t="str">
            <v>Smith,Kevin T</v>
          </cell>
          <cell r="C3752">
            <v>89.54</v>
          </cell>
        </row>
        <row r="3753">
          <cell r="B3753" t="str">
            <v>Salgado,Michael L.</v>
          </cell>
          <cell r="C3753">
            <v>46.75</v>
          </cell>
        </row>
        <row r="3754">
          <cell r="B3754" t="str">
            <v>Kelly,Reginald L.</v>
          </cell>
          <cell r="C3754">
            <v>47.78</v>
          </cell>
        </row>
        <row r="3755">
          <cell r="B3755" t="str">
            <v>Murphy,Joanne E.</v>
          </cell>
          <cell r="C3755">
            <v>47.36</v>
          </cell>
        </row>
        <row r="3756">
          <cell r="B3756" t="str">
            <v>Painter,Kevin F</v>
          </cell>
          <cell r="C3756">
            <v>35.85</v>
          </cell>
        </row>
        <row r="3757">
          <cell r="B3757" t="str">
            <v>Lawless,Timothy M.</v>
          </cell>
          <cell r="C3757">
            <v>60.33</v>
          </cell>
        </row>
        <row r="3758">
          <cell r="B3758" t="str">
            <v>Kelley,Beverly J.</v>
          </cell>
          <cell r="C3758">
            <v>36.6</v>
          </cell>
        </row>
        <row r="3759">
          <cell r="B3759" t="str">
            <v>Tucker,Mark T</v>
          </cell>
          <cell r="C3759">
            <v>47.85</v>
          </cell>
        </row>
        <row r="3760">
          <cell r="B3760" t="str">
            <v>Howell Sr,Samuel W.</v>
          </cell>
          <cell r="C3760">
            <v>67.5</v>
          </cell>
        </row>
        <row r="3761">
          <cell r="B3761" t="str">
            <v>Tran,Diane T.</v>
          </cell>
          <cell r="C3761">
            <v>35.17</v>
          </cell>
        </row>
        <row r="3762">
          <cell r="B3762" t="str">
            <v>Hunt,Sandra L</v>
          </cell>
          <cell r="C3762">
            <v>49.07</v>
          </cell>
        </row>
        <row r="3763">
          <cell r="B3763" t="str">
            <v>Perkins,Joyce H</v>
          </cell>
          <cell r="C3763">
            <v>62.8</v>
          </cell>
        </row>
        <row r="3764">
          <cell r="B3764" t="str">
            <v>Tucci,Larry R</v>
          </cell>
          <cell r="C3764">
            <v>62.5</v>
          </cell>
        </row>
        <row r="3765">
          <cell r="B3765" t="str">
            <v>LaFlair,Cynthia A.</v>
          </cell>
          <cell r="C3765">
            <v>24.39</v>
          </cell>
        </row>
        <row r="3766">
          <cell r="B3766" t="str">
            <v>Borders,Gwendolyn E</v>
          </cell>
          <cell r="C3766">
            <v>18.97</v>
          </cell>
        </row>
        <row r="3767">
          <cell r="B3767" t="str">
            <v>Shaffer,David J</v>
          </cell>
          <cell r="C3767">
            <v>85.276300000000006</v>
          </cell>
        </row>
        <row r="3768">
          <cell r="B3768" t="str">
            <v>Gillim,Shirley J</v>
          </cell>
          <cell r="C3768">
            <v>21.4038</v>
          </cell>
        </row>
        <row r="3769">
          <cell r="B3769" t="str">
            <v>Bryant-Brown,Angela L</v>
          </cell>
          <cell r="C3769">
            <v>31.16</v>
          </cell>
        </row>
        <row r="3770">
          <cell r="B3770" t="str">
            <v>Ridge,Christopher P</v>
          </cell>
          <cell r="C3770">
            <v>40.869999999999997</v>
          </cell>
        </row>
        <row r="3771">
          <cell r="B3771" t="str">
            <v>Maduro,Walden J</v>
          </cell>
          <cell r="C3771">
            <v>19.91</v>
          </cell>
        </row>
        <row r="3772">
          <cell r="B3772" t="str">
            <v>Denicola,Faust M</v>
          </cell>
          <cell r="C3772">
            <v>50.959600000000002</v>
          </cell>
        </row>
        <row r="3773">
          <cell r="B3773" t="str">
            <v>Hoots,Todd F.</v>
          </cell>
          <cell r="C3773">
            <v>50.38</v>
          </cell>
        </row>
        <row r="3774">
          <cell r="B3774" t="str">
            <v>Hughes,Andrew S.</v>
          </cell>
          <cell r="C3774">
            <v>45.25</v>
          </cell>
        </row>
        <row r="3775">
          <cell r="B3775" t="str">
            <v>Busch,Christopher A</v>
          </cell>
          <cell r="C3775">
            <v>26.11</v>
          </cell>
        </row>
        <row r="3776">
          <cell r="B3776" t="str">
            <v>McThune,Crystal G</v>
          </cell>
          <cell r="C3776">
            <v>19.059999999999999</v>
          </cell>
        </row>
        <row r="3777">
          <cell r="B3777" t="str">
            <v>Aguilar,Robert R.</v>
          </cell>
          <cell r="C3777">
            <v>38.159999999999997</v>
          </cell>
        </row>
        <row r="3778">
          <cell r="B3778" t="str">
            <v>Schumer,Raymond T.</v>
          </cell>
          <cell r="C3778">
            <v>43.33</v>
          </cell>
        </row>
        <row r="3779">
          <cell r="B3779" t="str">
            <v>Gibbs,Larry W</v>
          </cell>
          <cell r="C3779">
            <v>57.54</v>
          </cell>
        </row>
        <row r="3780">
          <cell r="B3780" t="str">
            <v>Pitts,Michael</v>
          </cell>
          <cell r="C3780">
            <v>30.45</v>
          </cell>
        </row>
        <row r="3781">
          <cell r="B3781" t="str">
            <v>McQuiller,Carl R</v>
          </cell>
          <cell r="C3781">
            <v>16.190000000000001</v>
          </cell>
        </row>
        <row r="3782">
          <cell r="B3782" t="str">
            <v>Nwagu,Anyim C</v>
          </cell>
          <cell r="C3782">
            <v>36.538499999999999</v>
          </cell>
        </row>
        <row r="3783">
          <cell r="B3783" t="str">
            <v>McClintock,Marva L</v>
          </cell>
          <cell r="C3783">
            <v>25.95</v>
          </cell>
        </row>
        <row r="3784">
          <cell r="B3784" t="str">
            <v>Moyers,Kevin S</v>
          </cell>
          <cell r="C3784">
            <v>24</v>
          </cell>
        </row>
        <row r="3785">
          <cell r="B3785" t="str">
            <v>Richardson,Casey K</v>
          </cell>
          <cell r="C3785">
            <v>20.440000000000001</v>
          </cell>
        </row>
        <row r="3786">
          <cell r="B3786" t="str">
            <v>Jewell,Joshua P</v>
          </cell>
          <cell r="C3786">
            <v>23.18</v>
          </cell>
        </row>
        <row r="3787">
          <cell r="B3787" t="str">
            <v>Koch,Kathleen</v>
          </cell>
          <cell r="C3787">
            <v>51.74</v>
          </cell>
        </row>
        <row r="3788">
          <cell r="B3788" t="str">
            <v>Paul,Michael E</v>
          </cell>
          <cell r="C3788">
            <v>78.44</v>
          </cell>
        </row>
        <row r="3789">
          <cell r="B3789" t="str">
            <v>Elstad,John P</v>
          </cell>
          <cell r="C3789">
            <v>54.99</v>
          </cell>
        </row>
        <row r="3790">
          <cell r="B3790" t="str">
            <v>Lyttleton,James A</v>
          </cell>
          <cell r="C3790">
            <v>53.438499999999998</v>
          </cell>
        </row>
        <row r="3791">
          <cell r="B3791" t="str">
            <v>Belcher,Kenneth L</v>
          </cell>
          <cell r="C3791">
            <v>19.43</v>
          </cell>
        </row>
        <row r="3792">
          <cell r="B3792" t="str">
            <v>Patton,Michael D</v>
          </cell>
          <cell r="C3792">
            <v>25.18</v>
          </cell>
        </row>
        <row r="3793">
          <cell r="B3793" t="str">
            <v>Vidak,Charles J</v>
          </cell>
          <cell r="C3793">
            <v>29</v>
          </cell>
        </row>
        <row r="3794">
          <cell r="B3794" t="str">
            <v>Smith,Aaron D</v>
          </cell>
          <cell r="C3794">
            <v>43.83</v>
          </cell>
        </row>
        <row r="3795">
          <cell r="B3795" t="str">
            <v>Thorn,Kerry E</v>
          </cell>
          <cell r="C3795">
            <v>20.25</v>
          </cell>
        </row>
        <row r="3796">
          <cell r="B3796" t="str">
            <v>Puttock,Robert E</v>
          </cell>
          <cell r="C3796">
            <v>67.19</v>
          </cell>
        </row>
        <row r="3797">
          <cell r="B3797" t="str">
            <v>Natividad,Eduardo</v>
          </cell>
          <cell r="C3797">
            <v>33.119999999999997</v>
          </cell>
        </row>
        <row r="3798">
          <cell r="B3798" t="str">
            <v>Lee,Stephanie Auer</v>
          </cell>
          <cell r="C3798">
            <v>34.9</v>
          </cell>
        </row>
        <row r="3799">
          <cell r="B3799" t="str">
            <v>Parks,Gregory S</v>
          </cell>
          <cell r="C3799">
            <v>68.97</v>
          </cell>
        </row>
        <row r="3800">
          <cell r="B3800" t="str">
            <v>Daniels,Bunni L</v>
          </cell>
          <cell r="C3800">
            <v>34.369999999999997</v>
          </cell>
        </row>
        <row r="3801">
          <cell r="B3801" t="str">
            <v>Eck,David P</v>
          </cell>
          <cell r="C3801">
            <v>54.73</v>
          </cell>
        </row>
        <row r="3802">
          <cell r="B3802" t="str">
            <v>Brown,Max R.</v>
          </cell>
          <cell r="C3802">
            <v>25.25</v>
          </cell>
        </row>
        <row r="3803">
          <cell r="B3803" t="str">
            <v>Sanchez,Javier</v>
          </cell>
          <cell r="C3803">
            <v>15.92</v>
          </cell>
        </row>
        <row r="3804">
          <cell r="B3804" t="str">
            <v>Ferguson,Alfonso</v>
          </cell>
          <cell r="C3804">
            <v>23.02</v>
          </cell>
        </row>
        <row r="3805">
          <cell r="B3805" t="str">
            <v>McVey,Daniel L.</v>
          </cell>
          <cell r="C3805">
            <v>41.65</v>
          </cell>
        </row>
        <row r="3806">
          <cell r="B3806" t="str">
            <v>Metz,Pamela A</v>
          </cell>
          <cell r="C3806">
            <v>41.97</v>
          </cell>
        </row>
        <row r="3807">
          <cell r="B3807" t="str">
            <v>Brant,William S</v>
          </cell>
          <cell r="C3807">
            <v>26.8</v>
          </cell>
        </row>
        <row r="3808">
          <cell r="B3808" t="str">
            <v>Christianson,Caitlin A</v>
          </cell>
          <cell r="C3808">
            <v>58.77</v>
          </cell>
        </row>
        <row r="3809">
          <cell r="B3809" t="str">
            <v>Smith,Candice C</v>
          </cell>
          <cell r="C3809">
            <v>25.49</v>
          </cell>
        </row>
        <row r="3810">
          <cell r="B3810" t="str">
            <v>Bailey,C Russell</v>
          </cell>
          <cell r="C3810">
            <v>55.56</v>
          </cell>
        </row>
        <row r="3811">
          <cell r="B3811" t="str">
            <v>Im,Yong T</v>
          </cell>
          <cell r="C3811">
            <v>26.2</v>
          </cell>
        </row>
        <row r="3812">
          <cell r="B3812" t="str">
            <v>Presler,Daniel J</v>
          </cell>
          <cell r="C3812">
            <v>46.64</v>
          </cell>
        </row>
        <row r="3813">
          <cell r="B3813" t="str">
            <v>D'Avolio,Anthony N</v>
          </cell>
          <cell r="C3813">
            <v>46.16</v>
          </cell>
        </row>
        <row r="3814">
          <cell r="B3814" t="str">
            <v>Pettis,Stephanie D.</v>
          </cell>
          <cell r="C3814">
            <v>16.010000000000002</v>
          </cell>
        </row>
        <row r="3815">
          <cell r="B3815" t="str">
            <v>Stanfield,Hilman B.</v>
          </cell>
          <cell r="C3815">
            <v>55.29</v>
          </cell>
        </row>
        <row r="3816">
          <cell r="B3816" t="str">
            <v>Taitt,Quincy A</v>
          </cell>
          <cell r="C3816">
            <v>50.42</v>
          </cell>
        </row>
        <row r="3817">
          <cell r="B3817" t="str">
            <v>Corwin,Troy D</v>
          </cell>
          <cell r="C3817">
            <v>46.93</v>
          </cell>
        </row>
        <row r="3818">
          <cell r="B3818" t="str">
            <v>Kalman,David J.</v>
          </cell>
          <cell r="C3818">
            <v>50.29</v>
          </cell>
        </row>
        <row r="3819">
          <cell r="B3819" t="str">
            <v>Hill,William H</v>
          </cell>
          <cell r="C3819">
            <v>43.807600000000001</v>
          </cell>
        </row>
        <row r="3820">
          <cell r="B3820" t="str">
            <v>Morris,Thomas W</v>
          </cell>
          <cell r="C3820">
            <v>37.6</v>
          </cell>
        </row>
        <row r="3821">
          <cell r="B3821" t="str">
            <v>Harte,Darren R.</v>
          </cell>
          <cell r="C3821">
            <v>27.16</v>
          </cell>
        </row>
        <row r="3822">
          <cell r="B3822" t="str">
            <v>Brownell,Steve M.</v>
          </cell>
          <cell r="C3822">
            <v>25.46</v>
          </cell>
        </row>
        <row r="3823">
          <cell r="B3823" t="str">
            <v>Birsner,Candice M</v>
          </cell>
          <cell r="C3823">
            <v>39.380000000000003</v>
          </cell>
        </row>
        <row r="3824">
          <cell r="B3824" t="str">
            <v>Fairbrother,Amanda J</v>
          </cell>
          <cell r="C3824">
            <v>39.549999999999997</v>
          </cell>
        </row>
        <row r="3825">
          <cell r="B3825" t="str">
            <v>Dhakal,Pramod</v>
          </cell>
          <cell r="C3825">
            <v>46.02</v>
          </cell>
        </row>
        <row r="3826">
          <cell r="B3826" t="str">
            <v>Balades,Robert R</v>
          </cell>
          <cell r="C3826">
            <v>22.5</v>
          </cell>
        </row>
        <row r="3827">
          <cell r="B3827" t="str">
            <v>Thompson,Lewis</v>
          </cell>
          <cell r="C3827">
            <v>21.42</v>
          </cell>
        </row>
        <row r="3828">
          <cell r="B3828" t="str">
            <v>Hall,James K</v>
          </cell>
          <cell r="C3828">
            <v>19.29</v>
          </cell>
        </row>
        <row r="3829">
          <cell r="B3829" t="str">
            <v>Litman,Scott L</v>
          </cell>
          <cell r="C3829">
            <v>50.96</v>
          </cell>
        </row>
        <row r="3830">
          <cell r="B3830" t="str">
            <v>Maldonado Gomez,Rosa Ana</v>
          </cell>
          <cell r="C3830">
            <v>17.75</v>
          </cell>
        </row>
        <row r="3831">
          <cell r="B3831" t="str">
            <v>Rupp,Philip D</v>
          </cell>
          <cell r="C3831">
            <v>27.79</v>
          </cell>
        </row>
        <row r="3832">
          <cell r="B3832" t="str">
            <v>Ochotorena,Domingo R</v>
          </cell>
          <cell r="C3832">
            <v>61.69</v>
          </cell>
        </row>
        <row r="3833">
          <cell r="B3833" t="str">
            <v>Windle,Amanda J</v>
          </cell>
          <cell r="C3833">
            <v>49.16</v>
          </cell>
        </row>
        <row r="3834">
          <cell r="B3834" t="str">
            <v>Patenaude,Michael P.</v>
          </cell>
          <cell r="C3834">
            <v>56.68</v>
          </cell>
        </row>
        <row r="3835">
          <cell r="B3835" t="str">
            <v>Klamborowski,Michael R</v>
          </cell>
          <cell r="C3835">
            <v>21.63</v>
          </cell>
        </row>
        <row r="3836">
          <cell r="B3836" t="str">
            <v>Davis,Wilbert L</v>
          </cell>
          <cell r="C3836">
            <v>19.7</v>
          </cell>
        </row>
        <row r="3837">
          <cell r="B3837" t="str">
            <v>Malatesta,Matthew</v>
          </cell>
          <cell r="C3837">
            <v>63.1</v>
          </cell>
        </row>
        <row r="3838">
          <cell r="B3838" t="str">
            <v>Hersh,Robert</v>
          </cell>
          <cell r="C3838">
            <v>44.1</v>
          </cell>
        </row>
        <row r="3839">
          <cell r="B3839" t="str">
            <v>Grant,Johnny O.</v>
          </cell>
          <cell r="C3839">
            <v>64.38</v>
          </cell>
        </row>
        <row r="3840">
          <cell r="B3840" t="str">
            <v>Knieriem,Guy R.</v>
          </cell>
          <cell r="C3840">
            <v>55.8</v>
          </cell>
        </row>
        <row r="3841">
          <cell r="B3841" t="str">
            <v>Pinaud,Joseph W</v>
          </cell>
          <cell r="C3841">
            <v>20</v>
          </cell>
        </row>
        <row r="3842">
          <cell r="B3842" t="str">
            <v>Thurmond,Jason E</v>
          </cell>
          <cell r="C3842">
            <v>18.54</v>
          </cell>
        </row>
        <row r="3843">
          <cell r="B3843" t="str">
            <v>Hassan,Craig E.</v>
          </cell>
          <cell r="C3843">
            <v>57.5</v>
          </cell>
        </row>
        <row r="3844">
          <cell r="B3844" t="str">
            <v>Fernandes,Francis F</v>
          </cell>
          <cell r="C3844">
            <v>26.99</v>
          </cell>
        </row>
        <row r="3845">
          <cell r="B3845" t="str">
            <v>Monroe,Jennifer M</v>
          </cell>
          <cell r="C3845">
            <v>34.33</v>
          </cell>
        </row>
        <row r="3846">
          <cell r="B3846" t="str">
            <v>Khan,Abdul R</v>
          </cell>
          <cell r="C3846">
            <v>27</v>
          </cell>
        </row>
        <row r="3847">
          <cell r="B3847" t="str">
            <v>Proctor,Tiwanda O</v>
          </cell>
          <cell r="C3847">
            <v>16.54</v>
          </cell>
        </row>
        <row r="3848">
          <cell r="B3848" t="str">
            <v>Philips,David J</v>
          </cell>
          <cell r="C3848">
            <v>34.51</v>
          </cell>
        </row>
        <row r="3849">
          <cell r="B3849" t="str">
            <v>Clayton,Sean T</v>
          </cell>
          <cell r="C3849">
            <v>19.38</v>
          </cell>
        </row>
        <row r="3850">
          <cell r="B3850" t="str">
            <v>Jordan,Jaime F</v>
          </cell>
          <cell r="C3850">
            <v>17.55</v>
          </cell>
        </row>
        <row r="3851">
          <cell r="B3851" t="str">
            <v>Rossi,David E</v>
          </cell>
          <cell r="C3851">
            <v>56.715299999999999</v>
          </cell>
        </row>
        <row r="3852">
          <cell r="B3852" t="str">
            <v>Truong,John T</v>
          </cell>
          <cell r="C3852">
            <v>45.34</v>
          </cell>
        </row>
        <row r="3853">
          <cell r="B3853" t="str">
            <v>Campbell,John N</v>
          </cell>
          <cell r="C3853">
            <v>59.546399999999998</v>
          </cell>
        </row>
        <row r="3854">
          <cell r="B3854" t="str">
            <v>Davis,David M</v>
          </cell>
          <cell r="C3854">
            <v>23.88</v>
          </cell>
        </row>
        <row r="3855">
          <cell r="B3855" t="str">
            <v>Shults,Robert D</v>
          </cell>
          <cell r="C3855">
            <v>62.4</v>
          </cell>
        </row>
        <row r="3856">
          <cell r="B3856" t="str">
            <v>Thompson,Thomas</v>
          </cell>
          <cell r="C3856">
            <v>57.9</v>
          </cell>
        </row>
        <row r="3857">
          <cell r="B3857" t="str">
            <v>Gimotea,Willard Roy G</v>
          </cell>
          <cell r="C3857">
            <v>22.7</v>
          </cell>
        </row>
        <row r="3858">
          <cell r="B3858" t="str">
            <v>Burnett,David W</v>
          </cell>
          <cell r="C3858">
            <v>18.260000000000002</v>
          </cell>
        </row>
        <row r="3859">
          <cell r="B3859" t="str">
            <v>Van Buren,Michael C</v>
          </cell>
          <cell r="C3859">
            <v>25.29</v>
          </cell>
        </row>
        <row r="3860">
          <cell r="B3860" t="str">
            <v>Gonyo,Megan E</v>
          </cell>
          <cell r="C3860">
            <v>20.64</v>
          </cell>
        </row>
        <row r="3861">
          <cell r="B3861" t="str">
            <v>Daniel,Robert L</v>
          </cell>
          <cell r="C3861">
            <v>19.2</v>
          </cell>
        </row>
        <row r="3862">
          <cell r="B3862" t="str">
            <v>Carrington II,Pierre L</v>
          </cell>
          <cell r="C3862">
            <v>38.47</v>
          </cell>
        </row>
        <row r="3863">
          <cell r="B3863" t="str">
            <v>Shavers,Vincent R</v>
          </cell>
          <cell r="C3863">
            <v>58.67</v>
          </cell>
        </row>
        <row r="3864">
          <cell r="B3864" t="str">
            <v>Dina,Samuel A</v>
          </cell>
          <cell r="C3864">
            <v>24.68</v>
          </cell>
        </row>
        <row r="3865">
          <cell r="B3865" t="str">
            <v>Freeman,Michael B</v>
          </cell>
          <cell r="C3865">
            <v>59.43</v>
          </cell>
        </row>
        <row r="3866">
          <cell r="B3866" t="str">
            <v>McCarthy,Richard P</v>
          </cell>
          <cell r="C3866">
            <v>23</v>
          </cell>
        </row>
        <row r="3867">
          <cell r="B3867" t="str">
            <v>Sicoli,Michael J</v>
          </cell>
          <cell r="C3867">
            <v>24.14</v>
          </cell>
        </row>
        <row r="3868">
          <cell r="B3868" t="str">
            <v>Huddleston,Bonnie L</v>
          </cell>
          <cell r="C3868">
            <v>20.11</v>
          </cell>
        </row>
        <row r="3869">
          <cell r="B3869" t="str">
            <v>Lewis,Paul M</v>
          </cell>
          <cell r="C3869">
            <v>68.44</v>
          </cell>
        </row>
        <row r="3870">
          <cell r="B3870" t="str">
            <v>Tatum,Jesse L</v>
          </cell>
          <cell r="C3870">
            <v>19.82</v>
          </cell>
        </row>
        <row r="3871">
          <cell r="B3871" t="str">
            <v>Parker Jr.,Bill W</v>
          </cell>
          <cell r="C3871">
            <v>22.66</v>
          </cell>
        </row>
        <row r="3872">
          <cell r="B3872" t="str">
            <v>Philbrick,Mandy L</v>
          </cell>
          <cell r="C3872">
            <v>21</v>
          </cell>
        </row>
        <row r="3873">
          <cell r="B3873" t="str">
            <v>Hopkins Jr.,Johnny F</v>
          </cell>
          <cell r="C3873">
            <v>21.17</v>
          </cell>
        </row>
        <row r="3874">
          <cell r="B3874" t="str">
            <v>Butler,Robert K</v>
          </cell>
          <cell r="C3874">
            <v>38.56</v>
          </cell>
        </row>
        <row r="3875">
          <cell r="B3875" t="str">
            <v>Johnson,Philip M</v>
          </cell>
          <cell r="C3875">
            <v>37.645600000000002</v>
          </cell>
        </row>
        <row r="3876">
          <cell r="B3876" t="str">
            <v>O'Daniel,Lawrence A</v>
          </cell>
          <cell r="C3876">
            <v>44.86</v>
          </cell>
        </row>
        <row r="3877">
          <cell r="B3877" t="str">
            <v>Smith,Jennifer M</v>
          </cell>
          <cell r="C3877">
            <v>29.15</v>
          </cell>
        </row>
        <row r="3878">
          <cell r="B3878" t="str">
            <v>Hornung,Philip L</v>
          </cell>
          <cell r="C3878">
            <v>36.57</v>
          </cell>
        </row>
        <row r="3879">
          <cell r="B3879" t="str">
            <v>Morgan IV,Nathaniel L</v>
          </cell>
          <cell r="C3879">
            <v>21.64</v>
          </cell>
        </row>
        <row r="3880">
          <cell r="B3880" t="str">
            <v>Booker,Martinez A</v>
          </cell>
          <cell r="C3880">
            <v>21.14</v>
          </cell>
        </row>
        <row r="3881">
          <cell r="B3881" t="str">
            <v>Courtright,Kevin J</v>
          </cell>
          <cell r="C3881">
            <v>42.85</v>
          </cell>
        </row>
        <row r="3882">
          <cell r="B3882" t="str">
            <v>Vavra,Steven T</v>
          </cell>
          <cell r="C3882">
            <v>55.29</v>
          </cell>
        </row>
        <row r="3883">
          <cell r="B3883" t="str">
            <v>Topper,Dawn O</v>
          </cell>
          <cell r="C3883">
            <v>46.49</v>
          </cell>
        </row>
        <row r="3884">
          <cell r="B3884" t="str">
            <v>Fletcher,Lisa M</v>
          </cell>
          <cell r="C3884">
            <v>23.11</v>
          </cell>
        </row>
        <row r="3885">
          <cell r="B3885" t="str">
            <v>Evans III,Clyde</v>
          </cell>
          <cell r="C3885">
            <v>39.47</v>
          </cell>
        </row>
        <row r="3886">
          <cell r="B3886" t="str">
            <v>Diaz,Chrystal S</v>
          </cell>
          <cell r="C3886">
            <v>16.149999999999999</v>
          </cell>
        </row>
        <row r="3887">
          <cell r="B3887" t="str">
            <v>Correa-Vicente,Victor</v>
          </cell>
          <cell r="C3887">
            <v>37.1</v>
          </cell>
        </row>
        <row r="3888">
          <cell r="B3888" t="str">
            <v>Whitney,Bruce M</v>
          </cell>
          <cell r="C3888">
            <v>65.73</v>
          </cell>
        </row>
        <row r="3889">
          <cell r="B3889" t="str">
            <v>Schroeder,Robert A</v>
          </cell>
          <cell r="C3889">
            <v>22.15</v>
          </cell>
        </row>
        <row r="3890">
          <cell r="B3890" t="str">
            <v>Mcgoff,Anna L</v>
          </cell>
          <cell r="C3890">
            <v>67.040000000000006</v>
          </cell>
        </row>
        <row r="3891">
          <cell r="B3891" t="str">
            <v>Palma,Karyn S</v>
          </cell>
          <cell r="C3891">
            <v>40.659999999999997</v>
          </cell>
        </row>
        <row r="3892">
          <cell r="B3892" t="str">
            <v>Lucas,Richard J</v>
          </cell>
          <cell r="C3892">
            <v>56.36</v>
          </cell>
        </row>
        <row r="3893">
          <cell r="B3893" t="str">
            <v>Hsu,Yao Wen</v>
          </cell>
          <cell r="C3893">
            <v>21.6</v>
          </cell>
        </row>
        <row r="3894">
          <cell r="B3894" t="str">
            <v>Lemm,John E</v>
          </cell>
          <cell r="C3894">
            <v>66.86</v>
          </cell>
        </row>
        <row r="3895">
          <cell r="B3895" t="str">
            <v>Brodie,Erin C</v>
          </cell>
          <cell r="C3895">
            <v>19.149999999999999</v>
          </cell>
        </row>
        <row r="3896">
          <cell r="B3896" t="str">
            <v>Arias,Jorge</v>
          </cell>
          <cell r="C3896">
            <v>62.9</v>
          </cell>
        </row>
        <row r="3897">
          <cell r="B3897" t="str">
            <v>Radford,Bruce W</v>
          </cell>
          <cell r="C3897">
            <v>45.2532</v>
          </cell>
        </row>
        <row r="3898">
          <cell r="B3898" t="str">
            <v>Neary,John J</v>
          </cell>
          <cell r="C3898">
            <v>88.29</v>
          </cell>
        </row>
        <row r="3899">
          <cell r="B3899" t="str">
            <v>Thompson,Cheryl A</v>
          </cell>
          <cell r="C3899">
            <v>28.17</v>
          </cell>
        </row>
        <row r="3900">
          <cell r="B3900" t="str">
            <v>Pleta,Lee</v>
          </cell>
          <cell r="C3900">
            <v>38.71</v>
          </cell>
        </row>
        <row r="3901">
          <cell r="B3901" t="str">
            <v>Smith Jr.,Henry A</v>
          </cell>
          <cell r="C3901">
            <v>20.64</v>
          </cell>
        </row>
        <row r="3902">
          <cell r="B3902" t="str">
            <v>Guan,Xiaoyun</v>
          </cell>
          <cell r="C3902">
            <v>40.869999999999997</v>
          </cell>
        </row>
        <row r="3903">
          <cell r="B3903" t="str">
            <v>Madigan,Gerard J</v>
          </cell>
          <cell r="C3903">
            <v>62.835799999999999</v>
          </cell>
        </row>
        <row r="3904">
          <cell r="B3904" t="str">
            <v>Knudson,Michelle A</v>
          </cell>
          <cell r="C3904">
            <v>23.03</v>
          </cell>
        </row>
        <row r="3905">
          <cell r="B3905" t="str">
            <v>Lindgren,Christina M</v>
          </cell>
          <cell r="C3905">
            <v>12.85</v>
          </cell>
        </row>
        <row r="3906">
          <cell r="B3906" t="str">
            <v>Apodaca,Linda C</v>
          </cell>
          <cell r="C3906">
            <v>43.98</v>
          </cell>
        </row>
        <row r="3907">
          <cell r="B3907" t="str">
            <v>O'Neal,Terri L</v>
          </cell>
          <cell r="C3907">
            <v>18.03</v>
          </cell>
        </row>
        <row r="3908">
          <cell r="B3908" t="str">
            <v>Pinckney,Victor C</v>
          </cell>
          <cell r="C3908">
            <v>30.44</v>
          </cell>
        </row>
        <row r="3909">
          <cell r="B3909" t="str">
            <v>Woolhouse,John T</v>
          </cell>
          <cell r="C3909">
            <v>52.2622</v>
          </cell>
        </row>
        <row r="3910">
          <cell r="B3910" t="str">
            <v>Clubb,Samuel L</v>
          </cell>
          <cell r="C3910">
            <v>27.23</v>
          </cell>
        </row>
        <row r="3911">
          <cell r="B3911" t="str">
            <v>Easterbrooks,James P</v>
          </cell>
          <cell r="C3911">
            <v>46.833199999999998</v>
          </cell>
        </row>
        <row r="3912">
          <cell r="B3912" t="str">
            <v>Sweeney,Timothy J</v>
          </cell>
          <cell r="C3912">
            <v>75.072800000000001</v>
          </cell>
        </row>
        <row r="3913">
          <cell r="B3913" t="str">
            <v>Pickens,David L</v>
          </cell>
          <cell r="C3913">
            <v>23.66</v>
          </cell>
        </row>
        <row r="3914">
          <cell r="B3914" t="str">
            <v>Bukowski II,Edward F</v>
          </cell>
          <cell r="C3914">
            <v>34.67</v>
          </cell>
        </row>
        <row r="3915">
          <cell r="B3915" t="str">
            <v>Caldwell Sr.,Franklin M</v>
          </cell>
          <cell r="C3915">
            <v>58.4</v>
          </cell>
        </row>
        <row r="3916">
          <cell r="B3916" t="str">
            <v>Lovasz,Gabriel S</v>
          </cell>
          <cell r="C3916">
            <v>37.631999999999998</v>
          </cell>
        </row>
        <row r="3917">
          <cell r="B3917" t="str">
            <v>Jenkins,Jack L</v>
          </cell>
          <cell r="C3917">
            <v>22.5</v>
          </cell>
        </row>
        <row r="3918">
          <cell r="B3918" t="str">
            <v>Kaehler,Theodore J</v>
          </cell>
          <cell r="C3918">
            <v>56.710500000000003</v>
          </cell>
        </row>
        <row r="3919">
          <cell r="B3919" t="str">
            <v>Harmon,David W</v>
          </cell>
          <cell r="C3919">
            <v>60.7637</v>
          </cell>
        </row>
        <row r="3920">
          <cell r="B3920" t="str">
            <v>Craft,Angela N</v>
          </cell>
          <cell r="C3920">
            <v>29.14</v>
          </cell>
        </row>
        <row r="3921">
          <cell r="B3921" t="str">
            <v>Reed,Darrell J</v>
          </cell>
          <cell r="C3921">
            <v>25.83</v>
          </cell>
        </row>
        <row r="3922">
          <cell r="B3922" t="str">
            <v>Knight Jr.,Edgar R</v>
          </cell>
          <cell r="C3922">
            <v>20.39</v>
          </cell>
        </row>
        <row r="3923">
          <cell r="B3923" t="str">
            <v>Welsh,Ashley L</v>
          </cell>
          <cell r="C3923">
            <v>33.380000000000003</v>
          </cell>
        </row>
        <row r="3924">
          <cell r="B3924" t="str">
            <v>Ullrich,Kellie L</v>
          </cell>
          <cell r="C3924">
            <v>32.99</v>
          </cell>
        </row>
        <row r="3925">
          <cell r="B3925" t="str">
            <v>Salgado,Ernesto L</v>
          </cell>
          <cell r="C3925">
            <v>50.42</v>
          </cell>
        </row>
        <row r="3926">
          <cell r="B3926" t="str">
            <v>Donovan,Regina M</v>
          </cell>
          <cell r="C3926">
            <v>44.04</v>
          </cell>
        </row>
        <row r="3927">
          <cell r="B3927" t="str">
            <v>Veach,Kathleen M</v>
          </cell>
          <cell r="C3927">
            <v>47.11</v>
          </cell>
        </row>
        <row r="3928">
          <cell r="B3928" t="str">
            <v>Decker,Kevin L</v>
          </cell>
          <cell r="C3928">
            <v>20.88</v>
          </cell>
        </row>
        <row r="3929">
          <cell r="B3929" t="str">
            <v>Wilson,Michael A</v>
          </cell>
          <cell r="C3929">
            <v>21.4</v>
          </cell>
        </row>
        <row r="3930">
          <cell r="B3930" t="str">
            <v>Harrigan,James L</v>
          </cell>
          <cell r="C3930">
            <v>46.49</v>
          </cell>
        </row>
        <row r="3931">
          <cell r="B3931" t="str">
            <v>Greenlee,James V</v>
          </cell>
          <cell r="C3931">
            <v>73.846000000000004</v>
          </cell>
        </row>
        <row r="3932">
          <cell r="B3932" t="str">
            <v>Dillon,Elaine S</v>
          </cell>
          <cell r="C3932">
            <v>125</v>
          </cell>
        </row>
        <row r="3933">
          <cell r="B3933" t="str">
            <v>Tuazon,Vic L</v>
          </cell>
          <cell r="C3933">
            <v>27.31</v>
          </cell>
        </row>
        <row r="3934">
          <cell r="B3934" t="str">
            <v>Hayes,Jacob C</v>
          </cell>
          <cell r="C3934">
            <v>24.29</v>
          </cell>
        </row>
        <row r="3935">
          <cell r="B3935" t="str">
            <v>Rector,Patricia</v>
          </cell>
          <cell r="C3935">
            <v>44.49</v>
          </cell>
        </row>
        <row r="3936">
          <cell r="B3936" t="str">
            <v>Flowers,LaTonia</v>
          </cell>
          <cell r="C3936">
            <v>21.73</v>
          </cell>
        </row>
        <row r="3937">
          <cell r="B3937" t="str">
            <v>Nichols,Amber L</v>
          </cell>
          <cell r="C3937">
            <v>18.02</v>
          </cell>
        </row>
        <row r="3938">
          <cell r="B3938" t="str">
            <v>Johnson,Calvin J</v>
          </cell>
          <cell r="C3938">
            <v>42.31</v>
          </cell>
        </row>
        <row r="3939">
          <cell r="B3939" t="str">
            <v>Creely,Christopher S</v>
          </cell>
          <cell r="C3939">
            <v>29.774899999999999</v>
          </cell>
        </row>
        <row r="3940">
          <cell r="B3940" t="str">
            <v>Uchacz,Travis S</v>
          </cell>
          <cell r="C3940">
            <v>35.909999999999997</v>
          </cell>
        </row>
        <row r="3941">
          <cell r="B3941" t="str">
            <v>LaBare,Harold J</v>
          </cell>
          <cell r="C3941">
            <v>19.72</v>
          </cell>
        </row>
        <row r="3942">
          <cell r="B3942" t="str">
            <v>Trombadore,Raymond R</v>
          </cell>
          <cell r="C3942">
            <v>70.801599999999993</v>
          </cell>
        </row>
        <row r="3943">
          <cell r="B3943" t="str">
            <v>Dorenfeld,Joel L</v>
          </cell>
          <cell r="C3943">
            <v>48.86</v>
          </cell>
        </row>
        <row r="3944">
          <cell r="B3944" t="str">
            <v>Tartick,Nathanael A</v>
          </cell>
          <cell r="C3944">
            <v>23.92</v>
          </cell>
        </row>
        <row r="3945">
          <cell r="B3945" t="str">
            <v>Morgan,Adrienne E</v>
          </cell>
          <cell r="C3945">
            <v>22.43</v>
          </cell>
        </row>
        <row r="3946">
          <cell r="B3946" t="str">
            <v>Carter,Karen L</v>
          </cell>
          <cell r="C3946">
            <v>32.307600000000001</v>
          </cell>
        </row>
        <row r="3947">
          <cell r="B3947" t="str">
            <v>Connelly,James P</v>
          </cell>
          <cell r="C3947">
            <v>62.99</v>
          </cell>
        </row>
        <row r="3948">
          <cell r="B3948" t="str">
            <v>Teasley,Otto A</v>
          </cell>
          <cell r="C3948">
            <v>24</v>
          </cell>
        </row>
        <row r="3949">
          <cell r="B3949" t="str">
            <v>Angelo,David</v>
          </cell>
          <cell r="C3949">
            <v>58</v>
          </cell>
        </row>
        <row r="3950">
          <cell r="B3950" t="str">
            <v>Tapscott,Demond H</v>
          </cell>
          <cell r="C3950">
            <v>24.97</v>
          </cell>
        </row>
        <row r="3951">
          <cell r="B3951" t="str">
            <v>Reese Jr.,Donald W</v>
          </cell>
          <cell r="C3951">
            <v>38.47</v>
          </cell>
        </row>
        <row r="3952">
          <cell r="B3952" t="str">
            <v>Venters,David J</v>
          </cell>
          <cell r="C3952">
            <v>42.1</v>
          </cell>
        </row>
        <row r="3953">
          <cell r="B3953" t="str">
            <v>Chaparro,Jerry A</v>
          </cell>
          <cell r="C3953">
            <v>26.09</v>
          </cell>
        </row>
        <row r="3954">
          <cell r="B3954" t="str">
            <v>Vasquez,Jose A</v>
          </cell>
          <cell r="C3954">
            <v>18.399999999999999</v>
          </cell>
        </row>
        <row r="3955">
          <cell r="B3955" t="str">
            <v>Hobson-Garcia,Patrick A</v>
          </cell>
          <cell r="C3955">
            <v>64.38</v>
          </cell>
        </row>
        <row r="3956">
          <cell r="B3956" t="str">
            <v>Light,Sara C</v>
          </cell>
          <cell r="C3956">
            <v>9</v>
          </cell>
        </row>
        <row r="3957">
          <cell r="B3957" t="str">
            <v>Tinsman,Daniel P</v>
          </cell>
          <cell r="C3957">
            <v>27.29</v>
          </cell>
        </row>
        <row r="3958">
          <cell r="B3958" t="str">
            <v>Smith,Donna M</v>
          </cell>
          <cell r="C3958">
            <v>30.23</v>
          </cell>
        </row>
        <row r="3959">
          <cell r="B3959" t="str">
            <v>Gaboriault,Leonard A</v>
          </cell>
          <cell r="C3959">
            <v>19.43</v>
          </cell>
        </row>
        <row r="3960">
          <cell r="B3960" t="str">
            <v>McMahan,Gerald T</v>
          </cell>
          <cell r="C3960">
            <v>49.275100000000002</v>
          </cell>
        </row>
        <row r="3961">
          <cell r="B3961" t="str">
            <v>Johnson,Erica T</v>
          </cell>
          <cell r="C3961">
            <v>23.57</v>
          </cell>
        </row>
        <row r="3962">
          <cell r="B3962" t="str">
            <v>Overmann,Ben K</v>
          </cell>
          <cell r="C3962">
            <v>62.884</v>
          </cell>
        </row>
        <row r="3963">
          <cell r="B3963" t="str">
            <v>Martin,Robert E</v>
          </cell>
          <cell r="C3963">
            <v>44.96</v>
          </cell>
        </row>
        <row r="3964">
          <cell r="B3964" t="str">
            <v>Shima,Christina L</v>
          </cell>
          <cell r="C3964">
            <v>22.36</v>
          </cell>
        </row>
        <row r="3965">
          <cell r="B3965" t="str">
            <v>Jones,Anthony J</v>
          </cell>
          <cell r="C3965">
            <v>20.56</v>
          </cell>
        </row>
        <row r="3966">
          <cell r="B3966" t="str">
            <v>Reeves,Eric C</v>
          </cell>
          <cell r="C3966">
            <v>36.299999999999997</v>
          </cell>
        </row>
        <row r="3967">
          <cell r="B3967" t="str">
            <v>Hogarty,David A</v>
          </cell>
          <cell r="C3967">
            <v>44.24</v>
          </cell>
        </row>
        <row r="3968">
          <cell r="B3968" t="str">
            <v>Hendrix,Samantha</v>
          </cell>
          <cell r="C3968">
            <v>28.12</v>
          </cell>
        </row>
        <row r="3969">
          <cell r="B3969" t="str">
            <v>Gulas,Debra K</v>
          </cell>
          <cell r="C3969">
            <v>28.1</v>
          </cell>
        </row>
        <row r="3970">
          <cell r="B3970" t="str">
            <v>Kaur,Harjeet</v>
          </cell>
          <cell r="C3970">
            <v>26.11</v>
          </cell>
        </row>
        <row r="3971">
          <cell r="B3971" t="str">
            <v>Iby,Gerald L</v>
          </cell>
          <cell r="C3971">
            <v>39.807699999999997</v>
          </cell>
        </row>
        <row r="3972">
          <cell r="B3972" t="str">
            <v>Timberlake Stephan,Lisa A</v>
          </cell>
          <cell r="C3972">
            <v>49.519300000000001</v>
          </cell>
        </row>
        <row r="3973">
          <cell r="B3973" t="str">
            <v>Kindred,Joshua J</v>
          </cell>
          <cell r="C3973">
            <v>62.41</v>
          </cell>
        </row>
        <row r="3974">
          <cell r="B3974" t="str">
            <v>James,Matthew W</v>
          </cell>
          <cell r="C3974">
            <v>28.85</v>
          </cell>
        </row>
        <row r="3975">
          <cell r="B3975" t="str">
            <v>Mack,Todd LH</v>
          </cell>
          <cell r="C3975">
            <v>45.865400000000001</v>
          </cell>
        </row>
        <row r="3976">
          <cell r="B3976" t="str">
            <v>Fowler,Melinda A</v>
          </cell>
          <cell r="C3976">
            <v>19.55</v>
          </cell>
        </row>
        <row r="3977">
          <cell r="B3977" t="str">
            <v>Kinoshita-Shand,Jill A</v>
          </cell>
          <cell r="C3977">
            <v>27.22</v>
          </cell>
        </row>
        <row r="3978">
          <cell r="B3978" t="str">
            <v>Harper,Derrick A</v>
          </cell>
          <cell r="C3978">
            <v>22.5</v>
          </cell>
        </row>
        <row r="3979">
          <cell r="B3979" t="str">
            <v>Courtney,Joseph L</v>
          </cell>
          <cell r="C3979">
            <v>21.89</v>
          </cell>
        </row>
        <row r="3980">
          <cell r="B3980" t="str">
            <v>Bogers,John F</v>
          </cell>
          <cell r="C3980">
            <v>59.91</v>
          </cell>
        </row>
        <row r="3981">
          <cell r="B3981" t="str">
            <v>Lopez De-Victoria,Sylvia</v>
          </cell>
          <cell r="C3981">
            <v>9.58</v>
          </cell>
        </row>
        <row r="3982">
          <cell r="B3982" t="str">
            <v>Robinson,James P</v>
          </cell>
          <cell r="C3982">
            <v>48.53</v>
          </cell>
        </row>
        <row r="3983">
          <cell r="B3983" t="str">
            <v>Haynes,Kenneth W</v>
          </cell>
          <cell r="C3983">
            <v>69.241699999999994</v>
          </cell>
        </row>
        <row r="3984">
          <cell r="B3984" t="str">
            <v>Brazinski,Michael L</v>
          </cell>
          <cell r="C3984">
            <v>70.400000000000006</v>
          </cell>
        </row>
        <row r="3985">
          <cell r="B3985" t="str">
            <v>Poe,Garrett D</v>
          </cell>
          <cell r="C3985">
            <v>51.44</v>
          </cell>
        </row>
        <row r="3986">
          <cell r="B3986" t="str">
            <v>Keener,Steven</v>
          </cell>
          <cell r="C3986">
            <v>65.02</v>
          </cell>
        </row>
        <row r="3987">
          <cell r="B3987" t="str">
            <v>Pitts,Zina A</v>
          </cell>
          <cell r="C3987">
            <v>15.99</v>
          </cell>
        </row>
        <row r="3988">
          <cell r="B3988" t="str">
            <v>Cody,Jeffery A</v>
          </cell>
          <cell r="C3988">
            <v>24.02</v>
          </cell>
        </row>
        <row r="3989">
          <cell r="B3989" t="str">
            <v>Smith,Jody M</v>
          </cell>
          <cell r="C3989">
            <v>33.24</v>
          </cell>
        </row>
        <row r="3990">
          <cell r="B3990" t="str">
            <v>St. Brice,Francine F</v>
          </cell>
          <cell r="C3990">
            <v>30.21</v>
          </cell>
        </row>
        <row r="3991">
          <cell r="B3991" t="str">
            <v>Williams Jr.,Kenneth L</v>
          </cell>
          <cell r="C3991">
            <v>20.6</v>
          </cell>
        </row>
        <row r="3992">
          <cell r="B3992" t="str">
            <v>Brunson,Robert S</v>
          </cell>
          <cell r="C3992">
            <v>35.39</v>
          </cell>
        </row>
        <row r="3993">
          <cell r="B3993" t="str">
            <v>Updike,Scott A</v>
          </cell>
          <cell r="C3993">
            <v>66.010000000000005</v>
          </cell>
        </row>
        <row r="3994">
          <cell r="B3994" t="str">
            <v>Canova,Christina L</v>
          </cell>
          <cell r="C3994">
            <v>66.349999999999994</v>
          </cell>
        </row>
        <row r="3995">
          <cell r="B3995" t="str">
            <v>Kilday Jr.,James F</v>
          </cell>
          <cell r="C3995">
            <v>58.27</v>
          </cell>
        </row>
        <row r="3996">
          <cell r="B3996" t="str">
            <v>Tieken-Holecek,Jody L</v>
          </cell>
          <cell r="C3996">
            <v>37.36</v>
          </cell>
        </row>
        <row r="3997">
          <cell r="B3997" t="str">
            <v>Jones,Tony L</v>
          </cell>
          <cell r="C3997">
            <v>19.05</v>
          </cell>
        </row>
        <row r="3998">
          <cell r="B3998" t="str">
            <v>Rojas Sr.,Marc S</v>
          </cell>
          <cell r="C3998">
            <v>26.72</v>
          </cell>
        </row>
        <row r="3999">
          <cell r="B3999" t="str">
            <v>Key,Ashley D</v>
          </cell>
          <cell r="C3999">
            <v>26.07</v>
          </cell>
        </row>
        <row r="4000">
          <cell r="B4000" t="str">
            <v>Leeds,Daniel R</v>
          </cell>
          <cell r="C4000">
            <v>22.28</v>
          </cell>
        </row>
        <row r="4001">
          <cell r="B4001" t="str">
            <v>Ritz,Robert D</v>
          </cell>
          <cell r="C4001">
            <v>73.069999999999993</v>
          </cell>
        </row>
        <row r="4002">
          <cell r="B4002" t="str">
            <v>Stotts,Benjamin H</v>
          </cell>
          <cell r="C4002">
            <v>42.91</v>
          </cell>
        </row>
        <row r="4003">
          <cell r="B4003" t="str">
            <v>Okolo,Emmanuel I</v>
          </cell>
          <cell r="C4003">
            <v>36.5</v>
          </cell>
        </row>
        <row r="4004">
          <cell r="B4004" t="str">
            <v>Malick,Maggie B</v>
          </cell>
          <cell r="C4004">
            <v>76.278000000000006</v>
          </cell>
        </row>
        <row r="4005">
          <cell r="B4005" t="str">
            <v>Spring,Larry L</v>
          </cell>
          <cell r="C4005">
            <v>29.08</v>
          </cell>
        </row>
        <row r="4006">
          <cell r="B4006" t="str">
            <v>Hobel,James M</v>
          </cell>
          <cell r="C4006">
            <v>27.41</v>
          </cell>
        </row>
        <row r="4007">
          <cell r="B4007" t="str">
            <v>Benavides,Carmen V</v>
          </cell>
          <cell r="C4007">
            <v>33.6539</v>
          </cell>
        </row>
        <row r="4008">
          <cell r="B4008" t="str">
            <v>Ayer,Timothy E</v>
          </cell>
          <cell r="C4008">
            <v>35.89</v>
          </cell>
        </row>
        <row r="4009">
          <cell r="B4009" t="str">
            <v>Moran,Kevin S</v>
          </cell>
          <cell r="C4009">
            <v>70.33</v>
          </cell>
        </row>
        <row r="4010">
          <cell r="B4010" t="str">
            <v>Wallace,Bethany A</v>
          </cell>
          <cell r="C4010">
            <v>16.489999999999998</v>
          </cell>
        </row>
        <row r="4011">
          <cell r="B4011" t="str">
            <v>Needham,Catherine</v>
          </cell>
          <cell r="C4011">
            <v>34.880000000000003</v>
          </cell>
        </row>
        <row r="4012">
          <cell r="B4012" t="str">
            <v>Walker,DeAngilo E</v>
          </cell>
          <cell r="C4012">
            <v>19.2</v>
          </cell>
        </row>
        <row r="4013">
          <cell r="B4013" t="str">
            <v>Hendrickson,Kyle</v>
          </cell>
          <cell r="C4013">
            <v>66.36</v>
          </cell>
        </row>
        <row r="4014">
          <cell r="B4014" t="str">
            <v>Melville,Edmond K</v>
          </cell>
          <cell r="C4014">
            <v>43.94</v>
          </cell>
        </row>
        <row r="4015">
          <cell r="B4015" t="str">
            <v>Grambo,David R</v>
          </cell>
          <cell r="C4015">
            <v>42.9086</v>
          </cell>
        </row>
        <row r="4016">
          <cell r="B4016" t="str">
            <v>Brown Tesis,Luis A</v>
          </cell>
          <cell r="C4016">
            <v>47.37</v>
          </cell>
        </row>
        <row r="4017">
          <cell r="B4017" t="str">
            <v>Carter,Stephen S</v>
          </cell>
          <cell r="C4017">
            <v>68.093299999999999</v>
          </cell>
        </row>
        <row r="4018">
          <cell r="B4018" t="str">
            <v>Dorisio,Michael R</v>
          </cell>
          <cell r="C4018">
            <v>10</v>
          </cell>
        </row>
        <row r="4019">
          <cell r="B4019" t="str">
            <v>Ralston,Joseph W</v>
          </cell>
          <cell r="C4019">
            <v>32.130000000000003</v>
          </cell>
        </row>
        <row r="4020">
          <cell r="B4020" t="str">
            <v>Miller,Ronald E</v>
          </cell>
          <cell r="C4020">
            <v>76.930000000000007</v>
          </cell>
        </row>
        <row r="4021">
          <cell r="B4021" t="str">
            <v>Hansen,Robert J</v>
          </cell>
          <cell r="C4021">
            <v>43.27</v>
          </cell>
        </row>
        <row r="4022">
          <cell r="B4022" t="str">
            <v>Yori,Todd J</v>
          </cell>
          <cell r="C4022">
            <v>23.52</v>
          </cell>
        </row>
        <row r="4023">
          <cell r="B4023" t="str">
            <v>Burton,Lasstevie L</v>
          </cell>
          <cell r="C4023">
            <v>21.5</v>
          </cell>
        </row>
        <row r="4024">
          <cell r="B4024" t="str">
            <v>Lloyd,Fredrick S</v>
          </cell>
          <cell r="C4024">
            <v>18.899999999999999</v>
          </cell>
        </row>
        <row r="4025">
          <cell r="B4025" t="str">
            <v>Provost III,Joseph</v>
          </cell>
          <cell r="C4025">
            <v>20.09</v>
          </cell>
        </row>
        <row r="4026">
          <cell r="B4026" t="str">
            <v>Sisouvong,Chan</v>
          </cell>
          <cell r="C4026">
            <v>36.71</v>
          </cell>
        </row>
        <row r="4027">
          <cell r="B4027" t="str">
            <v>Wise,Ruben S</v>
          </cell>
          <cell r="C4027">
            <v>60.95</v>
          </cell>
        </row>
        <row r="4028">
          <cell r="B4028" t="str">
            <v>Turner,Stacey R</v>
          </cell>
          <cell r="C4028">
            <v>34.17</v>
          </cell>
        </row>
        <row r="4029">
          <cell r="B4029" t="str">
            <v>Culver,Kay</v>
          </cell>
          <cell r="C4029">
            <v>69.77</v>
          </cell>
        </row>
        <row r="4030">
          <cell r="B4030" t="str">
            <v>Loy,Ronald D</v>
          </cell>
          <cell r="C4030">
            <v>47.11</v>
          </cell>
        </row>
        <row r="4031">
          <cell r="B4031" t="str">
            <v>Wilds,William B</v>
          </cell>
          <cell r="C4031">
            <v>37.47</v>
          </cell>
        </row>
        <row r="4032">
          <cell r="B4032" t="str">
            <v>Williams,Michael D</v>
          </cell>
          <cell r="C4032">
            <v>59.2</v>
          </cell>
        </row>
        <row r="4033">
          <cell r="B4033" t="str">
            <v>Scott,Keith W</v>
          </cell>
          <cell r="C4033">
            <v>73.819999999999993</v>
          </cell>
        </row>
        <row r="4034">
          <cell r="B4034" t="str">
            <v>Paul,Shirley J</v>
          </cell>
          <cell r="C4034">
            <v>42.098500000000001</v>
          </cell>
        </row>
        <row r="4035">
          <cell r="B4035" t="str">
            <v>Powell,Terry</v>
          </cell>
          <cell r="C4035">
            <v>19.73</v>
          </cell>
        </row>
        <row r="4036">
          <cell r="B4036" t="str">
            <v>TenBarge,Scott R</v>
          </cell>
          <cell r="C4036">
            <v>46</v>
          </cell>
        </row>
        <row r="4037">
          <cell r="B4037" t="str">
            <v>Coleman,Sharon E</v>
          </cell>
          <cell r="C4037">
            <v>30</v>
          </cell>
        </row>
        <row r="4038">
          <cell r="B4038" t="str">
            <v>Anderson,Matthew B</v>
          </cell>
          <cell r="C4038">
            <v>37.26</v>
          </cell>
        </row>
        <row r="4039">
          <cell r="B4039" t="str">
            <v>Green,William Henry</v>
          </cell>
          <cell r="C4039">
            <v>23.77</v>
          </cell>
        </row>
        <row r="4040">
          <cell r="B4040" t="str">
            <v>Sabol,Anne M</v>
          </cell>
          <cell r="C4040">
            <v>27.44</v>
          </cell>
        </row>
        <row r="4041">
          <cell r="B4041" t="str">
            <v>Wingo,Damon L</v>
          </cell>
          <cell r="C4041">
            <v>21.11</v>
          </cell>
        </row>
        <row r="4042">
          <cell r="B4042" t="str">
            <v>Hutchison,Danny H</v>
          </cell>
          <cell r="C4042">
            <v>60.14</v>
          </cell>
        </row>
        <row r="4043">
          <cell r="B4043" t="str">
            <v>Green,Marcus L</v>
          </cell>
          <cell r="C4043">
            <v>18.309999999999999</v>
          </cell>
        </row>
        <row r="4044">
          <cell r="B4044" t="str">
            <v>Wilburn,Brenda M</v>
          </cell>
          <cell r="C4044">
            <v>18.52</v>
          </cell>
        </row>
        <row r="4045">
          <cell r="B4045" t="str">
            <v>Barnes,Michael E</v>
          </cell>
          <cell r="C4045">
            <v>20.100000000000001</v>
          </cell>
        </row>
        <row r="4046">
          <cell r="B4046" t="str">
            <v>Kissinger,Susan I</v>
          </cell>
          <cell r="C4046">
            <v>19.48</v>
          </cell>
        </row>
        <row r="4047">
          <cell r="B4047" t="str">
            <v>Jones,Kinsey L</v>
          </cell>
          <cell r="C4047">
            <v>17.27</v>
          </cell>
        </row>
        <row r="4048">
          <cell r="B4048" t="str">
            <v>Wilczak,David W</v>
          </cell>
          <cell r="C4048">
            <v>25.95</v>
          </cell>
        </row>
        <row r="4049">
          <cell r="B4049" t="str">
            <v>Bennett,Benjamin L</v>
          </cell>
          <cell r="C4049">
            <v>55.29</v>
          </cell>
        </row>
        <row r="4050">
          <cell r="B4050" t="str">
            <v>Graf,Scott A</v>
          </cell>
          <cell r="C4050">
            <v>53.18</v>
          </cell>
        </row>
        <row r="4051">
          <cell r="B4051" t="str">
            <v>Baird,Gary N</v>
          </cell>
          <cell r="C4051">
            <v>22.14</v>
          </cell>
        </row>
        <row r="4052">
          <cell r="B4052" t="str">
            <v>Jolley,Barbara J</v>
          </cell>
          <cell r="C4052">
            <v>26.25</v>
          </cell>
        </row>
        <row r="4053">
          <cell r="B4053" t="str">
            <v>Hartmuller Jr.,Roger L</v>
          </cell>
          <cell r="C4053">
            <v>66.209999999999994</v>
          </cell>
        </row>
        <row r="4054">
          <cell r="B4054" t="str">
            <v>Nunna,Pattabhi K</v>
          </cell>
          <cell r="C4054">
            <v>46.08</v>
          </cell>
        </row>
        <row r="4055">
          <cell r="B4055" t="str">
            <v>Heid,Richard W</v>
          </cell>
          <cell r="C4055">
            <v>53.01</v>
          </cell>
        </row>
        <row r="4056">
          <cell r="B4056" t="str">
            <v>Billigmeier,Scott D.</v>
          </cell>
          <cell r="C4056">
            <v>67.900000000000006</v>
          </cell>
        </row>
        <row r="4057">
          <cell r="B4057" t="str">
            <v>Smith,Ronald H</v>
          </cell>
          <cell r="C4057">
            <v>94.617999999999995</v>
          </cell>
        </row>
        <row r="4058">
          <cell r="B4058" t="str">
            <v>Lamb,Stacey A</v>
          </cell>
          <cell r="C4058">
            <v>27.34</v>
          </cell>
        </row>
        <row r="4059">
          <cell r="B4059" t="str">
            <v>Myers,Tamara F</v>
          </cell>
          <cell r="C4059">
            <v>19.55</v>
          </cell>
        </row>
        <row r="4060">
          <cell r="B4060" t="str">
            <v>Conners,Melinda G</v>
          </cell>
          <cell r="C4060">
            <v>19.55</v>
          </cell>
        </row>
        <row r="4061">
          <cell r="B4061" t="str">
            <v>Ferguson,Aaron S</v>
          </cell>
          <cell r="C4061">
            <v>19.309999999999999</v>
          </cell>
        </row>
        <row r="4062">
          <cell r="B4062" t="str">
            <v>Kemper,Elisha J</v>
          </cell>
          <cell r="C4062">
            <v>16.68</v>
          </cell>
        </row>
        <row r="4063">
          <cell r="B4063" t="str">
            <v>Connelly,Christopher D</v>
          </cell>
          <cell r="C4063">
            <v>22.5</v>
          </cell>
        </row>
        <row r="4064">
          <cell r="B4064" t="str">
            <v>Curtis,Dena R</v>
          </cell>
          <cell r="C4064">
            <v>23.75</v>
          </cell>
        </row>
        <row r="4065">
          <cell r="B4065" t="str">
            <v>Emerson,Mark E</v>
          </cell>
          <cell r="C4065">
            <v>40.869999999999997</v>
          </cell>
        </row>
        <row r="4066">
          <cell r="B4066" t="str">
            <v>Silver,Adam</v>
          </cell>
          <cell r="C4066">
            <v>70.650000000000006</v>
          </cell>
        </row>
        <row r="4067">
          <cell r="B4067" t="str">
            <v>Huffman,Chad</v>
          </cell>
          <cell r="C4067">
            <v>41.69</v>
          </cell>
        </row>
        <row r="4068">
          <cell r="B4068" t="str">
            <v>Fenlon,Brian T</v>
          </cell>
          <cell r="C4068">
            <v>52.015300000000003</v>
          </cell>
        </row>
        <row r="4069">
          <cell r="B4069" t="str">
            <v>Hiltunen,Gerald C</v>
          </cell>
          <cell r="C4069">
            <v>42.97</v>
          </cell>
        </row>
        <row r="4070">
          <cell r="B4070" t="str">
            <v>Wright,Cory N</v>
          </cell>
          <cell r="C4070">
            <v>18.100000000000001</v>
          </cell>
        </row>
        <row r="4071">
          <cell r="B4071" t="str">
            <v>Gullick,David R</v>
          </cell>
          <cell r="C4071">
            <v>31.96</v>
          </cell>
        </row>
        <row r="4072">
          <cell r="B4072" t="str">
            <v>Juan,Michael S</v>
          </cell>
          <cell r="C4072">
            <v>12.5</v>
          </cell>
        </row>
        <row r="4073">
          <cell r="B4073" t="str">
            <v>Smith,Bennie L</v>
          </cell>
          <cell r="C4073">
            <v>19.98</v>
          </cell>
        </row>
        <row r="4074">
          <cell r="B4074" t="str">
            <v>Prabhu,Maya</v>
          </cell>
          <cell r="C4074">
            <v>21.39</v>
          </cell>
        </row>
        <row r="4075">
          <cell r="B4075" t="str">
            <v>Keeler,Taj J</v>
          </cell>
          <cell r="C4075">
            <v>28.92</v>
          </cell>
        </row>
        <row r="4076">
          <cell r="B4076" t="str">
            <v>Dinkins,Eugene A</v>
          </cell>
          <cell r="C4076">
            <v>20.98</v>
          </cell>
        </row>
        <row r="4077">
          <cell r="B4077" t="str">
            <v>Garwood,Stephen E</v>
          </cell>
          <cell r="C4077">
            <v>44.11</v>
          </cell>
        </row>
        <row r="4078">
          <cell r="B4078" t="str">
            <v>Johnson Jr.,Charles R</v>
          </cell>
          <cell r="C4078">
            <v>25.95</v>
          </cell>
        </row>
        <row r="4079">
          <cell r="B4079" t="str">
            <v>Neal,Martha M</v>
          </cell>
          <cell r="C4079">
            <v>55.44</v>
          </cell>
        </row>
        <row r="4080">
          <cell r="B4080" t="str">
            <v>McDougle,Ronald D</v>
          </cell>
          <cell r="C4080">
            <v>45.9</v>
          </cell>
        </row>
        <row r="4081">
          <cell r="B4081" t="str">
            <v>Chard,John E</v>
          </cell>
          <cell r="C4081">
            <v>23.782399999999999</v>
          </cell>
        </row>
        <row r="4082">
          <cell r="B4082" t="str">
            <v>Shi,Ying</v>
          </cell>
          <cell r="C4082">
            <v>38.461599999999997</v>
          </cell>
        </row>
        <row r="4083">
          <cell r="B4083" t="str">
            <v>Hastings,Corwin F</v>
          </cell>
          <cell r="C4083">
            <v>28.09</v>
          </cell>
        </row>
        <row r="4084">
          <cell r="B4084" t="str">
            <v>Sjurset,Gary A</v>
          </cell>
          <cell r="C4084">
            <v>54.095500000000001</v>
          </cell>
        </row>
        <row r="4085">
          <cell r="B4085" t="str">
            <v>Schaeffer,Mark</v>
          </cell>
          <cell r="C4085">
            <v>90.865300000000005</v>
          </cell>
        </row>
        <row r="4086">
          <cell r="B4086" t="str">
            <v>Balandra,Renierio J</v>
          </cell>
          <cell r="C4086">
            <v>22.44</v>
          </cell>
        </row>
        <row r="4087">
          <cell r="B4087" t="str">
            <v>McEvoy,William F</v>
          </cell>
          <cell r="C4087">
            <v>60.419199999999996</v>
          </cell>
        </row>
        <row r="4088">
          <cell r="B4088" t="str">
            <v>Gibb,Lawrence E</v>
          </cell>
          <cell r="C4088">
            <v>49.407400000000003</v>
          </cell>
        </row>
        <row r="4089">
          <cell r="B4089" t="str">
            <v>Cantrell,Keith A</v>
          </cell>
          <cell r="C4089">
            <v>17.899999999999999</v>
          </cell>
        </row>
        <row r="4090">
          <cell r="B4090" t="str">
            <v>Bailey,Janice M</v>
          </cell>
          <cell r="C4090">
            <v>19</v>
          </cell>
        </row>
        <row r="4091">
          <cell r="B4091" t="str">
            <v>Wallace,Lacamesha R</v>
          </cell>
          <cell r="C4091">
            <v>20</v>
          </cell>
        </row>
        <row r="4092">
          <cell r="B4092" t="str">
            <v>Quezada Jr.,Moises G</v>
          </cell>
          <cell r="C4092">
            <v>20.28</v>
          </cell>
        </row>
        <row r="4093">
          <cell r="B4093" t="str">
            <v>Lyonnais,Erick</v>
          </cell>
          <cell r="C4093">
            <v>21.5</v>
          </cell>
        </row>
        <row r="4094">
          <cell r="B4094" t="str">
            <v>Turner,Launce M</v>
          </cell>
          <cell r="C4094">
            <v>24</v>
          </cell>
        </row>
        <row r="4095">
          <cell r="B4095" t="str">
            <v>Leonard,Teresa L</v>
          </cell>
          <cell r="C4095">
            <v>25.46</v>
          </cell>
        </row>
        <row r="4096">
          <cell r="B4096" t="str">
            <v>Seidel,Charles D</v>
          </cell>
          <cell r="C4096">
            <v>21.03</v>
          </cell>
        </row>
        <row r="4097">
          <cell r="B4097" t="str">
            <v>Rothwell,Shimeka M</v>
          </cell>
          <cell r="C4097">
            <v>21.84</v>
          </cell>
        </row>
        <row r="4098">
          <cell r="B4098" t="str">
            <v>Hale,Eric R</v>
          </cell>
          <cell r="C4098">
            <v>19.38</v>
          </cell>
        </row>
        <row r="4099">
          <cell r="B4099" t="str">
            <v>Spencer,Jennifer L</v>
          </cell>
          <cell r="C4099">
            <v>48.44</v>
          </cell>
        </row>
        <row r="4100">
          <cell r="B4100" t="str">
            <v>Lumpkin,James A</v>
          </cell>
          <cell r="C4100">
            <v>26.14</v>
          </cell>
        </row>
        <row r="4101">
          <cell r="B4101" t="str">
            <v>Downs,Joseph</v>
          </cell>
          <cell r="C4101">
            <v>41.96</v>
          </cell>
        </row>
        <row r="4102">
          <cell r="B4102" t="str">
            <v>Guzman,Michael E</v>
          </cell>
          <cell r="C4102">
            <v>22.48</v>
          </cell>
        </row>
        <row r="4103">
          <cell r="B4103" t="str">
            <v>Creamer,Darrin L</v>
          </cell>
          <cell r="C4103">
            <v>22</v>
          </cell>
        </row>
        <row r="4104">
          <cell r="B4104" t="str">
            <v>Perkins,Herman L</v>
          </cell>
          <cell r="C4104">
            <v>25.65</v>
          </cell>
        </row>
        <row r="4105">
          <cell r="B4105" t="str">
            <v>Hobbs,Janet W</v>
          </cell>
          <cell r="C4105">
            <v>18.71</v>
          </cell>
        </row>
        <row r="4106">
          <cell r="B4106" t="str">
            <v>Mercer,Kathleen A</v>
          </cell>
          <cell r="C4106">
            <v>38.97</v>
          </cell>
        </row>
        <row r="4107">
          <cell r="B4107" t="str">
            <v>Rice,Kyle O</v>
          </cell>
          <cell r="C4107">
            <v>77.5</v>
          </cell>
        </row>
        <row r="4108">
          <cell r="B4108" t="str">
            <v>Harrison,Catherine A</v>
          </cell>
          <cell r="C4108">
            <v>47.8</v>
          </cell>
        </row>
        <row r="4109">
          <cell r="B4109" t="str">
            <v>Keville,Frederick E</v>
          </cell>
          <cell r="C4109">
            <v>47.14</v>
          </cell>
        </row>
        <row r="4110">
          <cell r="B4110" t="str">
            <v>McCallon,Randall S</v>
          </cell>
          <cell r="C4110">
            <v>20.6</v>
          </cell>
        </row>
        <row r="4111">
          <cell r="B4111" t="str">
            <v>Weinstein,Kenneth B</v>
          </cell>
          <cell r="C4111">
            <v>46.537500000000001</v>
          </cell>
        </row>
        <row r="4112">
          <cell r="B4112" t="str">
            <v>Ryan,Dennis M</v>
          </cell>
          <cell r="C4112">
            <v>35.46</v>
          </cell>
        </row>
        <row r="4113">
          <cell r="B4113" t="str">
            <v>Majeed,Sonia</v>
          </cell>
          <cell r="C4113">
            <v>34.700000000000003</v>
          </cell>
        </row>
        <row r="4114">
          <cell r="B4114" t="str">
            <v>Guice,Mashaunda A</v>
          </cell>
          <cell r="C4114">
            <v>26.43</v>
          </cell>
        </row>
        <row r="4115">
          <cell r="B4115" t="str">
            <v>Potter,Jeff D</v>
          </cell>
          <cell r="C4115">
            <v>70.45</v>
          </cell>
        </row>
        <row r="4116">
          <cell r="B4116" t="str">
            <v>McCullough,Melissa</v>
          </cell>
          <cell r="C4116">
            <v>64.95</v>
          </cell>
        </row>
        <row r="4117">
          <cell r="B4117" t="str">
            <v>Shankle,Elisabeth A</v>
          </cell>
          <cell r="C4117">
            <v>19.03</v>
          </cell>
        </row>
        <row r="4118">
          <cell r="B4118" t="str">
            <v>Brooks,David C</v>
          </cell>
          <cell r="C4118">
            <v>57.7</v>
          </cell>
        </row>
        <row r="4119">
          <cell r="B4119" t="str">
            <v>Chansky,Steven J</v>
          </cell>
          <cell r="C4119">
            <v>41.84</v>
          </cell>
        </row>
        <row r="4120">
          <cell r="B4120" t="str">
            <v>Olive,John D</v>
          </cell>
          <cell r="C4120">
            <v>14.56</v>
          </cell>
        </row>
        <row r="4121">
          <cell r="B4121" t="str">
            <v>Burchard,Linda D</v>
          </cell>
          <cell r="C4121">
            <v>57.59</v>
          </cell>
        </row>
        <row r="4122">
          <cell r="B4122" t="str">
            <v>White,Robert P</v>
          </cell>
          <cell r="C4122">
            <v>18.54</v>
          </cell>
        </row>
        <row r="4123">
          <cell r="B4123" t="str">
            <v>Bonsby,Christine</v>
          </cell>
          <cell r="C4123">
            <v>43.269500000000001</v>
          </cell>
        </row>
        <row r="4124">
          <cell r="B4124" t="str">
            <v>Knorr,David C</v>
          </cell>
          <cell r="C4124">
            <v>30</v>
          </cell>
        </row>
        <row r="4125">
          <cell r="B4125" t="str">
            <v>Carr,Alexander E</v>
          </cell>
          <cell r="C4125">
            <v>33.659999999999997</v>
          </cell>
        </row>
        <row r="4126">
          <cell r="B4126" t="str">
            <v>Lewis,Susan B</v>
          </cell>
          <cell r="C4126">
            <v>23.05</v>
          </cell>
        </row>
        <row r="4127">
          <cell r="B4127" t="str">
            <v>Starr,Reginald W</v>
          </cell>
          <cell r="C4127">
            <v>47.499899999999997</v>
          </cell>
        </row>
        <row r="4128">
          <cell r="B4128" t="str">
            <v>Shropshire,Jason H</v>
          </cell>
          <cell r="C4128">
            <v>46.71</v>
          </cell>
        </row>
        <row r="4129">
          <cell r="B4129" t="str">
            <v>Brown,Christoper</v>
          </cell>
          <cell r="C4129">
            <v>56.42</v>
          </cell>
        </row>
        <row r="4130">
          <cell r="B4130" t="str">
            <v>Brunner III,Leroy</v>
          </cell>
          <cell r="C4130">
            <v>40.865499999999997</v>
          </cell>
        </row>
        <row r="4131">
          <cell r="B4131" t="str">
            <v>Marberry,Chris S</v>
          </cell>
          <cell r="C4131">
            <v>19.920000000000002</v>
          </cell>
        </row>
        <row r="4132">
          <cell r="B4132" t="str">
            <v>Wysingle,Frederick D</v>
          </cell>
          <cell r="C4132">
            <v>22.5</v>
          </cell>
        </row>
        <row r="4133">
          <cell r="B4133" t="str">
            <v>Gardner,Joseph W</v>
          </cell>
          <cell r="C4133">
            <v>21.33</v>
          </cell>
        </row>
        <row r="4134">
          <cell r="B4134" t="str">
            <v>Berg,Ralph T</v>
          </cell>
          <cell r="C4134">
            <v>29.44</v>
          </cell>
        </row>
        <row r="4135">
          <cell r="B4135" t="str">
            <v>Susol,Dennis M</v>
          </cell>
          <cell r="C4135">
            <v>34.22</v>
          </cell>
        </row>
        <row r="4136">
          <cell r="B4136" t="str">
            <v>Sasala,Thomas M</v>
          </cell>
          <cell r="C4136">
            <v>82.46</v>
          </cell>
        </row>
        <row r="4137">
          <cell r="B4137" t="str">
            <v>Corlew,Ronald A</v>
          </cell>
          <cell r="C4137">
            <v>44.52</v>
          </cell>
        </row>
        <row r="4138">
          <cell r="B4138" t="str">
            <v>Galante,Jacquelynne</v>
          </cell>
          <cell r="C4138">
            <v>60.1</v>
          </cell>
        </row>
        <row r="4139">
          <cell r="B4139" t="str">
            <v>Knipe,James D</v>
          </cell>
          <cell r="C4139">
            <v>43.27</v>
          </cell>
        </row>
        <row r="4140">
          <cell r="B4140" t="str">
            <v>Crawford,Dane J</v>
          </cell>
          <cell r="C4140">
            <v>31.3</v>
          </cell>
        </row>
        <row r="4141">
          <cell r="B4141" t="str">
            <v>Spann,Carrie L</v>
          </cell>
          <cell r="C4141">
            <v>29.87</v>
          </cell>
        </row>
        <row r="4142">
          <cell r="B4142" t="str">
            <v>Brown,Christopher</v>
          </cell>
          <cell r="C4142">
            <v>39.950000000000003</v>
          </cell>
        </row>
        <row r="4143">
          <cell r="B4143" t="str">
            <v>Perez,Ernesto</v>
          </cell>
          <cell r="C4143">
            <v>27.01</v>
          </cell>
        </row>
        <row r="4144">
          <cell r="B4144" t="str">
            <v>Hall,Amanda S</v>
          </cell>
          <cell r="C4144">
            <v>24.22</v>
          </cell>
        </row>
        <row r="4145">
          <cell r="B4145" t="str">
            <v>Sudderth,Steve N</v>
          </cell>
          <cell r="C4145">
            <v>21.55</v>
          </cell>
        </row>
        <row r="4146">
          <cell r="B4146" t="str">
            <v>Rich,Austin R</v>
          </cell>
          <cell r="C4146">
            <v>25</v>
          </cell>
        </row>
        <row r="4147">
          <cell r="B4147" t="str">
            <v>Aviles Jr.,Miguel A</v>
          </cell>
          <cell r="C4147">
            <v>21.63</v>
          </cell>
        </row>
        <row r="4148">
          <cell r="B4148" t="str">
            <v>Moon,Juvar D</v>
          </cell>
          <cell r="C4148">
            <v>12.06</v>
          </cell>
        </row>
        <row r="4149">
          <cell r="B4149" t="str">
            <v>Walls,Michael E</v>
          </cell>
          <cell r="C4149">
            <v>16</v>
          </cell>
        </row>
        <row r="4150">
          <cell r="B4150" t="str">
            <v>Hernandez,Cody J</v>
          </cell>
          <cell r="C4150">
            <v>21.46</v>
          </cell>
        </row>
        <row r="4151">
          <cell r="B4151" t="str">
            <v>Still,Aaron M</v>
          </cell>
          <cell r="C4151">
            <v>60.54</v>
          </cell>
        </row>
        <row r="4152">
          <cell r="B4152" t="str">
            <v>Taylor Jr.,Ernest</v>
          </cell>
          <cell r="C4152">
            <v>21.84</v>
          </cell>
        </row>
        <row r="4153">
          <cell r="B4153" t="str">
            <v>Matous,Phillip A</v>
          </cell>
          <cell r="C4153">
            <v>20.87</v>
          </cell>
        </row>
        <row r="4154">
          <cell r="B4154" t="str">
            <v>Carlson,Douglas M</v>
          </cell>
          <cell r="C4154">
            <v>90.240300000000005</v>
          </cell>
        </row>
        <row r="4155">
          <cell r="B4155" t="str">
            <v>Berthiaume,Frederick E</v>
          </cell>
          <cell r="C4155">
            <v>50.96</v>
          </cell>
        </row>
        <row r="4156">
          <cell r="B4156" t="str">
            <v>Waggoner,Larry P</v>
          </cell>
          <cell r="C4156">
            <v>40.56</v>
          </cell>
        </row>
        <row r="4157">
          <cell r="B4157" t="str">
            <v>Walker,Antonio B</v>
          </cell>
          <cell r="C4157">
            <v>20.5</v>
          </cell>
        </row>
        <row r="4158">
          <cell r="B4158" t="str">
            <v>Chan,Steffanie A</v>
          </cell>
          <cell r="C4158">
            <v>28.038399999999999</v>
          </cell>
        </row>
        <row r="4159">
          <cell r="B4159" t="str">
            <v>Hall,Joshua A</v>
          </cell>
          <cell r="C4159">
            <v>14.5</v>
          </cell>
        </row>
        <row r="4160">
          <cell r="B4160" t="str">
            <v>Deemer,Lester L</v>
          </cell>
          <cell r="C4160">
            <v>49.616999999999997</v>
          </cell>
        </row>
        <row r="4161">
          <cell r="B4161" t="str">
            <v>Manning,Phyllis A</v>
          </cell>
          <cell r="C4161">
            <v>64.040000000000006</v>
          </cell>
        </row>
        <row r="4162">
          <cell r="B4162" t="str">
            <v>Cornett,Bruce W</v>
          </cell>
          <cell r="C4162">
            <v>65.260000000000005</v>
          </cell>
        </row>
        <row r="4163">
          <cell r="B4163" t="str">
            <v>Raynes,William</v>
          </cell>
          <cell r="C4163">
            <v>93.126999999999995</v>
          </cell>
        </row>
        <row r="4164">
          <cell r="B4164" t="str">
            <v>Richardson,Ray L</v>
          </cell>
          <cell r="C4164">
            <v>30.93</v>
          </cell>
        </row>
        <row r="4165">
          <cell r="B4165" t="str">
            <v>Exstein,Ted H</v>
          </cell>
          <cell r="C4165">
            <v>41.75</v>
          </cell>
        </row>
        <row r="4166">
          <cell r="B4166" t="str">
            <v>Phelps,Jeffrey B</v>
          </cell>
          <cell r="C4166">
            <v>78.37</v>
          </cell>
        </row>
        <row r="4167">
          <cell r="B4167" t="str">
            <v>Kephart,Bradley D</v>
          </cell>
          <cell r="C4167">
            <v>47.502000000000002</v>
          </cell>
        </row>
        <row r="4168">
          <cell r="B4168" t="str">
            <v>Sigg,Daniel R</v>
          </cell>
          <cell r="C4168">
            <v>83.34</v>
          </cell>
        </row>
        <row r="4169">
          <cell r="B4169" t="str">
            <v>Cooper,John D</v>
          </cell>
          <cell r="C4169">
            <v>32.3352</v>
          </cell>
        </row>
        <row r="4170">
          <cell r="B4170" t="str">
            <v>McLaughlin,Todd</v>
          </cell>
          <cell r="C4170">
            <v>20.56</v>
          </cell>
        </row>
        <row r="4171">
          <cell r="B4171" t="str">
            <v>Serpas,Diane L</v>
          </cell>
          <cell r="C4171">
            <v>24.99</v>
          </cell>
        </row>
        <row r="4172">
          <cell r="B4172" t="str">
            <v>Chapman,Shannette D</v>
          </cell>
          <cell r="C4172">
            <v>21.66</v>
          </cell>
        </row>
        <row r="4173">
          <cell r="B4173" t="str">
            <v>Goldman,Felicja L</v>
          </cell>
          <cell r="C4173">
            <v>50.13</v>
          </cell>
        </row>
        <row r="4174">
          <cell r="B4174" t="str">
            <v>Bentley,Larry D</v>
          </cell>
          <cell r="C4174">
            <v>20.99</v>
          </cell>
        </row>
        <row r="4175">
          <cell r="B4175" t="str">
            <v>Johnson,Michael D</v>
          </cell>
          <cell r="C4175">
            <v>19.309999999999999</v>
          </cell>
        </row>
        <row r="4176">
          <cell r="B4176" t="str">
            <v>Younger,Charles E</v>
          </cell>
          <cell r="C4176">
            <v>42.94</v>
          </cell>
        </row>
        <row r="4177">
          <cell r="B4177" t="str">
            <v>Allen,Monet D</v>
          </cell>
          <cell r="C4177">
            <v>39.557699999999997</v>
          </cell>
        </row>
        <row r="4178">
          <cell r="B4178" t="str">
            <v>Erickson,Edward L</v>
          </cell>
          <cell r="C4178">
            <v>61.93</v>
          </cell>
        </row>
        <row r="4179">
          <cell r="B4179" t="str">
            <v>Hubbard,Lillian R</v>
          </cell>
          <cell r="C4179">
            <v>19.5</v>
          </cell>
        </row>
        <row r="4180">
          <cell r="B4180" t="str">
            <v>Carrano,Alison M</v>
          </cell>
          <cell r="C4180">
            <v>47.74</v>
          </cell>
        </row>
        <row r="4181">
          <cell r="B4181" t="str">
            <v>Vasquez,Janina M</v>
          </cell>
          <cell r="C4181">
            <v>28.25</v>
          </cell>
        </row>
        <row r="4182">
          <cell r="B4182" t="str">
            <v>Stringham,James S</v>
          </cell>
          <cell r="C4182">
            <v>30.15</v>
          </cell>
        </row>
        <row r="4183">
          <cell r="B4183" t="str">
            <v>Johnson III,Albert</v>
          </cell>
          <cell r="C4183">
            <v>21</v>
          </cell>
        </row>
        <row r="4184">
          <cell r="B4184" t="str">
            <v>Pizarro,Gail A</v>
          </cell>
          <cell r="C4184">
            <v>19.3</v>
          </cell>
        </row>
        <row r="4185">
          <cell r="B4185" t="str">
            <v>Powell,Michael O</v>
          </cell>
          <cell r="C4185">
            <v>21.02</v>
          </cell>
        </row>
        <row r="4186">
          <cell r="B4186" t="str">
            <v>Caswell,Melissa A</v>
          </cell>
          <cell r="C4186">
            <v>15.44</v>
          </cell>
        </row>
        <row r="4187">
          <cell r="B4187" t="str">
            <v>Thibodeaux,James M</v>
          </cell>
          <cell r="C4187">
            <v>20.36</v>
          </cell>
        </row>
        <row r="4188">
          <cell r="B4188" t="str">
            <v>Carrao,Nicholas J</v>
          </cell>
          <cell r="C4188">
            <v>21.5</v>
          </cell>
        </row>
        <row r="4189">
          <cell r="B4189" t="str">
            <v>Spencer,Gilbert</v>
          </cell>
          <cell r="C4189">
            <v>23.5</v>
          </cell>
        </row>
        <row r="4190">
          <cell r="B4190" t="str">
            <v>Hickman,LaShannon R</v>
          </cell>
          <cell r="C4190">
            <v>20.8</v>
          </cell>
        </row>
        <row r="4191">
          <cell r="B4191" t="str">
            <v>Mills,Donald L</v>
          </cell>
          <cell r="C4191">
            <v>55.408653999999999</v>
          </cell>
        </row>
        <row r="4192">
          <cell r="B4192" t="str">
            <v>Gaboriault,Michael</v>
          </cell>
          <cell r="C4192">
            <v>27.01</v>
          </cell>
        </row>
        <row r="4193">
          <cell r="B4193" t="str">
            <v>Harding,Damon G</v>
          </cell>
          <cell r="C4193">
            <v>83.45</v>
          </cell>
        </row>
        <row r="4194">
          <cell r="B4194" t="str">
            <v>Shank,Thomas R</v>
          </cell>
          <cell r="C4194">
            <v>21.411999999999999</v>
          </cell>
        </row>
        <row r="4195">
          <cell r="B4195" t="str">
            <v>Cassara,Joseph E</v>
          </cell>
          <cell r="C4195">
            <v>26.9</v>
          </cell>
        </row>
        <row r="4196">
          <cell r="B4196" t="str">
            <v>Newton,Tamanika M</v>
          </cell>
          <cell r="C4196">
            <v>26</v>
          </cell>
        </row>
        <row r="4197">
          <cell r="B4197" t="str">
            <v>Garitselov,Oleg M</v>
          </cell>
          <cell r="C4197">
            <v>23.63</v>
          </cell>
        </row>
        <row r="4198">
          <cell r="B4198" t="str">
            <v>Kleiner Jr.,Thomas E</v>
          </cell>
          <cell r="C4198">
            <v>56.92</v>
          </cell>
        </row>
        <row r="4199">
          <cell r="B4199" t="str">
            <v>Silvia,Daniel C</v>
          </cell>
          <cell r="C4199">
            <v>57.69</v>
          </cell>
        </row>
        <row r="4200">
          <cell r="B4200" t="str">
            <v>Tchoulakian,Raymond R</v>
          </cell>
          <cell r="C4200">
            <v>56.32</v>
          </cell>
        </row>
        <row r="4201">
          <cell r="B4201" t="str">
            <v>Amoako,Marcus</v>
          </cell>
          <cell r="C4201">
            <v>27.38</v>
          </cell>
        </row>
        <row r="4202">
          <cell r="B4202" t="str">
            <v>Tolk,Gerald</v>
          </cell>
          <cell r="C4202">
            <v>41.6</v>
          </cell>
        </row>
        <row r="4203">
          <cell r="B4203" t="str">
            <v>Simis,Richard L</v>
          </cell>
          <cell r="C4203">
            <v>101.97</v>
          </cell>
        </row>
        <row r="4204">
          <cell r="B4204" t="str">
            <v>Johnson,Jerome</v>
          </cell>
          <cell r="C4204">
            <v>28.58</v>
          </cell>
        </row>
        <row r="4205">
          <cell r="B4205" t="str">
            <v>Chisolm,Bernard P</v>
          </cell>
          <cell r="C4205">
            <v>21</v>
          </cell>
        </row>
        <row r="4206">
          <cell r="B4206" t="str">
            <v>Salters Jr.,Mickey L</v>
          </cell>
          <cell r="C4206">
            <v>20.190000000000001</v>
          </cell>
        </row>
        <row r="4207">
          <cell r="B4207" t="str">
            <v>Ricks,Billy J</v>
          </cell>
          <cell r="C4207">
            <v>72.75</v>
          </cell>
        </row>
        <row r="4208">
          <cell r="B4208" t="str">
            <v>Gant,Kenneth M</v>
          </cell>
          <cell r="C4208">
            <v>29.5</v>
          </cell>
        </row>
        <row r="4209">
          <cell r="B4209" t="str">
            <v>Suthar,Hemant S</v>
          </cell>
          <cell r="C4209">
            <v>44.999899999999997</v>
          </cell>
        </row>
        <row r="4210">
          <cell r="B4210" t="str">
            <v>Salcido,Emmanuel</v>
          </cell>
          <cell r="C4210">
            <v>34.619999999999997</v>
          </cell>
        </row>
        <row r="4211">
          <cell r="B4211" t="str">
            <v>Schafer,Matthew A</v>
          </cell>
          <cell r="C4211">
            <v>25.45</v>
          </cell>
        </row>
        <row r="4212">
          <cell r="B4212" t="str">
            <v>Stolzman,Harry</v>
          </cell>
          <cell r="C4212">
            <v>21.62</v>
          </cell>
        </row>
        <row r="4213">
          <cell r="B4213" t="str">
            <v>Rowley,Jonetta M</v>
          </cell>
          <cell r="C4213">
            <v>49.33</v>
          </cell>
        </row>
        <row r="4214">
          <cell r="B4214" t="str">
            <v>Armour,Donald B</v>
          </cell>
          <cell r="C4214">
            <v>18.420000000000002</v>
          </cell>
        </row>
        <row r="4215">
          <cell r="B4215" t="str">
            <v>Keels-Walker,Yolanda K</v>
          </cell>
          <cell r="C4215">
            <v>49.51</v>
          </cell>
        </row>
        <row r="4216">
          <cell r="B4216" t="str">
            <v>Foster,Elizabeth I</v>
          </cell>
          <cell r="C4216">
            <v>59.38</v>
          </cell>
        </row>
        <row r="4217">
          <cell r="B4217" t="str">
            <v>Bucher,Bradley T</v>
          </cell>
          <cell r="C4217">
            <v>23.581800000000001</v>
          </cell>
        </row>
        <row r="4218">
          <cell r="B4218" t="str">
            <v>Tarrant,Keith</v>
          </cell>
          <cell r="C4218">
            <v>19.37</v>
          </cell>
        </row>
        <row r="4219">
          <cell r="B4219" t="str">
            <v>Kokubun,Craig</v>
          </cell>
          <cell r="C4219">
            <v>28.47</v>
          </cell>
        </row>
        <row r="4220">
          <cell r="B4220" t="str">
            <v>Abbott,Wilfred F</v>
          </cell>
          <cell r="C4220">
            <v>25.83</v>
          </cell>
        </row>
        <row r="4221">
          <cell r="B4221" t="str">
            <v>Britt,Floyd D</v>
          </cell>
          <cell r="C4221">
            <v>56.1</v>
          </cell>
        </row>
        <row r="4222">
          <cell r="B4222" t="str">
            <v>Sleep,Daniel A</v>
          </cell>
          <cell r="C4222">
            <v>20.5</v>
          </cell>
        </row>
        <row r="4223">
          <cell r="B4223" t="str">
            <v>Chapa,Armando O</v>
          </cell>
          <cell r="C4223">
            <v>21</v>
          </cell>
        </row>
        <row r="4224">
          <cell r="B4224" t="str">
            <v>Hockersmith,Robert T</v>
          </cell>
          <cell r="C4224">
            <v>50.24</v>
          </cell>
        </row>
        <row r="4225">
          <cell r="B4225" t="str">
            <v>Linderer,Donald J</v>
          </cell>
          <cell r="C4225">
            <v>33.229999999999997</v>
          </cell>
        </row>
        <row r="4226">
          <cell r="B4226" t="str">
            <v>Packer,Jacob E</v>
          </cell>
          <cell r="C4226">
            <v>19.68</v>
          </cell>
        </row>
        <row r="4227">
          <cell r="B4227" t="str">
            <v>Rodriguez,Jose L</v>
          </cell>
          <cell r="C4227">
            <v>26.21</v>
          </cell>
        </row>
        <row r="4228">
          <cell r="B4228" t="str">
            <v>Sheard,Henry C</v>
          </cell>
          <cell r="C4228">
            <v>34.29</v>
          </cell>
        </row>
        <row r="4229">
          <cell r="B4229" t="str">
            <v>Bradburn Jr.,Lonnie F</v>
          </cell>
          <cell r="C4229">
            <v>23.97</v>
          </cell>
        </row>
        <row r="4230">
          <cell r="B4230" t="str">
            <v>Salaiz,Joshua A.</v>
          </cell>
          <cell r="C4230">
            <v>22</v>
          </cell>
        </row>
        <row r="4231">
          <cell r="B4231" t="str">
            <v>Tatum,John F</v>
          </cell>
          <cell r="C4231">
            <v>21.44</v>
          </cell>
        </row>
        <row r="4232">
          <cell r="B4232" t="str">
            <v>Zagorski,Joseph A</v>
          </cell>
          <cell r="C4232">
            <v>44.36</v>
          </cell>
        </row>
        <row r="4233">
          <cell r="B4233" t="str">
            <v>Wilkinson,Stephanie A</v>
          </cell>
          <cell r="C4233">
            <v>23.56</v>
          </cell>
        </row>
        <row r="4234">
          <cell r="B4234" t="str">
            <v>Lauver,Jeffery A</v>
          </cell>
          <cell r="C4234">
            <v>32.549999999999997</v>
          </cell>
        </row>
        <row r="4235">
          <cell r="B4235" t="str">
            <v>Tanguay,Carl A</v>
          </cell>
          <cell r="C4235">
            <v>16.11</v>
          </cell>
        </row>
        <row r="4236">
          <cell r="B4236" t="str">
            <v>Flissar,Wyatt J</v>
          </cell>
          <cell r="C4236">
            <v>20.350000000000001</v>
          </cell>
        </row>
        <row r="4237">
          <cell r="B4237" t="str">
            <v>Turley,Tanya M</v>
          </cell>
          <cell r="C4237">
            <v>30.14</v>
          </cell>
        </row>
        <row r="4238">
          <cell r="B4238" t="str">
            <v>Nguyen,Loc</v>
          </cell>
          <cell r="C4238">
            <v>21.42</v>
          </cell>
        </row>
        <row r="4239">
          <cell r="B4239" t="str">
            <v>Bradie,Cara</v>
          </cell>
          <cell r="C4239">
            <v>43.66</v>
          </cell>
        </row>
        <row r="4240">
          <cell r="B4240" t="str">
            <v>Beaty,Michael A</v>
          </cell>
          <cell r="C4240">
            <v>30.96</v>
          </cell>
        </row>
        <row r="4241">
          <cell r="B4241" t="str">
            <v>Pavlov,Ljudmila</v>
          </cell>
          <cell r="C4241">
            <v>49.92</v>
          </cell>
        </row>
        <row r="4242">
          <cell r="B4242" t="str">
            <v>Merkley,Steve</v>
          </cell>
          <cell r="C4242">
            <v>27.03</v>
          </cell>
        </row>
        <row r="4243">
          <cell r="B4243" t="str">
            <v>Holland,Rick C</v>
          </cell>
          <cell r="C4243">
            <v>66.28</v>
          </cell>
        </row>
        <row r="4244">
          <cell r="B4244" t="str">
            <v>Squires,Michael L</v>
          </cell>
          <cell r="C4244">
            <v>41.35</v>
          </cell>
        </row>
        <row r="4245">
          <cell r="B4245" t="str">
            <v>Horn,Randy S</v>
          </cell>
          <cell r="C4245">
            <v>34.229999999999997</v>
          </cell>
        </row>
        <row r="4246">
          <cell r="B4246" t="str">
            <v>Salvatto,Stanley V</v>
          </cell>
          <cell r="C4246">
            <v>22.8</v>
          </cell>
        </row>
        <row r="4247">
          <cell r="B4247" t="str">
            <v>Williams,Magalli</v>
          </cell>
          <cell r="C4247">
            <v>24.66</v>
          </cell>
        </row>
        <row r="4248">
          <cell r="B4248" t="str">
            <v>Scott,Anthony Z</v>
          </cell>
          <cell r="C4248">
            <v>56.89</v>
          </cell>
        </row>
        <row r="4249">
          <cell r="B4249" t="str">
            <v>Cascasan,Albert T</v>
          </cell>
          <cell r="C4249">
            <v>21.4</v>
          </cell>
        </row>
        <row r="4250">
          <cell r="B4250" t="str">
            <v>Tart,Darrell P</v>
          </cell>
          <cell r="C4250">
            <v>19.57</v>
          </cell>
        </row>
        <row r="4251">
          <cell r="B4251" t="str">
            <v>Weidman,David W</v>
          </cell>
          <cell r="C4251">
            <v>19.38</v>
          </cell>
        </row>
        <row r="4252">
          <cell r="B4252" t="str">
            <v>Inderhees,Bryan P</v>
          </cell>
          <cell r="C4252">
            <v>31.74</v>
          </cell>
        </row>
        <row r="4253">
          <cell r="B4253" t="str">
            <v>Antill,Nicholas D</v>
          </cell>
          <cell r="C4253">
            <v>26.45</v>
          </cell>
        </row>
        <row r="4254">
          <cell r="B4254" t="str">
            <v>Mezias,Roy A</v>
          </cell>
          <cell r="C4254">
            <v>49.36</v>
          </cell>
        </row>
        <row r="4255">
          <cell r="B4255" t="str">
            <v>Charlston,Jeffery A</v>
          </cell>
          <cell r="C4255">
            <v>50.04</v>
          </cell>
        </row>
        <row r="4256">
          <cell r="B4256" t="str">
            <v>Kud,Derek M</v>
          </cell>
          <cell r="C4256">
            <v>49.515000000000001</v>
          </cell>
        </row>
        <row r="4257">
          <cell r="B4257" t="str">
            <v>Williams,Reginald</v>
          </cell>
          <cell r="C4257">
            <v>20.67</v>
          </cell>
        </row>
        <row r="4258">
          <cell r="B4258" t="str">
            <v>Paton,Richard S</v>
          </cell>
          <cell r="C4258">
            <v>19.420000000000002</v>
          </cell>
        </row>
        <row r="4259">
          <cell r="B4259" t="str">
            <v>Toelle,Michael D.</v>
          </cell>
          <cell r="C4259">
            <v>40.1</v>
          </cell>
        </row>
        <row r="4260">
          <cell r="B4260" t="str">
            <v>Bullock,Heather A.</v>
          </cell>
          <cell r="C4260">
            <v>22.72</v>
          </cell>
        </row>
        <row r="4261">
          <cell r="B4261" t="str">
            <v>Huckabee,Jonathan R</v>
          </cell>
          <cell r="C4261">
            <v>20.09</v>
          </cell>
        </row>
        <row r="4262">
          <cell r="B4262" t="str">
            <v>Cidone,Jean L</v>
          </cell>
          <cell r="C4262">
            <v>19.78</v>
          </cell>
        </row>
        <row r="4263">
          <cell r="B4263" t="str">
            <v>Lee,Jimmy D</v>
          </cell>
          <cell r="C4263">
            <v>16.68</v>
          </cell>
        </row>
        <row r="4264">
          <cell r="B4264" t="str">
            <v>Escobar,Paola C</v>
          </cell>
          <cell r="C4264">
            <v>31.8</v>
          </cell>
        </row>
        <row r="4265">
          <cell r="B4265" t="str">
            <v>Greene,Kevin E</v>
          </cell>
          <cell r="C4265">
            <v>61.5</v>
          </cell>
        </row>
        <row r="4266">
          <cell r="B4266" t="str">
            <v>Pizzino Jr.,William S</v>
          </cell>
          <cell r="C4266">
            <v>45.68</v>
          </cell>
        </row>
        <row r="4267">
          <cell r="B4267" t="str">
            <v>Stampley,Neal S</v>
          </cell>
          <cell r="C4267">
            <v>19.170000000000002</v>
          </cell>
        </row>
        <row r="4268">
          <cell r="B4268" t="str">
            <v>Berrios,Carla M</v>
          </cell>
          <cell r="C4268">
            <v>34.799999999999997</v>
          </cell>
        </row>
        <row r="4269">
          <cell r="B4269" t="str">
            <v>Nemchik,Larae L</v>
          </cell>
          <cell r="C4269">
            <v>22.75</v>
          </cell>
        </row>
        <row r="4270">
          <cell r="B4270" t="str">
            <v>Lynch,Christopher P</v>
          </cell>
          <cell r="C4270">
            <v>40.14</v>
          </cell>
        </row>
        <row r="4271">
          <cell r="B4271" t="str">
            <v>Holtsclaw,Jay</v>
          </cell>
          <cell r="C4271">
            <v>31.05</v>
          </cell>
        </row>
        <row r="4272">
          <cell r="B4272" t="str">
            <v>Johnson,Everett R</v>
          </cell>
          <cell r="C4272">
            <v>34.61</v>
          </cell>
        </row>
        <row r="4273">
          <cell r="B4273" t="str">
            <v>Villarreal,Roberta J</v>
          </cell>
          <cell r="C4273">
            <v>22.74</v>
          </cell>
        </row>
        <row r="4274">
          <cell r="B4274" t="str">
            <v>Hennig,David R</v>
          </cell>
          <cell r="C4274">
            <v>16.489999999999998</v>
          </cell>
        </row>
        <row r="4275">
          <cell r="B4275" t="str">
            <v>Lucid Jr.,Kevin M</v>
          </cell>
          <cell r="C4275">
            <v>18.63</v>
          </cell>
        </row>
        <row r="4276">
          <cell r="B4276" t="str">
            <v>Pham,Thien D</v>
          </cell>
          <cell r="C4276">
            <v>36.75</v>
          </cell>
        </row>
        <row r="4277">
          <cell r="B4277" t="str">
            <v>Callender,Taukesha L</v>
          </cell>
          <cell r="C4277">
            <v>26.92</v>
          </cell>
        </row>
        <row r="4278">
          <cell r="B4278" t="str">
            <v>Eisenbarth,Francis L</v>
          </cell>
          <cell r="C4278">
            <v>91.59</v>
          </cell>
        </row>
        <row r="4279">
          <cell r="B4279" t="str">
            <v>Batten,Harry S</v>
          </cell>
          <cell r="C4279">
            <v>31.55</v>
          </cell>
        </row>
        <row r="4280">
          <cell r="B4280" t="str">
            <v>Kauffman,Dale W</v>
          </cell>
          <cell r="C4280">
            <v>65.75</v>
          </cell>
        </row>
        <row r="4281">
          <cell r="B4281" t="str">
            <v>Cochran,Dale E</v>
          </cell>
          <cell r="C4281">
            <v>18.75</v>
          </cell>
        </row>
        <row r="4282">
          <cell r="B4282" t="str">
            <v>Morales,Miguel E</v>
          </cell>
          <cell r="C4282">
            <v>21.64</v>
          </cell>
        </row>
        <row r="4283">
          <cell r="B4283" t="str">
            <v>Ferrol,Michael S</v>
          </cell>
          <cell r="C4283">
            <v>21.19</v>
          </cell>
        </row>
        <row r="4284">
          <cell r="B4284" t="str">
            <v>Brazier,Timothy J</v>
          </cell>
          <cell r="C4284">
            <v>28.7</v>
          </cell>
        </row>
        <row r="4285">
          <cell r="B4285" t="str">
            <v>Head,Freida A</v>
          </cell>
          <cell r="C4285">
            <v>29.08</v>
          </cell>
        </row>
        <row r="4286">
          <cell r="B4286" t="str">
            <v>Pulsipher,Alan V.</v>
          </cell>
          <cell r="C4286">
            <v>47.2</v>
          </cell>
        </row>
        <row r="4287">
          <cell r="B4287" t="str">
            <v>Boggs,Edward C</v>
          </cell>
          <cell r="C4287">
            <v>24.5</v>
          </cell>
        </row>
        <row r="4288">
          <cell r="B4288" t="str">
            <v>Roy,Janssen B</v>
          </cell>
          <cell r="C4288">
            <v>18.559999999999999</v>
          </cell>
        </row>
        <row r="4289">
          <cell r="B4289" t="str">
            <v>Langdon,Matthew</v>
          </cell>
          <cell r="C4289">
            <v>15.41</v>
          </cell>
        </row>
        <row r="4290">
          <cell r="B4290" t="str">
            <v>Ercol,Robert E</v>
          </cell>
          <cell r="C4290">
            <v>30.93</v>
          </cell>
        </row>
        <row r="4291">
          <cell r="B4291" t="str">
            <v>Brown,Joel R</v>
          </cell>
          <cell r="C4291">
            <v>61.69</v>
          </cell>
        </row>
        <row r="4292">
          <cell r="B4292" t="str">
            <v>Taylor,Yvette L</v>
          </cell>
          <cell r="C4292">
            <v>18.420000000000002</v>
          </cell>
        </row>
        <row r="4293">
          <cell r="B4293" t="str">
            <v>Thompson,Kirk T</v>
          </cell>
          <cell r="C4293">
            <v>41.74</v>
          </cell>
        </row>
        <row r="4294">
          <cell r="B4294" t="str">
            <v>Kazilbash,Najia A</v>
          </cell>
          <cell r="C4294">
            <v>24.05</v>
          </cell>
        </row>
        <row r="4295">
          <cell r="B4295" t="str">
            <v>Mikeska,John L</v>
          </cell>
          <cell r="C4295">
            <v>25.95</v>
          </cell>
        </row>
        <row r="4296">
          <cell r="B4296" t="str">
            <v>Hansen,Susan K</v>
          </cell>
          <cell r="C4296">
            <v>66.33</v>
          </cell>
        </row>
        <row r="4297">
          <cell r="B4297" t="str">
            <v>Falino,Michelle</v>
          </cell>
          <cell r="C4297">
            <v>38.950000000000003</v>
          </cell>
        </row>
        <row r="4298">
          <cell r="B4298" t="str">
            <v>Malone,Douglas P</v>
          </cell>
          <cell r="C4298">
            <v>46.462499999999999</v>
          </cell>
        </row>
        <row r="4299">
          <cell r="B4299" t="str">
            <v>O'Rourke,Lee-Anita</v>
          </cell>
          <cell r="C4299">
            <v>38.47</v>
          </cell>
        </row>
        <row r="4300">
          <cell r="B4300" t="str">
            <v>Antone,Dorothy M</v>
          </cell>
          <cell r="C4300">
            <v>34.56</v>
          </cell>
        </row>
        <row r="4301">
          <cell r="B4301" t="str">
            <v>Kendrick,Willie L</v>
          </cell>
          <cell r="C4301">
            <v>18.690000000000001</v>
          </cell>
        </row>
        <row r="4302">
          <cell r="B4302" t="str">
            <v>Sodhi,Monica</v>
          </cell>
          <cell r="C4302">
            <v>19.95</v>
          </cell>
        </row>
        <row r="4303">
          <cell r="B4303" t="str">
            <v>Bloomfield,Jason L</v>
          </cell>
          <cell r="C4303">
            <v>51.02</v>
          </cell>
        </row>
        <row r="4304">
          <cell r="B4304" t="str">
            <v>Duncan,David W</v>
          </cell>
          <cell r="C4304">
            <v>39.6</v>
          </cell>
        </row>
        <row r="4305">
          <cell r="B4305" t="str">
            <v>Bryant,Sabrina R.</v>
          </cell>
          <cell r="C4305">
            <v>35.049999999999997</v>
          </cell>
        </row>
        <row r="4306">
          <cell r="B4306" t="str">
            <v>Thomas,Patrick</v>
          </cell>
          <cell r="C4306">
            <v>20.75</v>
          </cell>
        </row>
        <row r="4307">
          <cell r="B4307" t="str">
            <v>Wedge,Timothy D</v>
          </cell>
          <cell r="C4307">
            <v>22.44</v>
          </cell>
        </row>
        <row r="4308">
          <cell r="B4308" t="str">
            <v>Groover,Joseph G</v>
          </cell>
          <cell r="C4308">
            <v>21</v>
          </cell>
        </row>
        <row r="4309">
          <cell r="B4309" t="str">
            <v>Turner,Brad W</v>
          </cell>
          <cell r="C4309">
            <v>32.65</v>
          </cell>
        </row>
        <row r="4310">
          <cell r="B4310" t="str">
            <v>Furman,Michael J.</v>
          </cell>
          <cell r="C4310">
            <v>51.92</v>
          </cell>
        </row>
        <row r="4311">
          <cell r="B4311" t="str">
            <v>Tootle,Martin W</v>
          </cell>
          <cell r="C4311">
            <v>30.65</v>
          </cell>
        </row>
        <row r="4312">
          <cell r="B4312" t="str">
            <v>Richter,Christopher D</v>
          </cell>
          <cell r="C4312">
            <v>35.130000000000003</v>
          </cell>
        </row>
        <row r="4313">
          <cell r="B4313" t="str">
            <v>Cothran,Belinda</v>
          </cell>
          <cell r="C4313">
            <v>28.49</v>
          </cell>
        </row>
        <row r="4314">
          <cell r="B4314" t="str">
            <v>Argo,John D</v>
          </cell>
          <cell r="C4314">
            <v>19.45</v>
          </cell>
        </row>
        <row r="4315">
          <cell r="B4315" t="str">
            <v>Hummel,David L</v>
          </cell>
          <cell r="C4315">
            <v>26.25</v>
          </cell>
        </row>
        <row r="4316">
          <cell r="B4316" t="str">
            <v>Everson,Duane O</v>
          </cell>
          <cell r="C4316">
            <v>42.34</v>
          </cell>
        </row>
        <row r="4317">
          <cell r="B4317" t="str">
            <v>Thacker,James W</v>
          </cell>
          <cell r="C4317">
            <v>25.07</v>
          </cell>
        </row>
        <row r="4318">
          <cell r="B4318" t="str">
            <v>Nieves Jr.,Alexander</v>
          </cell>
          <cell r="C4318">
            <v>18.28</v>
          </cell>
        </row>
        <row r="4319">
          <cell r="B4319" t="str">
            <v>Benware,Adam J</v>
          </cell>
          <cell r="C4319">
            <v>43.24</v>
          </cell>
        </row>
        <row r="4320">
          <cell r="B4320" t="str">
            <v>Han,Ivan S</v>
          </cell>
          <cell r="C4320">
            <v>56.26</v>
          </cell>
        </row>
        <row r="4321">
          <cell r="B4321" t="str">
            <v>Dyer,Thomas R</v>
          </cell>
          <cell r="C4321">
            <v>28.17</v>
          </cell>
        </row>
        <row r="4322">
          <cell r="B4322" t="str">
            <v>Hagen,Philip J.</v>
          </cell>
          <cell r="C4322">
            <v>79.39</v>
          </cell>
        </row>
        <row r="4323">
          <cell r="B4323" t="str">
            <v>Davis,Carla D</v>
          </cell>
          <cell r="C4323">
            <v>25.16</v>
          </cell>
        </row>
        <row r="4324">
          <cell r="B4324" t="str">
            <v>Austin,Melvin C</v>
          </cell>
          <cell r="C4324">
            <v>35.520000000000003</v>
          </cell>
        </row>
        <row r="4325">
          <cell r="B4325" t="str">
            <v>Brostrom,Robert A</v>
          </cell>
          <cell r="C4325">
            <v>40.869999999999997</v>
          </cell>
        </row>
        <row r="4326">
          <cell r="B4326" t="str">
            <v>Sturm,Jason I</v>
          </cell>
          <cell r="C4326">
            <v>42.88</v>
          </cell>
        </row>
        <row r="4327">
          <cell r="B4327" t="str">
            <v>Brennan,Lawrence S</v>
          </cell>
          <cell r="C4327">
            <v>57.46</v>
          </cell>
        </row>
        <row r="4328">
          <cell r="B4328" t="str">
            <v>Malone,Troy J</v>
          </cell>
          <cell r="C4328">
            <v>20.61</v>
          </cell>
        </row>
        <row r="4329">
          <cell r="B4329" t="str">
            <v>Monahan,Derrick G</v>
          </cell>
          <cell r="C4329">
            <v>27.41</v>
          </cell>
        </row>
        <row r="4330">
          <cell r="B4330" t="str">
            <v>Hughes,Michael Sean</v>
          </cell>
          <cell r="C4330">
            <v>56.74</v>
          </cell>
        </row>
        <row r="4331">
          <cell r="B4331" t="str">
            <v>Montalla,Eradio M</v>
          </cell>
          <cell r="C4331">
            <v>23.1</v>
          </cell>
        </row>
        <row r="4332">
          <cell r="B4332" t="str">
            <v>Metzger,Sandra</v>
          </cell>
          <cell r="C4332">
            <v>61.55</v>
          </cell>
        </row>
        <row r="4333">
          <cell r="B4333" t="str">
            <v>Hill,Fredric L</v>
          </cell>
          <cell r="C4333">
            <v>19.64</v>
          </cell>
        </row>
        <row r="4334">
          <cell r="B4334" t="str">
            <v>Stamper,Lloyd L</v>
          </cell>
          <cell r="C4334">
            <v>46.86</v>
          </cell>
        </row>
        <row r="4335">
          <cell r="B4335" t="str">
            <v>Iloreta,Isidro Y</v>
          </cell>
          <cell r="C4335">
            <v>20.64</v>
          </cell>
        </row>
        <row r="4336">
          <cell r="B4336" t="str">
            <v>Crescenzo,Irene E</v>
          </cell>
          <cell r="C4336">
            <v>39.07</v>
          </cell>
        </row>
        <row r="4337">
          <cell r="B4337" t="str">
            <v>Dacko,Douglas A</v>
          </cell>
          <cell r="C4337">
            <v>25.95</v>
          </cell>
        </row>
        <row r="4338">
          <cell r="B4338" t="str">
            <v>Foster,Raymond</v>
          </cell>
          <cell r="C4338">
            <v>63.87</v>
          </cell>
        </row>
        <row r="4339">
          <cell r="B4339" t="str">
            <v>Hagen,Meredith</v>
          </cell>
          <cell r="C4339">
            <v>30.98</v>
          </cell>
        </row>
        <row r="4340">
          <cell r="B4340" t="str">
            <v>Jacobson,Diane E.</v>
          </cell>
          <cell r="C4340">
            <v>27.1</v>
          </cell>
        </row>
        <row r="4341">
          <cell r="B4341" t="str">
            <v>Yonts,Catherine J</v>
          </cell>
          <cell r="C4341">
            <v>41.153799999999997</v>
          </cell>
        </row>
        <row r="4342">
          <cell r="B4342" t="str">
            <v>Phillips,Patrick R</v>
          </cell>
          <cell r="C4342">
            <v>35.82</v>
          </cell>
        </row>
        <row r="4343">
          <cell r="B4343" t="str">
            <v>Strickland Jr.,Kenneth N</v>
          </cell>
          <cell r="C4343">
            <v>23</v>
          </cell>
        </row>
        <row r="4344">
          <cell r="B4344" t="str">
            <v>Sanborn,Ronda L.</v>
          </cell>
          <cell r="C4344">
            <v>74.28</v>
          </cell>
        </row>
        <row r="4345">
          <cell r="B4345" t="str">
            <v>Lee,Susan J</v>
          </cell>
          <cell r="C4345">
            <v>61.3</v>
          </cell>
        </row>
        <row r="4346">
          <cell r="B4346" t="str">
            <v>Matthews,Karla N</v>
          </cell>
          <cell r="C4346">
            <v>76.680000000000007</v>
          </cell>
        </row>
        <row r="4347">
          <cell r="B4347" t="str">
            <v>Ferrer,Walter G</v>
          </cell>
          <cell r="C4347">
            <v>68.84</v>
          </cell>
        </row>
        <row r="4348">
          <cell r="B4348" t="str">
            <v>Burkhardt,Jason</v>
          </cell>
          <cell r="C4348">
            <v>40.61</v>
          </cell>
        </row>
        <row r="4349">
          <cell r="B4349" t="str">
            <v>Brewer,Kristin M</v>
          </cell>
          <cell r="C4349">
            <v>23.08</v>
          </cell>
        </row>
        <row r="4350">
          <cell r="B4350" t="str">
            <v>Harris,Alicia I</v>
          </cell>
          <cell r="C4350">
            <v>34.46</v>
          </cell>
        </row>
        <row r="4351">
          <cell r="B4351" t="str">
            <v>Brown,Stephanie M</v>
          </cell>
          <cell r="C4351">
            <v>27.13</v>
          </cell>
        </row>
        <row r="4352">
          <cell r="B4352" t="str">
            <v>Johnson,Joshua A</v>
          </cell>
          <cell r="C4352">
            <v>14.47</v>
          </cell>
        </row>
        <row r="4353">
          <cell r="B4353" t="str">
            <v>Ecker,Howard A</v>
          </cell>
          <cell r="C4353">
            <v>22</v>
          </cell>
        </row>
        <row r="4354">
          <cell r="B4354" t="str">
            <v>Horton,Bernard</v>
          </cell>
          <cell r="C4354">
            <v>33.51</v>
          </cell>
        </row>
        <row r="4355">
          <cell r="B4355" t="str">
            <v>Gould,David P</v>
          </cell>
          <cell r="C4355">
            <v>24.07</v>
          </cell>
        </row>
        <row r="4356">
          <cell r="B4356" t="str">
            <v>Williams,Nicole L</v>
          </cell>
          <cell r="C4356">
            <v>47.16</v>
          </cell>
        </row>
        <row r="4357">
          <cell r="B4357" t="str">
            <v>Pelaez,David K</v>
          </cell>
          <cell r="C4357">
            <v>46.86</v>
          </cell>
        </row>
        <row r="4358">
          <cell r="B4358" t="str">
            <v>Sims,Michelle A</v>
          </cell>
          <cell r="C4358">
            <v>35.56</v>
          </cell>
        </row>
        <row r="4359">
          <cell r="B4359" t="str">
            <v>Harrison,Robert M</v>
          </cell>
          <cell r="C4359">
            <v>26.16</v>
          </cell>
        </row>
        <row r="4360">
          <cell r="B4360" t="str">
            <v>Burns,Gary W</v>
          </cell>
          <cell r="C4360">
            <v>52.76</v>
          </cell>
        </row>
        <row r="4361">
          <cell r="B4361" t="str">
            <v>Watson,Sonya M</v>
          </cell>
          <cell r="C4361">
            <v>43.92</v>
          </cell>
        </row>
        <row r="4362">
          <cell r="B4362" t="str">
            <v>Mudrenko,George M</v>
          </cell>
          <cell r="C4362">
            <v>52.5</v>
          </cell>
        </row>
        <row r="4363">
          <cell r="B4363" t="str">
            <v>Kreamer,Kannitha R</v>
          </cell>
          <cell r="C4363">
            <v>55.81</v>
          </cell>
        </row>
        <row r="4364">
          <cell r="B4364" t="str">
            <v>Johnson,Jeffrey D</v>
          </cell>
          <cell r="C4364">
            <v>40.869999999999997</v>
          </cell>
        </row>
        <row r="4365">
          <cell r="B4365" t="str">
            <v>Kula,Theodore J</v>
          </cell>
          <cell r="C4365">
            <v>48.99</v>
          </cell>
        </row>
        <row r="4366">
          <cell r="B4366" t="str">
            <v>Moore,Darby P</v>
          </cell>
          <cell r="C4366">
            <v>29.82</v>
          </cell>
        </row>
        <row r="4367">
          <cell r="B4367" t="str">
            <v>Vitale,Christopher M</v>
          </cell>
          <cell r="C4367">
            <v>26.45</v>
          </cell>
        </row>
        <row r="4368">
          <cell r="B4368" t="str">
            <v>Torres Colon,Eduardo</v>
          </cell>
          <cell r="C4368">
            <v>20.84</v>
          </cell>
        </row>
        <row r="4369">
          <cell r="B4369" t="str">
            <v>Pielmeier,John R</v>
          </cell>
          <cell r="C4369">
            <v>50.12</v>
          </cell>
        </row>
        <row r="4370">
          <cell r="B4370" t="str">
            <v>Smith,Michael G</v>
          </cell>
          <cell r="C4370">
            <v>23.95</v>
          </cell>
        </row>
        <row r="4371">
          <cell r="B4371" t="str">
            <v>Osmon,Michael K</v>
          </cell>
          <cell r="C4371">
            <v>63.77</v>
          </cell>
        </row>
        <row r="4372">
          <cell r="B4372" t="str">
            <v>Tyler,Troy D</v>
          </cell>
          <cell r="C4372">
            <v>39</v>
          </cell>
        </row>
        <row r="4373">
          <cell r="B4373" t="str">
            <v>Pietras,John R</v>
          </cell>
          <cell r="C4373">
            <v>19.02</v>
          </cell>
        </row>
        <row r="4374">
          <cell r="B4374" t="str">
            <v>Dingman,Andrea K</v>
          </cell>
          <cell r="C4374">
            <v>23.52</v>
          </cell>
        </row>
        <row r="4375">
          <cell r="B4375" t="str">
            <v>Chan,Kevin C</v>
          </cell>
          <cell r="C4375">
            <v>46.8</v>
          </cell>
        </row>
        <row r="4376">
          <cell r="B4376" t="str">
            <v>Ward,Wade B</v>
          </cell>
          <cell r="C4376">
            <v>42.55</v>
          </cell>
        </row>
        <row r="4377">
          <cell r="B4377" t="str">
            <v>Lardizabal,Michelle M</v>
          </cell>
          <cell r="C4377">
            <v>48.08</v>
          </cell>
        </row>
        <row r="4378">
          <cell r="B4378" t="str">
            <v>Pierce III,Frederick M</v>
          </cell>
          <cell r="C4378">
            <v>33.76</v>
          </cell>
        </row>
        <row r="4379">
          <cell r="B4379" t="str">
            <v>Ludwick,Chad E</v>
          </cell>
          <cell r="C4379">
            <v>26.22</v>
          </cell>
        </row>
        <row r="4380">
          <cell r="B4380" t="str">
            <v>Parham Jr.,Bernard J</v>
          </cell>
          <cell r="C4380">
            <v>21.5</v>
          </cell>
        </row>
        <row r="4381">
          <cell r="B4381" t="str">
            <v>Bickford,Justin M</v>
          </cell>
          <cell r="C4381">
            <v>31.5</v>
          </cell>
        </row>
        <row r="4382">
          <cell r="B4382" t="str">
            <v>Horning,Raymond W</v>
          </cell>
          <cell r="C4382">
            <v>79</v>
          </cell>
        </row>
        <row r="4383">
          <cell r="B4383" t="str">
            <v>Wilson,William J</v>
          </cell>
          <cell r="C4383">
            <v>15</v>
          </cell>
        </row>
        <row r="4384">
          <cell r="B4384" t="str">
            <v>Looney,James T</v>
          </cell>
          <cell r="C4384">
            <v>22.57</v>
          </cell>
        </row>
        <row r="4385">
          <cell r="B4385" t="str">
            <v>Fitzgerald,Mary C</v>
          </cell>
          <cell r="C4385">
            <v>30.78</v>
          </cell>
        </row>
        <row r="4386">
          <cell r="B4386" t="str">
            <v>Pearce,Angellica A</v>
          </cell>
          <cell r="C4386">
            <v>20.27</v>
          </cell>
        </row>
        <row r="4387">
          <cell r="B4387" t="str">
            <v>Shy,Michael W</v>
          </cell>
          <cell r="C4387">
            <v>23.56</v>
          </cell>
        </row>
        <row r="4388">
          <cell r="B4388" t="str">
            <v>Compton,Mark</v>
          </cell>
          <cell r="C4388">
            <v>63.26</v>
          </cell>
        </row>
        <row r="4389">
          <cell r="B4389" t="str">
            <v>Walker,Paul R</v>
          </cell>
          <cell r="C4389">
            <v>29.99</v>
          </cell>
        </row>
        <row r="4390">
          <cell r="B4390" t="str">
            <v>Banks,Regina R</v>
          </cell>
          <cell r="C4390">
            <v>61.45</v>
          </cell>
        </row>
        <row r="4391">
          <cell r="B4391" t="str">
            <v>MacVittie,Patrick M</v>
          </cell>
          <cell r="C4391">
            <v>20.88</v>
          </cell>
        </row>
        <row r="4392">
          <cell r="B4392" t="str">
            <v>Cole,Jonathan E</v>
          </cell>
          <cell r="C4392">
            <v>34.616</v>
          </cell>
        </row>
        <row r="4393">
          <cell r="B4393" t="str">
            <v>Zuppardo,Anthony C</v>
          </cell>
          <cell r="C4393">
            <v>33.659999999999997</v>
          </cell>
        </row>
        <row r="4394">
          <cell r="B4394" t="str">
            <v>Partello,Ralph</v>
          </cell>
          <cell r="C4394">
            <v>43.23</v>
          </cell>
        </row>
        <row r="4395">
          <cell r="B4395" t="str">
            <v>Urbina,Jeffrey S</v>
          </cell>
          <cell r="C4395">
            <v>19.18</v>
          </cell>
        </row>
        <row r="4396">
          <cell r="B4396" t="str">
            <v>White,Mark D</v>
          </cell>
          <cell r="C4396">
            <v>44.07</v>
          </cell>
        </row>
        <row r="4397">
          <cell r="B4397" t="str">
            <v>Walters,Justin L</v>
          </cell>
          <cell r="C4397">
            <v>49.08</v>
          </cell>
        </row>
        <row r="4398">
          <cell r="B4398" t="str">
            <v>Howell,Catherine E</v>
          </cell>
          <cell r="C4398">
            <v>16.5</v>
          </cell>
        </row>
        <row r="4399">
          <cell r="B4399" t="str">
            <v>Hutchins,Wallechinsky D</v>
          </cell>
          <cell r="C4399">
            <v>19.61</v>
          </cell>
        </row>
        <row r="4400">
          <cell r="B4400" t="str">
            <v>Cranston,John A</v>
          </cell>
          <cell r="C4400">
            <v>37.06</v>
          </cell>
        </row>
        <row r="4401">
          <cell r="B4401" t="str">
            <v>Flowers,Justin W</v>
          </cell>
          <cell r="C4401">
            <v>37.04</v>
          </cell>
        </row>
        <row r="4402">
          <cell r="B4402" t="str">
            <v>Sandoval,Taylor V</v>
          </cell>
          <cell r="C4402">
            <v>30.29</v>
          </cell>
        </row>
        <row r="4403">
          <cell r="B4403" t="str">
            <v>Tillman Jr.,Donald</v>
          </cell>
          <cell r="C4403">
            <v>20.56</v>
          </cell>
        </row>
        <row r="4404">
          <cell r="B4404" t="str">
            <v>Smith,Anthony B</v>
          </cell>
          <cell r="C4404">
            <v>41.2</v>
          </cell>
        </row>
        <row r="4405">
          <cell r="B4405" t="str">
            <v>Spencer,Wayne A.</v>
          </cell>
          <cell r="C4405">
            <v>30.08</v>
          </cell>
        </row>
        <row r="4406">
          <cell r="B4406" t="str">
            <v>Munkachy,Alex S</v>
          </cell>
          <cell r="C4406">
            <v>21.65</v>
          </cell>
        </row>
        <row r="4407">
          <cell r="B4407" t="str">
            <v>King,Kristi C</v>
          </cell>
          <cell r="C4407">
            <v>40.869999999999997</v>
          </cell>
        </row>
        <row r="4408">
          <cell r="B4408" t="str">
            <v>Roe,William P</v>
          </cell>
          <cell r="C4408">
            <v>37.01</v>
          </cell>
        </row>
        <row r="4409">
          <cell r="B4409" t="str">
            <v>Boileau,Robbie G</v>
          </cell>
          <cell r="C4409">
            <v>17.53</v>
          </cell>
        </row>
        <row r="4410">
          <cell r="B4410" t="str">
            <v>Robinson,Rodney</v>
          </cell>
          <cell r="C4410">
            <v>31.48</v>
          </cell>
        </row>
        <row r="4411">
          <cell r="B4411" t="str">
            <v>Leyva,Gilbert L</v>
          </cell>
          <cell r="C4411">
            <v>21.7</v>
          </cell>
        </row>
        <row r="4412">
          <cell r="B4412" t="str">
            <v>Hollingsworth,Don W</v>
          </cell>
          <cell r="C4412">
            <v>21.51</v>
          </cell>
        </row>
        <row r="4413">
          <cell r="B4413" t="str">
            <v>Wills,Sean A</v>
          </cell>
          <cell r="C4413">
            <v>25.27</v>
          </cell>
        </row>
        <row r="4414">
          <cell r="B4414" t="str">
            <v>Perko,Ralph J</v>
          </cell>
          <cell r="C4414">
            <v>66.36</v>
          </cell>
        </row>
        <row r="4415">
          <cell r="B4415" t="str">
            <v>Cashwell,Jonathan D</v>
          </cell>
          <cell r="C4415">
            <v>37.479999999999997</v>
          </cell>
        </row>
        <row r="4416">
          <cell r="B4416" t="str">
            <v>Underwood,Susan A</v>
          </cell>
          <cell r="C4416">
            <v>22.35</v>
          </cell>
        </row>
        <row r="4417">
          <cell r="B4417" t="str">
            <v>Turner,Darrin J</v>
          </cell>
          <cell r="C4417">
            <v>17.48</v>
          </cell>
        </row>
        <row r="4418">
          <cell r="B4418" t="str">
            <v>Fitzgerald,Wayne R</v>
          </cell>
          <cell r="C4418">
            <v>86.99</v>
          </cell>
        </row>
        <row r="4419">
          <cell r="B4419" t="str">
            <v>Redmond,Cedrick A</v>
          </cell>
          <cell r="C4419">
            <v>16.489999999999998</v>
          </cell>
        </row>
        <row r="4420">
          <cell r="B4420" t="str">
            <v>Stringfellow,Warner K</v>
          </cell>
          <cell r="C4420">
            <v>21.64</v>
          </cell>
        </row>
        <row r="4421">
          <cell r="B4421" t="str">
            <v>Buse,Kimberly K</v>
          </cell>
          <cell r="C4421">
            <v>16.66</v>
          </cell>
        </row>
        <row r="4422">
          <cell r="B4422" t="str">
            <v>Yu,Byoung-Joon</v>
          </cell>
          <cell r="C4422">
            <v>68.3</v>
          </cell>
        </row>
        <row r="4423">
          <cell r="B4423" t="str">
            <v>Sanchez,Paul E</v>
          </cell>
          <cell r="C4423">
            <v>39.68</v>
          </cell>
        </row>
        <row r="4424">
          <cell r="B4424" t="str">
            <v>Brothers,Anthony C</v>
          </cell>
          <cell r="C4424">
            <v>17.75</v>
          </cell>
        </row>
        <row r="4425">
          <cell r="B4425" t="str">
            <v>Currence,Stephan J</v>
          </cell>
          <cell r="C4425">
            <v>44.5</v>
          </cell>
        </row>
        <row r="4426">
          <cell r="B4426" t="str">
            <v>Saville,Gina M</v>
          </cell>
          <cell r="C4426">
            <v>24.41</v>
          </cell>
        </row>
        <row r="4427">
          <cell r="B4427" t="str">
            <v>Garren,Edward Scott</v>
          </cell>
          <cell r="C4427">
            <v>79.92</v>
          </cell>
        </row>
        <row r="4428">
          <cell r="B4428" t="str">
            <v>Crawley,Ruth L</v>
          </cell>
          <cell r="C4428">
            <v>50.96</v>
          </cell>
        </row>
        <row r="4429">
          <cell r="B4429" t="str">
            <v>Fernandez,John R</v>
          </cell>
          <cell r="C4429">
            <v>36.700000000000003</v>
          </cell>
        </row>
        <row r="4430">
          <cell r="B4430" t="str">
            <v>Ramsden,Christopher G</v>
          </cell>
          <cell r="C4430">
            <v>30.53</v>
          </cell>
        </row>
        <row r="4431">
          <cell r="B4431" t="str">
            <v>Allio,Jason M</v>
          </cell>
          <cell r="C4431">
            <v>35.504800000000003</v>
          </cell>
        </row>
        <row r="4432">
          <cell r="B4432" t="str">
            <v>Mason,Kevin J.</v>
          </cell>
          <cell r="C4432">
            <v>63.57</v>
          </cell>
        </row>
        <row r="4433">
          <cell r="B4433" t="str">
            <v>Roe,Jeff</v>
          </cell>
          <cell r="C4433">
            <v>32.82</v>
          </cell>
        </row>
        <row r="4434">
          <cell r="B4434" t="str">
            <v>Gibson,Ashley L</v>
          </cell>
          <cell r="C4434">
            <v>25.8</v>
          </cell>
        </row>
        <row r="4435">
          <cell r="B4435" t="str">
            <v>Selzer,Rebecca P</v>
          </cell>
          <cell r="C4435">
            <v>23.14</v>
          </cell>
        </row>
        <row r="4436">
          <cell r="B4436" t="str">
            <v>Lim,Gerald</v>
          </cell>
          <cell r="C4436">
            <v>49.86</v>
          </cell>
        </row>
        <row r="4437">
          <cell r="B4437" t="str">
            <v>Wiggins Galloway,Rochelle D</v>
          </cell>
          <cell r="C4437">
            <v>19.239999999999998</v>
          </cell>
        </row>
        <row r="4438">
          <cell r="B4438" t="str">
            <v>Martin,Rachel E</v>
          </cell>
          <cell r="C4438">
            <v>43.27</v>
          </cell>
        </row>
        <row r="4439">
          <cell r="B4439" t="str">
            <v>Jennings,Jarrett C</v>
          </cell>
          <cell r="C4439">
            <v>21.69</v>
          </cell>
        </row>
        <row r="4440">
          <cell r="B4440" t="str">
            <v>Alaniz,Ira L</v>
          </cell>
          <cell r="C4440">
            <v>28.85</v>
          </cell>
        </row>
        <row r="4441">
          <cell r="B4441" t="str">
            <v>Melendez,Antonio</v>
          </cell>
          <cell r="C4441">
            <v>21</v>
          </cell>
        </row>
        <row r="4442">
          <cell r="B4442" t="str">
            <v>Archuleta,Debra A</v>
          </cell>
          <cell r="C4442">
            <v>31.79</v>
          </cell>
        </row>
        <row r="4443">
          <cell r="B4443" t="str">
            <v>Torres,Carlos J</v>
          </cell>
          <cell r="C4443">
            <v>34.619999999999997</v>
          </cell>
        </row>
        <row r="4444">
          <cell r="B4444" t="str">
            <v>Tibbs,Takesha S</v>
          </cell>
          <cell r="C4444">
            <v>22.99</v>
          </cell>
        </row>
        <row r="4445">
          <cell r="B4445" t="str">
            <v>Davis,Heidi K</v>
          </cell>
          <cell r="C4445">
            <v>37.520000000000003</v>
          </cell>
        </row>
        <row r="4446">
          <cell r="B4446" t="str">
            <v>Nunez,Bianca N</v>
          </cell>
          <cell r="C4446">
            <v>16.73</v>
          </cell>
        </row>
        <row r="4447">
          <cell r="B4447" t="str">
            <v>Norris,Robert A</v>
          </cell>
          <cell r="C4447">
            <v>42.1</v>
          </cell>
        </row>
        <row r="4448">
          <cell r="B4448" t="str">
            <v>Vogel,Roger R</v>
          </cell>
          <cell r="C4448">
            <v>12.48</v>
          </cell>
        </row>
        <row r="4449">
          <cell r="B4449" t="str">
            <v>Shy,Mique M</v>
          </cell>
          <cell r="C4449">
            <v>20.3</v>
          </cell>
        </row>
        <row r="4450">
          <cell r="B4450" t="str">
            <v>Joachim,Samantha L</v>
          </cell>
          <cell r="C4450">
            <v>25.29</v>
          </cell>
        </row>
        <row r="4451">
          <cell r="B4451" t="str">
            <v>Pietrandrea,Nicholas A</v>
          </cell>
          <cell r="C4451">
            <v>27.67</v>
          </cell>
        </row>
        <row r="4452">
          <cell r="B4452" t="str">
            <v>Doryland,David J</v>
          </cell>
          <cell r="C4452">
            <v>54.16</v>
          </cell>
        </row>
        <row r="4453">
          <cell r="B4453" t="str">
            <v>Savoie,Joshua J</v>
          </cell>
          <cell r="C4453">
            <v>19.25</v>
          </cell>
        </row>
        <row r="4454">
          <cell r="B4454" t="str">
            <v>Barranco,Marcos J</v>
          </cell>
          <cell r="C4454">
            <v>20</v>
          </cell>
        </row>
        <row r="4455">
          <cell r="B4455" t="str">
            <v>Towers,John R</v>
          </cell>
          <cell r="C4455">
            <v>19.989999999999998</v>
          </cell>
        </row>
        <row r="4456">
          <cell r="B4456" t="str">
            <v>Kane,Juha M</v>
          </cell>
          <cell r="C4456">
            <v>24.46</v>
          </cell>
        </row>
        <row r="4457">
          <cell r="B4457" t="str">
            <v>Delacruz,Vincente P</v>
          </cell>
          <cell r="C4457">
            <v>29.4</v>
          </cell>
        </row>
        <row r="4458">
          <cell r="B4458" t="str">
            <v>Cordesman,Justin G</v>
          </cell>
          <cell r="C4458">
            <v>66.150000000000006</v>
          </cell>
        </row>
        <row r="4459">
          <cell r="B4459" t="str">
            <v>Roundtree,Earl L</v>
          </cell>
          <cell r="C4459">
            <v>22.15</v>
          </cell>
        </row>
        <row r="4460">
          <cell r="B4460" t="str">
            <v>Torrey,Maryanne</v>
          </cell>
          <cell r="C4460">
            <v>46.77</v>
          </cell>
        </row>
        <row r="4461">
          <cell r="B4461" t="str">
            <v>Prude,Falon</v>
          </cell>
          <cell r="C4461">
            <v>23.07</v>
          </cell>
        </row>
        <row r="4462">
          <cell r="B4462" t="str">
            <v>Hamilton,Nicholas W</v>
          </cell>
          <cell r="C4462">
            <v>41.14</v>
          </cell>
        </row>
        <row r="4463">
          <cell r="B4463" t="str">
            <v>Pettis,Leonard J</v>
          </cell>
          <cell r="C4463">
            <v>24.5</v>
          </cell>
        </row>
        <row r="4464">
          <cell r="B4464" t="str">
            <v>Kvicala,Michael C</v>
          </cell>
          <cell r="C4464">
            <v>45.432699999999997</v>
          </cell>
        </row>
        <row r="4465">
          <cell r="B4465" t="str">
            <v>Ditmyer,Daniel R</v>
          </cell>
          <cell r="C4465">
            <v>21.92</v>
          </cell>
        </row>
        <row r="4466">
          <cell r="B4466" t="str">
            <v>Sterquel,Jason A</v>
          </cell>
          <cell r="C4466">
            <v>41.89</v>
          </cell>
        </row>
        <row r="4467">
          <cell r="B4467" t="str">
            <v>Littlejohn,Susan E</v>
          </cell>
          <cell r="C4467">
            <v>42.32</v>
          </cell>
        </row>
        <row r="4468">
          <cell r="B4468" t="str">
            <v>Rosenberger,John</v>
          </cell>
          <cell r="C4468">
            <v>57.18</v>
          </cell>
        </row>
        <row r="4469">
          <cell r="B4469" t="str">
            <v>Marvelli,Angalee</v>
          </cell>
          <cell r="C4469">
            <v>38.43</v>
          </cell>
        </row>
        <row r="4470">
          <cell r="B4470" t="str">
            <v>Hathaway,Craig J</v>
          </cell>
          <cell r="C4470">
            <v>20.49</v>
          </cell>
        </row>
        <row r="4471">
          <cell r="B4471" t="str">
            <v>Carrion,Colleen F</v>
          </cell>
          <cell r="C4471">
            <v>23.077000000000002</v>
          </cell>
        </row>
        <row r="4472">
          <cell r="B4472" t="str">
            <v>Gonzalez,Enrique</v>
          </cell>
          <cell r="C4472">
            <v>19.149999999999999</v>
          </cell>
        </row>
        <row r="4473">
          <cell r="B4473" t="str">
            <v>Locklear,Doris</v>
          </cell>
          <cell r="C4473">
            <v>38.85</v>
          </cell>
        </row>
        <row r="4474">
          <cell r="B4474" t="str">
            <v>Alyadinov,Bella</v>
          </cell>
          <cell r="C4474">
            <v>37.020000000000003</v>
          </cell>
        </row>
        <row r="4475">
          <cell r="B4475" t="str">
            <v>Durham,Kimberly</v>
          </cell>
          <cell r="C4475">
            <v>15.6</v>
          </cell>
        </row>
        <row r="4476">
          <cell r="B4476" t="str">
            <v>English,Rupert S</v>
          </cell>
          <cell r="C4476">
            <v>43.27</v>
          </cell>
        </row>
        <row r="4477">
          <cell r="B4477" t="str">
            <v>Freeman,Tawnia R</v>
          </cell>
          <cell r="C4477">
            <v>18.260000000000002</v>
          </cell>
        </row>
        <row r="4478">
          <cell r="B4478" t="str">
            <v>Adams,Sarah A</v>
          </cell>
          <cell r="C4478">
            <v>14.31</v>
          </cell>
        </row>
        <row r="4479">
          <cell r="B4479" t="str">
            <v>Webster,Tonia D</v>
          </cell>
          <cell r="C4479">
            <v>48.08</v>
          </cell>
        </row>
        <row r="4480">
          <cell r="B4480" t="str">
            <v>Marjane,Mohammed S</v>
          </cell>
          <cell r="C4480">
            <v>36.56</v>
          </cell>
        </row>
        <row r="4481">
          <cell r="B4481" t="str">
            <v>Sosalla,Phillip M</v>
          </cell>
          <cell r="C4481">
            <v>50.85</v>
          </cell>
        </row>
        <row r="4482">
          <cell r="B4482" t="str">
            <v>Dockery,Harry A</v>
          </cell>
          <cell r="C4482">
            <v>19.959800000000001</v>
          </cell>
        </row>
        <row r="4483">
          <cell r="B4483" t="str">
            <v>Tewalt,Sandra A</v>
          </cell>
          <cell r="C4483">
            <v>63.18</v>
          </cell>
        </row>
        <row r="4484">
          <cell r="B4484" t="str">
            <v>Wilson,Anna P</v>
          </cell>
          <cell r="C4484">
            <v>35.7273</v>
          </cell>
        </row>
        <row r="4485">
          <cell r="B4485" t="str">
            <v>Curry,Kendall</v>
          </cell>
          <cell r="C4485">
            <v>17.760000000000002</v>
          </cell>
        </row>
        <row r="4486">
          <cell r="B4486" t="str">
            <v>Walker,Tharrin D</v>
          </cell>
          <cell r="C4486">
            <v>30.91</v>
          </cell>
        </row>
        <row r="4487">
          <cell r="B4487" t="str">
            <v>Denning,Sarah</v>
          </cell>
          <cell r="C4487">
            <v>21.99</v>
          </cell>
        </row>
        <row r="4488">
          <cell r="B4488" t="str">
            <v>Cummings,Roswell S</v>
          </cell>
          <cell r="C4488">
            <v>28.37</v>
          </cell>
        </row>
        <row r="4489">
          <cell r="B4489" t="str">
            <v>Farrow Sr.,Ernest W</v>
          </cell>
          <cell r="C4489">
            <v>28.2</v>
          </cell>
        </row>
        <row r="4490">
          <cell r="B4490" t="str">
            <v>DiPerna,Douglas R</v>
          </cell>
          <cell r="C4490">
            <v>52.76</v>
          </cell>
        </row>
        <row r="4491">
          <cell r="B4491" t="str">
            <v>Lopez,Oscar J</v>
          </cell>
          <cell r="C4491">
            <v>21.26</v>
          </cell>
        </row>
        <row r="4492">
          <cell r="B4492" t="str">
            <v>Lancaster,Eric G</v>
          </cell>
          <cell r="C4492">
            <v>10</v>
          </cell>
        </row>
        <row r="4493">
          <cell r="B4493" t="str">
            <v>Butler,Adam B</v>
          </cell>
          <cell r="C4493">
            <v>36.380000000000003</v>
          </cell>
        </row>
        <row r="4494">
          <cell r="B4494" t="str">
            <v>Williams,George</v>
          </cell>
          <cell r="C4494">
            <v>53.21</v>
          </cell>
        </row>
        <row r="4495">
          <cell r="B4495" t="str">
            <v>Casson-Dickerson,Sandra</v>
          </cell>
          <cell r="C4495">
            <v>43.3</v>
          </cell>
        </row>
        <row r="4496">
          <cell r="B4496" t="str">
            <v>Shaker,Ellen M</v>
          </cell>
          <cell r="C4496">
            <v>45.85</v>
          </cell>
        </row>
        <row r="4497">
          <cell r="B4497" t="str">
            <v>Jumilla,Michael J</v>
          </cell>
          <cell r="C4497">
            <v>19</v>
          </cell>
        </row>
        <row r="4498">
          <cell r="B4498" t="str">
            <v>Olsen,Joseph M</v>
          </cell>
          <cell r="C4498">
            <v>16.45</v>
          </cell>
        </row>
        <row r="4499">
          <cell r="B4499" t="str">
            <v>Wells,Todd R</v>
          </cell>
          <cell r="C4499">
            <v>45.35</v>
          </cell>
        </row>
        <row r="4500">
          <cell r="B4500" t="str">
            <v>McCall,Andrew D</v>
          </cell>
          <cell r="C4500">
            <v>20.2</v>
          </cell>
        </row>
        <row r="4501">
          <cell r="B4501" t="str">
            <v>Scott,Ralph M.</v>
          </cell>
          <cell r="C4501">
            <v>27.65</v>
          </cell>
        </row>
        <row r="4502">
          <cell r="B4502" t="str">
            <v>Schafer,Franklin M</v>
          </cell>
          <cell r="C4502">
            <v>45.59</v>
          </cell>
        </row>
        <row r="4503">
          <cell r="B4503" t="str">
            <v>Fonck,Jeffery L</v>
          </cell>
          <cell r="C4503">
            <v>46.19</v>
          </cell>
        </row>
        <row r="4504">
          <cell r="B4504" t="str">
            <v>Day,Mark E</v>
          </cell>
          <cell r="C4504">
            <v>91.61</v>
          </cell>
        </row>
        <row r="4505">
          <cell r="B4505" t="str">
            <v>Whitley,Jonathan</v>
          </cell>
          <cell r="C4505">
            <v>33.76</v>
          </cell>
        </row>
        <row r="4506">
          <cell r="B4506" t="str">
            <v>Flannagan,Rodney J</v>
          </cell>
          <cell r="C4506">
            <v>18.53</v>
          </cell>
        </row>
        <row r="4507">
          <cell r="B4507" t="str">
            <v>McKelvey,Michael V</v>
          </cell>
          <cell r="C4507">
            <v>56.2</v>
          </cell>
        </row>
        <row r="4508">
          <cell r="B4508" t="str">
            <v>Johnson,Robert A</v>
          </cell>
          <cell r="C4508">
            <v>20.89</v>
          </cell>
        </row>
        <row r="4509">
          <cell r="B4509" t="str">
            <v>Hyde,Sherry L</v>
          </cell>
          <cell r="C4509">
            <v>35.1</v>
          </cell>
        </row>
        <row r="4510">
          <cell r="B4510" t="str">
            <v>Kane,Mark E</v>
          </cell>
          <cell r="C4510">
            <v>84.79</v>
          </cell>
        </row>
        <row r="4511">
          <cell r="B4511" t="str">
            <v>Kelley,Melia</v>
          </cell>
          <cell r="C4511">
            <v>41.83</v>
          </cell>
        </row>
        <row r="4512">
          <cell r="B4512" t="str">
            <v>Febus,Karina J</v>
          </cell>
          <cell r="C4512">
            <v>34.64</v>
          </cell>
        </row>
        <row r="4513">
          <cell r="B4513" t="str">
            <v>Hare,Roy D.</v>
          </cell>
          <cell r="C4513">
            <v>57.57</v>
          </cell>
        </row>
        <row r="4514">
          <cell r="B4514" t="str">
            <v>Hodge,Christopher A</v>
          </cell>
          <cell r="C4514">
            <v>70.34</v>
          </cell>
        </row>
        <row r="4515">
          <cell r="B4515" t="str">
            <v>Polidoro,Lisa D.</v>
          </cell>
          <cell r="C4515">
            <v>24.83</v>
          </cell>
        </row>
        <row r="4516">
          <cell r="B4516" t="str">
            <v>Elzey III,Herman E</v>
          </cell>
          <cell r="C4516">
            <v>32.67</v>
          </cell>
        </row>
        <row r="4517">
          <cell r="B4517" t="str">
            <v>Grant,Gary L</v>
          </cell>
          <cell r="C4517">
            <v>19.16</v>
          </cell>
        </row>
        <row r="4518">
          <cell r="B4518" t="str">
            <v>Willis,Vaiaga</v>
          </cell>
          <cell r="C4518">
            <v>20.010000000000002</v>
          </cell>
        </row>
        <row r="4519">
          <cell r="B4519" t="str">
            <v>Allwood,Steven A</v>
          </cell>
          <cell r="C4519">
            <v>21.01</v>
          </cell>
        </row>
        <row r="4520">
          <cell r="B4520" t="str">
            <v>Williams,Bryan D</v>
          </cell>
          <cell r="C4520">
            <v>35.99</v>
          </cell>
        </row>
        <row r="4521">
          <cell r="B4521" t="str">
            <v>Johnson,Barrington K</v>
          </cell>
          <cell r="C4521">
            <v>19.5</v>
          </cell>
        </row>
        <row r="4522">
          <cell r="B4522" t="str">
            <v>Morrison,James M</v>
          </cell>
          <cell r="C4522">
            <v>59.38</v>
          </cell>
        </row>
        <row r="4523">
          <cell r="B4523" t="str">
            <v>Otto,Jennie M</v>
          </cell>
          <cell r="C4523">
            <v>33.78</v>
          </cell>
        </row>
        <row r="4524">
          <cell r="B4524" t="str">
            <v>Williams,Donte</v>
          </cell>
          <cell r="C4524">
            <v>18</v>
          </cell>
        </row>
        <row r="4525">
          <cell r="B4525" t="str">
            <v>Bryant,Kendra D</v>
          </cell>
          <cell r="C4525">
            <v>17.260000000000002</v>
          </cell>
        </row>
        <row r="4526">
          <cell r="B4526" t="str">
            <v>Padgett,Jason A</v>
          </cell>
          <cell r="C4526">
            <v>36.06</v>
          </cell>
        </row>
        <row r="4527">
          <cell r="B4527" t="str">
            <v>Pons,Vincent L</v>
          </cell>
          <cell r="C4527">
            <v>20</v>
          </cell>
        </row>
        <row r="4528">
          <cell r="B4528" t="str">
            <v>Henderson,Mark T</v>
          </cell>
          <cell r="C4528">
            <v>28.85</v>
          </cell>
        </row>
        <row r="4529">
          <cell r="B4529" t="str">
            <v>Blackburn,Jeffrey E</v>
          </cell>
          <cell r="C4529">
            <v>47.115400000000001</v>
          </cell>
        </row>
        <row r="4530">
          <cell r="B4530" t="str">
            <v>Kelly,Gregory</v>
          </cell>
          <cell r="C4530">
            <v>31</v>
          </cell>
        </row>
        <row r="4531">
          <cell r="B4531" t="str">
            <v>Clark,Neal D</v>
          </cell>
          <cell r="C4531">
            <v>44.24</v>
          </cell>
        </row>
        <row r="4532">
          <cell r="B4532" t="str">
            <v>Hambright,Dawan</v>
          </cell>
          <cell r="C4532">
            <v>21.55</v>
          </cell>
        </row>
        <row r="4533">
          <cell r="B4533" t="str">
            <v>Green,William S</v>
          </cell>
          <cell r="C4533">
            <v>61.51</v>
          </cell>
        </row>
        <row r="4534">
          <cell r="B4534" t="str">
            <v>Marshall,John S</v>
          </cell>
          <cell r="C4534">
            <v>21.85</v>
          </cell>
        </row>
        <row r="4535">
          <cell r="B4535" t="str">
            <v>Jones,Terrance D</v>
          </cell>
          <cell r="C4535">
            <v>17.170000000000002</v>
          </cell>
        </row>
        <row r="4536">
          <cell r="B4536" t="str">
            <v>Lee,Samilet</v>
          </cell>
          <cell r="C4536">
            <v>29.21</v>
          </cell>
        </row>
        <row r="4537">
          <cell r="B4537" t="str">
            <v>Garcia,Roxanna M.</v>
          </cell>
          <cell r="C4537">
            <v>37.799999999999997</v>
          </cell>
        </row>
        <row r="4538">
          <cell r="B4538" t="str">
            <v>Prather,Anne M</v>
          </cell>
          <cell r="C4538">
            <v>33.57</v>
          </cell>
        </row>
        <row r="4539">
          <cell r="B4539" t="str">
            <v>Stead,Edward F</v>
          </cell>
          <cell r="C4539">
            <v>15.44</v>
          </cell>
        </row>
        <row r="4540">
          <cell r="B4540" t="str">
            <v>Bourne,Darold C</v>
          </cell>
          <cell r="C4540">
            <v>23.9</v>
          </cell>
        </row>
        <row r="4541">
          <cell r="B4541" t="str">
            <v>Welker,Daren L</v>
          </cell>
          <cell r="C4541">
            <v>21.15</v>
          </cell>
        </row>
        <row r="4542">
          <cell r="B4542" t="str">
            <v>Larson,Kenneth P.</v>
          </cell>
          <cell r="C4542">
            <v>37.83</v>
          </cell>
        </row>
        <row r="4543">
          <cell r="B4543" t="str">
            <v>Tipton,Rosenette M</v>
          </cell>
          <cell r="C4543">
            <v>43.75</v>
          </cell>
        </row>
        <row r="4544">
          <cell r="B4544" t="str">
            <v>Malone Jr.,Michael L</v>
          </cell>
          <cell r="C4544">
            <v>19.989999999999998</v>
          </cell>
        </row>
        <row r="4545">
          <cell r="B4545" t="str">
            <v>Rodriguez,Andrew R</v>
          </cell>
          <cell r="C4545">
            <v>26.75</v>
          </cell>
        </row>
        <row r="4546">
          <cell r="B4546" t="str">
            <v>Newsom,Damon R</v>
          </cell>
          <cell r="C4546">
            <v>19.850000000000001</v>
          </cell>
        </row>
        <row r="4547">
          <cell r="B4547" t="str">
            <v>Santiff,Linda M</v>
          </cell>
          <cell r="C4547">
            <v>52.89</v>
          </cell>
        </row>
        <row r="4548">
          <cell r="B4548" t="str">
            <v>Williams,Nakisha M</v>
          </cell>
          <cell r="C4548">
            <v>24.04</v>
          </cell>
        </row>
        <row r="4549">
          <cell r="B4549" t="str">
            <v>Proctor,Gloryvee</v>
          </cell>
          <cell r="C4549">
            <v>26.445</v>
          </cell>
        </row>
        <row r="4550">
          <cell r="B4550" t="str">
            <v>Yang,Xiaoxi</v>
          </cell>
          <cell r="C4550">
            <v>36.54</v>
          </cell>
        </row>
        <row r="4551">
          <cell r="B4551" t="str">
            <v>Carballo,Allen S</v>
          </cell>
          <cell r="C4551">
            <v>77.529750000000007</v>
          </cell>
        </row>
        <row r="4552">
          <cell r="B4552" t="str">
            <v>Bolivar,Miguel A</v>
          </cell>
          <cell r="C4552">
            <v>42.32</v>
          </cell>
        </row>
        <row r="4553">
          <cell r="B4553" t="str">
            <v>Barrick,Melissa C</v>
          </cell>
          <cell r="C4553">
            <v>21</v>
          </cell>
        </row>
        <row r="4554">
          <cell r="B4554" t="str">
            <v>Criner,Regie B</v>
          </cell>
          <cell r="C4554">
            <v>16.52</v>
          </cell>
        </row>
        <row r="4555">
          <cell r="B4555" t="str">
            <v>Sample,Michael L</v>
          </cell>
          <cell r="C4555">
            <v>27</v>
          </cell>
        </row>
        <row r="4556">
          <cell r="B4556" t="str">
            <v>Ortiz Morales,Juan A</v>
          </cell>
          <cell r="C4556">
            <v>23.55</v>
          </cell>
        </row>
        <row r="4557">
          <cell r="B4557" t="str">
            <v>Klein Jr.,Daniel E</v>
          </cell>
          <cell r="C4557">
            <v>29.12</v>
          </cell>
        </row>
        <row r="4558">
          <cell r="B4558" t="str">
            <v>Starling Jr.,Guy W</v>
          </cell>
          <cell r="C4558">
            <v>27.41</v>
          </cell>
        </row>
        <row r="4559">
          <cell r="B4559" t="str">
            <v>Faubell,Elizabeth</v>
          </cell>
          <cell r="C4559">
            <v>18</v>
          </cell>
        </row>
        <row r="4560">
          <cell r="B4560" t="str">
            <v>Gearhart,Michael A</v>
          </cell>
          <cell r="C4560">
            <v>20.61</v>
          </cell>
        </row>
        <row r="4561">
          <cell r="B4561" t="str">
            <v>Peterson,Edith K</v>
          </cell>
          <cell r="C4561">
            <v>29.1</v>
          </cell>
        </row>
        <row r="4562">
          <cell r="B4562" t="str">
            <v>Jones,Kendrick L</v>
          </cell>
          <cell r="C4562">
            <v>27.12</v>
          </cell>
        </row>
        <row r="4563">
          <cell r="B4563" t="str">
            <v>Johns,Nicole</v>
          </cell>
          <cell r="C4563">
            <v>16.72</v>
          </cell>
        </row>
        <row r="4564">
          <cell r="B4564" t="str">
            <v>Gregory,Christopher T</v>
          </cell>
          <cell r="C4564">
            <v>18.75</v>
          </cell>
        </row>
        <row r="4565">
          <cell r="B4565" t="str">
            <v>Frazier,Richard L</v>
          </cell>
          <cell r="C4565">
            <v>18</v>
          </cell>
        </row>
        <row r="4566">
          <cell r="B4566" t="str">
            <v>Perez,Edward</v>
          </cell>
          <cell r="C4566">
            <v>31.25</v>
          </cell>
        </row>
        <row r="4567">
          <cell r="B4567" t="str">
            <v>Harrell,Christopher</v>
          </cell>
          <cell r="C4567">
            <v>19</v>
          </cell>
        </row>
        <row r="4568">
          <cell r="B4568" t="str">
            <v>Wood,Brenda J</v>
          </cell>
          <cell r="C4568">
            <v>63.460999999999999</v>
          </cell>
        </row>
        <row r="4569">
          <cell r="B4569" t="str">
            <v>Hudson,Michael</v>
          </cell>
          <cell r="C4569">
            <v>33.520000000000003</v>
          </cell>
        </row>
        <row r="4570">
          <cell r="B4570" t="str">
            <v>Kennebrew,Gregory K</v>
          </cell>
          <cell r="C4570">
            <v>16.37</v>
          </cell>
        </row>
        <row r="4571">
          <cell r="B4571" t="str">
            <v>Broemmel,Brad T</v>
          </cell>
          <cell r="C4571">
            <v>83.075999999999993</v>
          </cell>
        </row>
        <row r="4572">
          <cell r="B4572" t="str">
            <v>Vu,Huy X</v>
          </cell>
          <cell r="C4572">
            <v>63.96</v>
          </cell>
        </row>
        <row r="4573">
          <cell r="B4573" t="str">
            <v>Andrews,Marcus</v>
          </cell>
          <cell r="C4573">
            <v>24.78</v>
          </cell>
        </row>
        <row r="4574">
          <cell r="B4574" t="str">
            <v>Janke,Rose M</v>
          </cell>
          <cell r="C4574">
            <v>71.28</v>
          </cell>
        </row>
        <row r="4575">
          <cell r="B4575" t="str">
            <v>Calarrudo,Joseph J.</v>
          </cell>
          <cell r="C4575">
            <v>50</v>
          </cell>
        </row>
        <row r="4576">
          <cell r="B4576" t="str">
            <v>Habitzreuther,Rachael A</v>
          </cell>
          <cell r="C4576">
            <v>26.02</v>
          </cell>
        </row>
        <row r="4577">
          <cell r="B4577" t="str">
            <v>Alvear,Michael A</v>
          </cell>
          <cell r="C4577">
            <v>32.25</v>
          </cell>
        </row>
        <row r="4578">
          <cell r="B4578" t="str">
            <v>Bloxam,Brieuc W.</v>
          </cell>
          <cell r="C4578">
            <v>65.540000000000006</v>
          </cell>
        </row>
        <row r="4579">
          <cell r="B4579" t="str">
            <v>Ames,Steve A</v>
          </cell>
          <cell r="C4579">
            <v>27.22</v>
          </cell>
        </row>
        <row r="4580">
          <cell r="B4580" t="str">
            <v>Brosnan,Karl F</v>
          </cell>
          <cell r="C4580">
            <v>27.08</v>
          </cell>
        </row>
        <row r="4581">
          <cell r="B4581" t="str">
            <v>Steil,Douglas H</v>
          </cell>
          <cell r="C4581">
            <v>84.14</v>
          </cell>
        </row>
        <row r="4582">
          <cell r="B4582" t="str">
            <v>Mitchell,William R</v>
          </cell>
          <cell r="C4582">
            <v>48.048000000000002</v>
          </cell>
        </row>
        <row r="4583">
          <cell r="B4583" t="str">
            <v>Terry,Dustin R</v>
          </cell>
          <cell r="C4583">
            <v>24</v>
          </cell>
        </row>
        <row r="4584">
          <cell r="B4584" t="str">
            <v>Taylor,David C</v>
          </cell>
          <cell r="C4584">
            <v>86.54</v>
          </cell>
        </row>
        <row r="4585">
          <cell r="B4585" t="str">
            <v>Nicolas,Pureza B</v>
          </cell>
          <cell r="C4585">
            <v>23</v>
          </cell>
        </row>
        <row r="4586">
          <cell r="B4586" t="str">
            <v>Seamans,Charles T</v>
          </cell>
          <cell r="C4586">
            <v>19.45</v>
          </cell>
        </row>
        <row r="4587">
          <cell r="B4587" t="str">
            <v>Crump,Scott R</v>
          </cell>
          <cell r="C4587">
            <v>20.47</v>
          </cell>
        </row>
        <row r="4588">
          <cell r="B4588" t="str">
            <v>Arseneault,Matthew R</v>
          </cell>
          <cell r="C4588">
            <v>17</v>
          </cell>
        </row>
        <row r="4589">
          <cell r="B4589" t="str">
            <v>Jones,Ladonna M</v>
          </cell>
          <cell r="C4589">
            <v>20.99</v>
          </cell>
        </row>
        <row r="4590">
          <cell r="B4590" t="str">
            <v>Brill,Jason S</v>
          </cell>
          <cell r="C4590">
            <v>28.85</v>
          </cell>
        </row>
        <row r="4591">
          <cell r="B4591" t="str">
            <v>Gharai,Susan</v>
          </cell>
          <cell r="C4591">
            <v>44.89</v>
          </cell>
        </row>
        <row r="4592">
          <cell r="B4592" t="str">
            <v>Ngo,Candice R</v>
          </cell>
          <cell r="C4592">
            <v>36.54</v>
          </cell>
        </row>
        <row r="4593">
          <cell r="B4593" t="str">
            <v>Harrelson,Stacy G</v>
          </cell>
          <cell r="C4593">
            <v>19.5</v>
          </cell>
        </row>
        <row r="4594">
          <cell r="B4594" t="str">
            <v>Herring,Brandon S</v>
          </cell>
          <cell r="C4594">
            <v>21.5</v>
          </cell>
        </row>
        <row r="4595">
          <cell r="B4595" t="str">
            <v>McGallian,Linell P</v>
          </cell>
          <cell r="C4595">
            <v>44.230800000000002</v>
          </cell>
        </row>
        <row r="4596">
          <cell r="B4596" t="str">
            <v>Roberts,Marc C.</v>
          </cell>
          <cell r="C4596">
            <v>76.739999999999995</v>
          </cell>
        </row>
        <row r="4597">
          <cell r="B4597" t="str">
            <v>Quick,Debby K</v>
          </cell>
          <cell r="C4597">
            <v>18.559999999999999</v>
          </cell>
        </row>
        <row r="4598">
          <cell r="B4598" t="str">
            <v>Pauley,Matthew D</v>
          </cell>
          <cell r="C4598">
            <v>16.3</v>
          </cell>
        </row>
        <row r="4599">
          <cell r="B4599" t="str">
            <v>Amato,Michael D</v>
          </cell>
          <cell r="C4599">
            <v>75.4602</v>
          </cell>
        </row>
        <row r="4600">
          <cell r="B4600" t="str">
            <v>Cook,Joseph C</v>
          </cell>
          <cell r="C4600">
            <v>62.44</v>
          </cell>
        </row>
        <row r="4601">
          <cell r="B4601" t="str">
            <v>Mckinney-Suber,Michelle</v>
          </cell>
          <cell r="C4601">
            <v>22.97</v>
          </cell>
        </row>
        <row r="4602">
          <cell r="B4602" t="str">
            <v>Thayer,Monica T</v>
          </cell>
          <cell r="C4602">
            <v>37.75</v>
          </cell>
        </row>
        <row r="4603">
          <cell r="B4603" t="str">
            <v>Tuttle,Floyd N</v>
          </cell>
          <cell r="C4603">
            <v>18.5</v>
          </cell>
        </row>
        <row r="4604">
          <cell r="B4604" t="str">
            <v>Yu,Ryan</v>
          </cell>
          <cell r="C4604">
            <v>56.25</v>
          </cell>
        </row>
        <row r="4605">
          <cell r="B4605" t="str">
            <v>Patel,Mehul G.</v>
          </cell>
          <cell r="C4605">
            <v>47.51</v>
          </cell>
        </row>
        <row r="4606">
          <cell r="B4606" t="str">
            <v>Matthews,Victor C</v>
          </cell>
          <cell r="C4606">
            <v>22</v>
          </cell>
        </row>
        <row r="4607">
          <cell r="B4607" t="str">
            <v>Wise,Michael L</v>
          </cell>
          <cell r="C4607">
            <v>21</v>
          </cell>
        </row>
        <row r="4608">
          <cell r="B4608" t="str">
            <v>Symonds,Stephanie J</v>
          </cell>
          <cell r="C4608">
            <v>23.08</v>
          </cell>
        </row>
        <row r="4609">
          <cell r="B4609" t="str">
            <v>Perlmutter,Margaret</v>
          </cell>
          <cell r="C4609">
            <v>74.52</v>
          </cell>
        </row>
        <row r="4610">
          <cell r="B4610" t="str">
            <v>Mosquera,David J</v>
          </cell>
          <cell r="C4610">
            <v>25.480799999999999</v>
          </cell>
        </row>
        <row r="4611">
          <cell r="B4611" t="str">
            <v>DeGrand,Thomas L</v>
          </cell>
          <cell r="C4611">
            <v>43.27</v>
          </cell>
        </row>
        <row r="4612">
          <cell r="B4612" t="str">
            <v>Baskin,Richard M</v>
          </cell>
          <cell r="C4612">
            <v>20.82</v>
          </cell>
        </row>
        <row r="4613">
          <cell r="B4613" t="str">
            <v>Rutch,Terrance K</v>
          </cell>
          <cell r="C4613">
            <v>20</v>
          </cell>
        </row>
        <row r="4614">
          <cell r="B4614" t="str">
            <v>Vick,Edmund R</v>
          </cell>
          <cell r="C4614">
            <v>57.918269000000002</v>
          </cell>
        </row>
        <row r="4615">
          <cell r="B4615" t="str">
            <v>Dufford,Stephen W</v>
          </cell>
          <cell r="C4615">
            <v>36.29</v>
          </cell>
        </row>
        <row r="4616">
          <cell r="B4616" t="str">
            <v>Elswick,Donald K</v>
          </cell>
          <cell r="C4616">
            <v>61.82</v>
          </cell>
        </row>
        <row r="4617">
          <cell r="B4617" t="str">
            <v>Creal,Paul E</v>
          </cell>
          <cell r="C4617">
            <v>39.75</v>
          </cell>
        </row>
        <row r="4618">
          <cell r="B4618" t="str">
            <v>Crabtree,Paul E</v>
          </cell>
          <cell r="C4618">
            <v>32.94</v>
          </cell>
        </row>
        <row r="4619">
          <cell r="B4619" t="str">
            <v>Villafane,Rosa L</v>
          </cell>
          <cell r="C4619">
            <v>31.98</v>
          </cell>
        </row>
        <row r="4620">
          <cell r="B4620" t="str">
            <v>Stokley,Timothy L</v>
          </cell>
          <cell r="C4620">
            <v>44.24</v>
          </cell>
        </row>
        <row r="4621">
          <cell r="B4621" t="str">
            <v>Werts,Candice R</v>
          </cell>
          <cell r="C4621">
            <v>29.63</v>
          </cell>
        </row>
        <row r="4622">
          <cell r="B4622" t="str">
            <v>Kelmartin,Nicholas E</v>
          </cell>
          <cell r="C4622">
            <v>25.36</v>
          </cell>
        </row>
        <row r="4623">
          <cell r="B4623" t="str">
            <v>Volovsek,Steven</v>
          </cell>
          <cell r="C4623">
            <v>43.5</v>
          </cell>
        </row>
        <row r="4624">
          <cell r="B4624" t="str">
            <v>Bellard,Derek R</v>
          </cell>
          <cell r="C4624">
            <v>18.5</v>
          </cell>
        </row>
        <row r="4625">
          <cell r="B4625" t="str">
            <v>Worster,Chad S</v>
          </cell>
          <cell r="C4625">
            <v>17.47</v>
          </cell>
        </row>
        <row r="4626">
          <cell r="B4626" t="str">
            <v>Smart,Jamil L</v>
          </cell>
          <cell r="C4626">
            <v>43.27</v>
          </cell>
        </row>
        <row r="4627">
          <cell r="B4627" t="str">
            <v>Carbo,Lorenzo E</v>
          </cell>
          <cell r="C4627">
            <v>19.149999999999999</v>
          </cell>
        </row>
        <row r="4628">
          <cell r="B4628" t="str">
            <v>Nuanes,Jim S</v>
          </cell>
          <cell r="C4628">
            <v>50</v>
          </cell>
        </row>
        <row r="4629">
          <cell r="B4629" t="str">
            <v>Solon,John T</v>
          </cell>
          <cell r="C4629">
            <v>43.269199999999998</v>
          </cell>
        </row>
        <row r="4630">
          <cell r="B4630" t="str">
            <v>Crookston,Brian</v>
          </cell>
          <cell r="C4630">
            <v>28.85</v>
          </cell>
        </row>
        <row r="4631">
          <cell r="B4631" t="str">
            <v>Montgomery,Calvin</v>
          </cell>
          <cell r="C4631">
            <v>23.5</v>
          </cell>
        </row>
        <row r="4632">
          <cell r="B4632" t="str">
            <v>Wrona,Norm J</v>
          </cell>
          <cell r="C4632">
            <v>35</v>
          </cell>
        </row>
        <row r="4633">
          <cell r="B4633" t="str">
            <v>Calabrese,Virginia A</v>
          </cell>
          <cell r="C4633">
            <v>37.42</v>
          </cell>
        </row>
        <row r="4634">
          <cell r="B4634" t="str">
            <v>Anderson,Michael A</v>
          </cell>
          <cell r="C4634">
            <v>50.104300000000002</v>
          </cell>
        </row>
        <row r="4635">
          <cell r="B4635" t="str">
            <v>Kelleher,Kevin P</v>
          </cell>
          <cell r="C4635">
            <v>48.47</v>
          </cell>
        </row>
        <row r="4636">
          <cell r="B4636" t="str">
            <v>Alverio,Gustavo</v>
          </cell>
          <cell r="C4636">
            <v>33.01</v>
          </cell>
        </row>
        <row r="4637">
          <cell r="B4637" t="str">
            <v>Martin,Michael E</v>
          </cell>
          <cell r="C4637">
            <v>43.269199999999998</v>
          </cell>
        </row>
        <row r="4638">
          <cell r="B4638" t="str">
            <v>Ozinga,Samuel J</v>
          </cell>
          <cell r="C4638">
            <v>37.5</v>
          </cell>
        </row>
        <row r="4639">
          <cell r="B4639" t="str">
            <v>Woodard,Laurie J</v>
          </cell>
          <cell r="C4639">
            <v>12.48</v>
          </cell>
        </row>
        <row r="4640">
          <cell r="B4640" t="str">
            <v>Richards II,Michael F</v>
          </cell>
          <cell r="C4640">
            <v>42.31</v>
          </cell>
        </row>
        <row r="4641">
          <cell r="B4641" t="str">
            <v>Ward,William C</v>
          </cell>
          <cell r="C4641">
            <v>22.19</v>
          </cell>
        </row>
        <row r="4642">
          <cell r="B4642" t="str">
            <v>Robinson,Thomas D</v>
          </cell>
          <cell r="C4642">
            <v>33.869999999999997</v>
          </cell>
        </row>
        <row r="4643">
          <cell r="B4643" t="str">
            <v>Edwards,Robert C</v>
          </cell>
          <cell r="C4643">
            <v>30.68</v>
          </cell>
        </row>
        <row r="4644">
          <cell r="B4644" t="str">
            <v>Maloof,Mireille</v>
          </cell>
          <cell r="C4644">
            <v>47.05</v>
          </cell>
        </row>
        <row r="4645">
          <cell r="B4645" t="str">
            <v>Limbasiya,Kina K</v>
          </cell>
          <cell r="C4645">
            <v>27.41</v>
          </cell>
        </row>
        <row r="4646">
          <cell r="B4646" t="str">
            <v>Fuller,Gregory L</v>
          </cell>
          <cell r="C4646">
            <v>20.8</v>
          </cell>
        </row>
        <row r="4647">
          <cell r="B4647" t="str">
            <v>Calloway,April T</v>
          </cell>
          <cell r="C4647">
            <v>32.490400000000001</v>
          </cell>
        </row>
        <row r="4648">
          <cell r="B4648" t="str">
            <v>Talley Jr.,Otis B</v>
          </cell>
          <cell r="C4648">
            <v>35.79</v>
          </cell>
        </row>
        <row r="4649">
          <cell r="B4649" t="str">
            <v>Cook,Joseph E</v>
          </cell>
          <cell r="C4649">
            <v>19</v>
          </cell>
        </row>
        <row r="4650">
          <cell r="B4650" t="str">
            <v>Bridges,Reginald F</v>
          </cell>
          <cell r="C4650">
            <v>25</v>
          </cell>
        </row>
        <row r="4651">
          <cell r="B4651" t="str">
            <v>Madden,John L</v>
          </cell>
          <cell r="C4651">
            <v>20.89</v>
          </cell>
        </row>
        <row r="4652">
          <cell r="B4652" t="str">
            <v>Nealy,Rinay</v>
          </cell>
          <cell r="C4652">
            <v>39.68</v>
          </cell>
        </row>
        <row r="4653">
          <cell r="B4653" t="str">
            <v>Dooley,Joseph M</v>
          </cell>
          <cell r="C4653">
            <v>51.8611</v>
          </cell>
        </row>
        <row r="4654">
          <cell r="B4654" t="str">
            <v>Brookes Jr.,Peter T</v>
          </cell>
          <cell r="C4654">
            <v>26.45</v>
          </cell>
        </row>
        <row r="4655">
          <cell r="B4655" t="str">
            <v>Lund,Alisa M</v>
          </cell>
          <cell r="C4655">
            <v>28.85</v>
          </cell>
        </row>
        <row r="4656">
          <cell r="B4656" t="str">
            <v>Daniels,Mitchell A</v>
          </cell>
          <cell r="C4656">
            <v>88.95</v>
          </cell>
        </row>
        <row r="4657">
          <cell r="B4657" t="str">
            <v>McCeney,James A</v>
          </cell>
          <cell r="C4657">
            <v>19.809999999999999</v>
          </cell>
        </row>
        <row r="4658">
          <cell r="B4658" t="str">
            <v>Riley,Marc L</v>
          </cell>
          <cell r="C4658">
            <v>53.55</v>
          </cell>
        </row>
        <row r="4659">
          <cell r="B4659" t="str">
            <v>Gregory,Shantrice D</v>
          </cell>
          <cell r="C4659">
            <v>22.68</v>
          </cell>
        </row>
        <row r="4660">
          <cell r="B4660" t="str">
            <v>Schrimsher,David N</v>
          </cell>
          <cell r="C4660">
            <v>69.819999999999993</v>
          </cell>
        </row>
        <row r="4661">
          <cell r="B4661" t="str">
            <v>Robinson,Charles M</v>
          </cell>
          <cell r="C4661">
            <v>30.28</v>
          </cell>
        </row>
        <row r="4662">
          <cell r="B4662" t="str">
            <v>Garrett,Quenton L</v>
          </cell>
          <cell r="C4662">
            <v>30.77</v>
          </cell>
        </row>
        <row r="4663">
          <cell r="B4663" t="str">
            <v>Crawley,Willie E.</v>
          </cell>
          <cell r="C4663">
            <v>55.73</v>
          </cell>
        </row>
        <row r="4664">
          <cell r="B4664" t="str">
            <v>Jones,James C.</v>
          </cell>
          <cell r="C4664">
            <v>47</v>
          </cell>
        </row>
        <row r="4665">
          <cell r="B4665" t="str">
            <v>Jacques,Glenn J</v>
          </cell>
          <cell r="C4665">
            <v>24.03</v>
          </cell>
        </row>
        <row r="4666">
          <cell r="B4666" t="str">
            <v>Wilkie,Amy J</v>
          </cell>
          <cell r="C4666">
            <v>14.76</v>
          </cell>
        </row>
        <row r="4667">
          <cell r="B4667" t="str">
            <v>Baker,James A</v>
          </cell>
          <cell r="C4667">
            <v>44.23</v>
          </cell>
        </row>
        <row r="4668">
          <cell r="B4668" t="str">
            <v>Wilson,Amanda L</v>
          </cell>
          <cell r="C4668">
            <v>40.869999999999997</v>
          </cell>
        </row>
        <row r="4669">
          <cell r="B4669" t="str">
            <v>Rodriguez,Maykel</v>
          </cell>
          <cell r="C4669">
            <v>16.96</v>
          </cell>
        </row>
        <row r="4670">
          <cell r="B4670" t="str">
            <v>Sullivan,Tiffany L</v>
          </cell>
          <cell r="C4670">
            <v>60.1</v>
          </cell>
        </row>
        <row r="4671">
          <cell r="B4671" t="str">
            <v>Lee-Hill,Lakeidra C</v>
          </cell>
          <cell r="C4671">
            <v>16.71</v>
          </cell>
        </row>
        <row r="4672">
          <cell r="B4672" t="str">
            <v>Lunsford,William L</v>
          </cell>
          <cell r="C4672">
            <v>37.29</v>
          </cell>
        </row>
        <row r="4673">
          <cell r="B4673" t="str">
            <v>Rush,Jeff E</v>
          </cell>
          <cell r="C4673">
            <v>19</v>
          </cell>
        </row>
        <row r="4674">
          <cell r="B4674" t="str">
            <v>Fluker,Anthony</v>
          </cell>
          <cell r="C4674">
            <v>21</v>
          </cell>
        </row>
        <row r="4675">
          <cell r="B4675" t="str">
            <v>Rietheimer,Jennifer K</v>
          </cell>
          <cell r="C4675">
            <v>45.88</v>
          </cell>
        </row>
        <row r="4676">
          <cell r="B4676" t="str">
            <v>Irizarry,Reynaldo</v>
          </cell>
          <cell r="C4676">
            <v>20.64</v>
          </cell>
        </row>
        <row r="4677">
          <cell r="B4677" t="str">
            <v>Newman,Stuart J</v>
          </cell>
          <cell r="C4677">
            <v>43.27</v>
          </cell>
        </row>
        <row r="4678">
          <cell r="B4678" t="str">
            <v>Geisel,Christi B</v>
          </cell>
          <cell r="C4678">
            <v>20.77</v>
          </cell>
        </row>
        <row r="4679">
          <cell r="B4679" t="str">
            <v>Concepcion,Nissa N</v>
          </cell>
          <cell r="C4679">
            <v>30.98</v>
          </cell>
        </row>
        <row r="4680">
          <cell r="B4680" t="str">
            <v>Gaucin,Claudia G</v>
          </cell>
          <cell r="C4680">
            <v>18.16</v>
          </cell>
        </row>
        <row r="4681">
          <cell r="B4681" t="str">
            <v>Morris,Abigail S</v>
          </cell>
          <cell r="C4681">
            <v>12.85</v>
          </cell>
        </row>
        <row r="4682">
          <cell r="B4682" t="str">
            <v>Bryant,James W</v>
          </cell>
          <cell r="C4682">
            <v>20.100000000000001</v>
          </cell>
        </row>
        <row r="4683">
          <cell r="B4683" t="str">
            <v>Watson,Angelika G.E.</v>
          </cell>
          <cell r="C4683">
            <v>22.16</v>
          </cell>
        </row>
        <row r="4684">
          <cell r="B4684" t="str">
            <v>Maxey,Ashley D</v>
          </cell>
          <cell r="C4684">
            <v>13.83</v>
          </cell>
        </row>
        <row r="4685">
          <cell r="B4685" t="str">
            <v>Linger,Wade B</v>
          </cell>
          <cell r="C4685">
            <v>10</v>
          </cell>
        </row>
        <row r="4686">
          <cell r="B4686" t="str">
            <v>Forte,Kevin A</v>
          </cell>
          <cell r="C4686">
            <v>28.37</v>
          </cell>
        </row>
        <row r="4687">
          <cell r="B4687" t="str">
            <v>Southard,Shawn M</v>
          </cell>
          <cell r="C4687">
            <v>11.49</v>
          </cell>
        </row>
        <row r="4688">
          <cell r="B4688" t="str">
            <v>Piche,Sean P</v>
          </cell>
          <cell r="C4688">
            <v>29.76</v>
          </cell>
        </row>
        <row r="4689">
          <cell r="B4689" t="str">
            <v>Millhouse,John K</v>
          </cell>
          <cell r="C4689">
            <v>49.52</v>
          </cell>
        </row>
        <row r="4690">
          <cell r="B4690" t="str">
            <v>Myauo,Ting J</v>
          </cell>
          <cell r="C4690">
            <v>54.326000000000001</v>
          </cell>
        </row>
        <row r="4691">
          <cell r="B4691" t="str">
            <v>Ziesmer,Richard J</v>
          </cell>
          <cell r="C4691">
            <v>37.86</v>
          </cell>
        </row>
        <row r="4692">
          <cell r="B4692" t="str">
            <v>Buchanan,Ryan T</v>
          </cell>
          <cell r="C4692">
            <v>25.99</v>
          </cell>
        </row>
        <row r="4693">
          <cell r="B4693" t="str">
            <v>Michael,Clay T</v>
          </cell>
          <cell r="C4693">
            <v>28.85</v>
          </cell>
        </row>
        <row r="4694">
          <cell r="B4694" t="str">
            <v>Pierce,Kimberly M</v>
          </cell>
          <cell r="C4694">
            <v>64.91</v>
          </cell>
        </row>
        <row r="4695">
          <cell r="B4695" t="str">
            <v>Hopewell,Joshua A</v>
          </cell>
          <cell r="C4695">
            <v>18.27</v>
          </cell>
        </row>
        <row r="4696">
          <cell r="B4696" t="str">
            <v>Rigney,Rochelle Y</v>
          </cell>
          <cell r="C4696">
            <v>27.46</v>
          </cell>
        </row>
        <row r="4697">
          <cell r="B4697" t="str">
            <v>O'Driscoll,Kenneth R</v>
          </cell>
          <cell r="C4697">
            <v>28.85</v>
          </cell>
        </row>
        <row r="4698">
          <cell r="B4698" t="str">
            <v>Chaisaksriskul,Kittichok</v>
          </cell>
          <cell r="C4698">
            <v>21.64</v>
          </cell>
        </row>
        <row r="4699">
          <cell r="B4699" t="str">
            <v>Padro,Liliana B</v>
          </cell>
          <cell r="C4699">
            <v>16.489999999999998</v>
          </cell>
        </row>
        <row r="4700">
          <cell r="B4700" t="str">
            <v>Lopez,Hector F</v>
          </cell>
          <cell r="C4700">
            <v>19.54</v>
          </cell>
        </row>
        <row r="4701">
          <cell r="B4701" t="str">
            <v>Atwell,Larry K</v>
          </cell>
          <cell r="C4701">
            <v>22.36</v>
          </cell>
        </row>
        <row r="4702">
          <cell r="B4702" t="str">
            <v>Scruggs,Karey</v>
          </cell>
          <cell r="C4702">
            <v>16.46</v>
          </cell>
        </row>
        <row r="4703">
          <cell r="B4703" t="str">
            <v>Kennedy,Kimberly M</v>
          </cell>
          <cell r="C4703">
            <v>27.8</v>
          </cell>
        </row>
        <row r="4704">
          <cell r="B4704" t="str">
            <v>Willis,Dennis C</v>
          </cell>
          <cell r="C4704">
            <v>27.3</v>
          </cell>
        </row>
        <row r="4705">
          <cell r="B4705" t="str">
            <v>Camacho,Suzanne N.</v>
          </cell>
          <cell r="C4705">
            <v>53.92</v>
          </cell>
        </row>
        <row r="4706">
          <cell r="B4706" t="str">
            <v>Stacey,Catherine Jeannette</v>
          </cell>
          <cell r="C4706">
            <v>33.64</v>
          </cell>
        </row>
        <row r="4707">
          <cell r="B4707" t="str">
            <v>King,Jennifer</v>
          </cell>
          <cell r="C4707">
            <v>21.11</v>
          </cell>
        </row>
        <row r="4708">
          <cell r="B4708" t="str">
            <v>Slagle,Phillip L</v>
          </cell>
          <cell r="C4708">
            <v>43.32</v>
          </cell>
        </row>
        <row r="4709">
          <cell r="B4709" t="str">
            <v>Tommee,See Tong</v>
          </cell>
          <cell r="C4709">
            <v>42.64</v>
          </cell>
        </row>
        <row r="4710">
          <cell r="B4710" t="str">
            <v>Dupont,Michael A</v>
          </cell>
          <cell r="C4710">
            <v>24</v>
          </cell>
        </row>
        <row r="4711">
          <cell r="B4711" t="str">
            <v>Zolkowski,Linda M</v>
          </cell>
          <cell r="C4711">
            <v>19.48</v>
          </cell>
        </row>
        <row r="4712">
          <cell r="B4712" t="str">
            <v>Arnold,Jesse L</v>
          </cell>
          <cell r="C4712">
            <v>23.85</v>
          </cell>
        </row>
        <row r="4713">
          <cell r="B4713" t="str">
            <v>Ortega,David E</v>
          </cell>
          <cell r="C4713">
            <v>21</v>
          </cell>
        </row>
        <row r="4714">
          <cell r="B4714" t="str">
            <v>Armstrong,Sasha N</v>
          </cell>
          <cell r="C4714">
            <v>62.99</v>
          </cell>
        </row>
        <row r="4715">
          <cell r="B4715" t="str">
            <v>Ford,Dwayne M</v>
          </cell>
          <cell r="C4715">
            <v>15.49</v>
          </cell>
        </row>
        <row r="4716">
          <cell r="B4716" t="str">
            <v>O'Keefe,Catherine A</v>
          </cell>
          <cell r="C4716">
            <v>19.7</v>
          </cell>
        </row>
        <row r="4717">
          <cell r="B4717" t="str">
            <v>Craig,Brandon A</v>
          </cell>
          <cell r="C4717">
            <v>17.5</v>
          </cell>
        </row>
        <row r="4718">
          <cell r="B4718" t="str">
            <v>So,Vannara</v>
          </cell>
          <cell r="C4718">
            <v>33.659999999999997</v>
          </cell>
        </row>
        <row r="4719">
          <cell r="B4719" t="str">
            <v>Wilkerson,Dan K</v>
          </cell>
          <cell r="C4719">
            <v>38.47</v>
          </cell>
        </row>
        <row r="4720">
          <cell r="B4720" t="str">
            <v>Sperber,Harry A</v>
          </cell>
          <cell r="C4720">
            <v>93.389422999999994</v>
          </cell>
        </row>
        <row r="4721">
          <cell r="B4721" t="str">
            <v>Houser III,Elliott</v>
          </cell>
          <cell r="C4721">
            <v>22</v>
          </cell>
        </row>
        <row r="4722">
          <cell r="B4722" t="str">
            <v>Kurre,Steven R</v>
          </cell>
          <cell r="C4722">
            <v>23.92</v>
          </cell>
        </row>
        <row r="4723">
          <cell r="B4723" t="str">
            <v>Garcia,Roberto</v>
          </cell>
          <cell r="C4723">
            <v>36.33</v>
          </cell>
        </row>
        <row r="4724">
          <cell r="B4724" t="str">
            <v>Stelling,John D.</v>
          </cell>
          <cell r="C4724">
            <v>61.48</v>
          </cell>
        </row>
        <row r="4725">
          <cell r="B4725" t="str">
            <v>Williams,Leon</v>
          </cell>
          <cell r="C4725">
            <v>11.53</v>
          </cell>
        </row>
        <row r="4726">
          <cell r="B4726" t="str">
            <v>Darby,Katherine H</v>
          </cell>
          <cell r="C4726">
            <v>61.15</v>
          </cell>
        </row>
        <row r="4727">
          <cell r="B4727" t="str">
            <v>Brown,James A. L.</v>
          </cell>
          <cell r="C4727">
            <v>19.78</v>
          </cell>
        </row>
        <row r="4728">
          <cell r="B4728" t="str">
            <v>Bunner,Gilbert M</v>
          </cell>
          <cell r="C4728">
            <v>19.75</v>
          </cell>
        </row>
        <row r="4729">
          <cell r="B4729" t="str">
            <v>Fadgen,John</v>
          </cell>
          <cell r="C4729">
            <v>28.98</v>
          </cell>
        </row>
        <row r="4730">
          <cell r="B4730" t="str">
            <v>Frantz,Darlene W</v>
          </cell>
          <cell r="C4730">
            <v>46.81</v>
          </cell>
        </row>
        <row r="4731">
          <cell r="B4731" t="str">
            <v>Sontag,Rose A</v>
          </cell>
          <cell r="C4731">
            <v>29.5</v>
          </cell>
        </row>
        <row r="4732">
          <cell r="B4732" t="str">
            <v>Maxwell,Shonda M</v>
          </cell>
          <cell r="C4732">
            <v>26.45</v>
          </cell>
        </row>
        <row r="4733">
          <cell r="B4733" t="str">
            <v>Jones,Nova S</v>
          </cell>
          <cell r="C4733">
            <v>18</v>
          </cell>
        </row>
        <row r="4734">
          <cell r="B4734" t="str">
            <v>Ragans,Christopher A</v>
          </cell>
          <cell r="C4734">
            <v>30.9</v>
          </cell>
        </row>
        <row r="4735">
          <cell r="B4735" t="str">
            <v>Gibbs,Jeffrey</v>
          </cell>
          <cell r="C4735">
            <v>23.5</v>
          </cell>
        </row>
        <row r="4736">
          <cell r="B4736" t="str">
            <v>Razdan,Rahul K</v>
          </cell>
          <cell r="C4736">
            <v>38.461599999999997</v>
          </cell>
        </row>
        <row r="4737">
          <cell r="B4737" t="str">
            <v>Butler,Terry H</v>
          </cell>
          <cell r="C4737">
            <v>65.349999999999994</v>
          </cell>
        </row>
        <row r="4738">
          <cell r="B4738" t="str">
            <v>Layes,George D</v>
          </cell>
          <cell r="C4738">
            <v>33</v>
          </cell>
        </row>
        <row r="4739">
          <cell r="B4739" t="str">
            <v>Brush,Brian G</v>
          </cell>
          <cell r="C4739">
            <v>20.07</v>
          </cell>
        </row>
        <row r="4740">
          <cell r="B4740" t="str">
            <v>Clyne,Patricia</v>
          </cell>
          <cell r="C4740">
            <v>87.17</v>
          </cell>
        </row>
        <row r="4741">
          <cell r="B4741" t="str">
            <v>Chanthavongsor,Vilayphone</v>
          </cell>
          <cell r="C4741">
            <v>22.65</v>
          </cell>
        </row>
        <row r="4742">
          <cell r="B4742" t="str">
            <v>Kaye,Brandon F</v>
          </cell>
          <cell r="C4742">
            <v>20.78</v>
          </cell>
        </row>
        <row r="4743">
          <cell r="B4743" t="str">
            <v>Bailey,Bobby J</v>
          </cell>
          <cell r="C4743">
            <v>28.39</v>
          </cell>
        </row>
        <row r="4744">
          <cell r="B4744" t="str">
            <v>Pacetti,Donald N</v>
          </cell>
          <cell r="C4744">
            <v>75.59</v>
          </cell>
        </row>
        <row r="4745">
          <cell r="B4745" t="str">
            <v>Wingfield,Robert L.</v>
          </cell>
          <cell r="C4745">
            <v>69.45</v>
          </cell>
        </row>
        <row r="4746">
          <cell r="B4746" t="str">
            <v>Vicente,Marlene G</v>
          </cell>
          <cell r="C4746">
            <v>28.16</v>
          </cell>
        </row>
        <row r="4747">
          <cell r="B4747" t="str">
            <v>Adams,Mark V</v>
          </cell>
          <cell r="C4747">
            <v>71.86</v>
          </cell>
        </row>
        <row r="4748">
          <cell r="B4748" t="str">
            <v>Boyce-Lewis,Andrew E</v>
          </cell>
          <cell r="C4748">
            <v>49.04</v>
          </cell>
        </row>
        <row r="4749">
          <cell r="B4749" t="str">
            <v>Wood,Melissa J</v>
          </cell>
          <cell r="C4749">
            <v>19.829999999999998</v>
          </cell>
        </row>
        <row r="4750">
          <cell r="B4750" t="str">
            <v>Willis,Andrew L</v>
          </cell>
          <cell r="C4750">
            <v>31.73</v>
          </cell>
        </row>
        <row r="4751">
          <cell r="B4751" t="str">
            <v>Bow,Ivan M</v>
          </cell>
          <cell r="C4751">
            <v>33.22</v>
          </cell>
        </row>
        <row r="4752">
          <cell r="B4752" t="str">
            <v>Walleisa,Michael E</v>
          </cell>
          <cell r="C4752">
            <v>37.25</v>
          </cell>
        </row>
        <row r="4753">
          <cell r="B4753" t="str">
            <v>Denton,Dawn Y</v>
          </cell>
          <cell r="C4753">
            <v>16.899999999999999</v>
          </cell>
        </row>
        <row r="4754">
          <cell r="B4754" t="str">
            <v>Tyler,Christopher</v>
          </cell>
          <cell r="C4754">
            <v>24</v>
          </cell>
        </row>
        <row r="4755">
          <cell r="B4755" t="str">
            <v>Kropp,Donald</v>
          </cell>
          <cell r="C4755">
            <v>49.519300000000001</v>
          </cell>
        </row>
        <row r="4756">
          <cell r="B4756" t="str">
            <v>Portillo,Ricardo G</v>
          </cell>
          <cell r="C4756">
            <v>20</v>
          </cell>
        </row>
        <row r="4757">
          <cell r="B4757" t="str">
            <v>Gill,Katie J</v>
          </cell>
          <cell r="C4757">
            <v>8</v>
          </cell>
        </row>
        <row r="4758">
          <cell r="B4758" t="str">
            <v>Gierlach,James R</v>
          </cell>
          <cell r="C4758">
            <v>46.31</v>
          </cell>
        </row>
        <row r="4759">
          <cell r="B4759" t="str">
            <v>Devier,Donna H</v>
          </cell>
          <cell r="C4759">
            <v>28.34</v>
          </cell>
        </row>
        <row r="4760">
          <cell r="B4760" t="str">
            <v>Maddox,Kenneth A</v>
          </cell>
          <cell r="C4760">
            <v>82.36</v>
          </cell>
        </row>
        <row r="4761">
          <cell r="B4761" t="str">
            <v>Hill,Reggie A</v>
          </cell>
          <cell r="C4761">
            <v>24</v>
          </cell>
        </row>
        <row r="4762">
          <cell r="B4762" t="str">
            <v>Yoon,Jane</v>
          </cell>
          <cell r="C4762">
            <v>23</v>
          </cell>
        </row>
        <row r="4763">
          <cell r="B4763" t="str">
            <v>Morton,Linda K</v>
          </cell>
          <cell r="C4763">
            <v>62.5</v>
          </cell>
        </row>
        <row r="4764">
          <cell r="B4764" t="str">
            <v>Friedman,Joshua H</v>
          </cell>
          <cell r="C4764">
            <v>42.55</v>
          </cell>
        </row>
        <row r="4765">
          <cell r="B4765" t="str">
            <v>Watson,Kim B</v>
          </cell>
          <cell r="C4765">
            <v>58.58</v>
          </cell>
        </row>
        <row r="4766">
          <cell r="B4766" t="str">
            <v>Fuentes,Maritza</v>
          </cell>
          <cell r="C4766">
            <v>15.49</v>
          </cell>
        </row>
        <row r="4767">
          <cell r="B4767" t="str">
            <v>Scales,Breton H</v>
          </cell>
          <cell r="C4767">
            <v>41.28</v>
          </cell>
        </row>
        <row r="4768">
          <cell r="B4768" t="str">
            <v>Batt,William T</v>
          </cell>
          <cell r="C4768">
            <v>44.8</v>
          </cell>
        </row>
        <row r="4769">
          <cell r="B4769" t="str">
            <v>McGaffin,Christopher M</v>
          </cell>
          <cell r="C4769">
            <v>66.05</v>
          </cell>
        </row>
        <row r="4770">
          <cell r="B4770" t="str">
            <v>Brown,Douglas R.</v>
          </cell>
          <cell r="C4770">
            <v>72.98</v>
          </cell>
        </row>
        <row r="4771">
          <cell r="B4771" t="str">
            <v>Davis,Julie M</v>
          </cell>
          <cell r="C4771">
            <v>43.53</v>
          </cell>
        </row>
        <row r="4772">
          <cell r="B4772" t="str">
            <v>Straker,Marcene M</v>
          </cell>
          <cell r="C4772">
            <v>15.75</v>
          </cell>
        </row>
        <row r="4773">
          <cell r="B4773" t="str">
            <v>Starns,Jack</v>
          </cell>
          <cell r="C4773">
            <v>20</v>
          </cell>
        </row>
        <row r="4774">
          <cell r="B4774" t="str">
            <v>Romanello,Michelle K</v>
          </cell>
          <cell r="C4774">
            <v>15.9</v>
          </cell>
        </row>
        <row r="4775">
          <cell r="B4775" t="str">
            <v>Libby,Marisa A</v>
          </cell>
          <cell r="C4775">
            <v>19.62</v>
          </cell>
        </row>
        <row r="4776">
          <cell r="B4776" t="str">
            <v>Olson,Michael B</v>
          </cell>
          <cell r="C4776">
            <v>19.989999999999998</v>
          </cell>
        </row>
        <row r="4777">
          <cell r="B4777" t="str">
            <v>Wallace,Miriam D</v>
          </cell>
          <cell r="C4777">
            <v>27.009599999999999</v>
          </cell>
        </row>
        <row r="4778">
          <cell r="B4778" t="str">
            <v>Walker,Merle G</v>
          </cell>
          <cell r="C4778">
            <v>45.06</v>
          </cell>
        </row>
        <row r="4779">
          <cell r="B4779" t="str">
            <v>Hatcher,Ragan</v>
          </cell>
          <cell r="C4779">
            <v>23.5</v>
          </cell>
        </row>
        <row r="4780">
          <cell r="B4780" t="str">
            <v>Haspert,Lauren C</v>
          </cell>
          <cell r="C4780">
            <v>31.428799999999999</v>
          </cell>
        </row>
        <row r="4781">
          <cell r="B4781" t="str">
            <v>Brown,Ruth E</v>
          </cell>
          <cell r="C4781">
            <v>23.08</v>
          </cell>
        </row>
        <row r="4782">
          <cell r="B4782" t="str">
            <v>Vest Sr.,David E</v>
          </cell>
          <cell r="C4782">
            <v>18.5</v>
          </cell>
        </row>
        <row r="4783">
          <cell r="B4783" t="str">
            <v>Matthews,Jeffrey D</v>
          </cell>
          <cell r="C4783">
            <v>20.5</v>
          </cell>
        </row>
        <row r="4784">
          <cell r="B4784" t="str">
            <v>Joseph,Kyan M</v>
          </cell>
          <cell r="C4784">
            <v>18.5</v>
          </cell>
        </row>
        <row r="4785">
          <cell r="B4785" t="str">
            <v>Spencer,Ronnie D</v>
          </cell>
          <cell r="C4785">
            <v>18.5</v>
          </cell>
        </row>
        <row r="4786">
          <cell r="B4786" t="str">
            <v>Jackson,James R</v>
          </cell>
          <cell r="C4786">
            <v>20</v>
          </cell>
        </row>
        <row r="4787">
          <cell r="B4787" t="str">
            <v>Jain,Kokil</v>
          </cell>
          <cell r="C4787">
            <v>64.28</v>
          </cell>
        </row>
        <row r="4788">
          <cell r="B4788" t="str">
            <v>Usman,Fahiem A</v>
          </cell>
          <cell r="C4788">
            <v>39</v>
          </cell>
        </row>
        <row r="4789">
          <cell r="B4789" t="str">
            <v>Medlock,John D</v>
          </cell>
          <cell r="C4789">
            <v>22.41</v>
          </cell>
        </row>
        <row r="4790">
          <cell r="B4790" t="str">
            <v>Jowers,John Daniel</v>
          </cell>
          <cell r="C4790">
            <v>48.87</v>
          </cell>
        </row>
        <row r="4791">
          <cell r="B4791" t="str">
            <v>Lucas,Susan E</v>
          </cell>
          <cell r="C4791">
            <v>56.73</v>
          </cell>
        </row>
        <row r="4792">
          <cell r="B4792" t="str">
            <v>Moberly,James E</v>
          </cell>
          <cell r="C4792">
            <v>33.6</v>
          </cell>
        </row>
        <row r="4793">
          <cell r="B4793" t="str">
            <v>McWhorter,Steven D</v>
          </cell>
          <cell r="C4793">
            <v>43.09</v>
          </cell>
        </row>
        <row r="4794">
          <cell r="B4794" t="str">
            <v>Williams,Derik S</v>
          </cell>
          <cell r="C4794">
            <v>22.5</v>
          </cell>
        </row>
        <row r="4795">
          <cell r="B4795" t="str">
            <v>Wood,Shawn K</v>
          </cell>
          <cell r="C4795">
            <v>38.46</v>
          </cell>
        </row>
        <row r="4796">
          <cell r="B4796" t="str">
            <v>Nerenberg,Daniel D</v>
          </cell>
          <cell r="C4796">
            <v>61.63</v>
          </cell>
        </row>
        <row r="4797">
          <cell r="B4797" t="str">
            <v>Baugh III,Homer W</v>
          </cell>
          <cell r="C4797">
            <v>25.4</v>
          </cell>
        </row>
        <row r="4798">
          <cell r="B4798" t="str">
            <v>Arrington,Rodney Alan</v>
          </cell>
          <cell r="C4798">
            <v>20.92</v>
          </cell>
        </row>
        <row r="4799">
          <cell r="B4799" t="str">
            <v>Reath,George R</v>
          </cell>
          <cell r="C4799">
            <v>70.739999999999995</v>
          </cell>
        </row>
        <row r="4800">
          <cell r="B4800" t="str">
            <v>Bell,Melissa T</v>
          </cell>
          <cell r="C4800">
            <v>31.25</v>
          </cell>
        </row>
        <row r="4801">
          <cell r="B4801" t="str">
            <v>Payton,Quint G</v>
          </cell>
          <cell r="C4801">
            <v>19</v>
          </cell>
        </row>
        <row r="4802">
          <cell r="B4802" t="str">
            <v>Davis,Jeanene E</v>
          </cell>
          <cell r="C4802">
            <v>22.5</v>
          </cell>
        </row>
        <row r="4803">
          <cell r="B4803" t="str">
            <v>Figliozzi,John J</v>
          </cell>
          <cell r="C4803">
            <v>61.06</v>
          </cell>
        </row>
        <row r="4804">
          <cell r="B4804" t="str">
            <v>Hargrove,Crystal K</v>
          </cell>
          <cell r="C4804">
            <v>38.47</v>
          </cell>
        </row>
        <row r="4805">
          <cell r="B4805" t="str">
            <v>Gonzales,Charlie D</v>
          </cell>
          <cell r="C4805">
            <v>19.420000000000002</v>
          </cell>
        </row>
        <row r="4806">
          <cell r="B4806" t="str">
            <v>Leiva,Maria E</v>
          </cell>
          <cell r="C4806">
            <v>15.49</v>
          </cell>
        </row>
        <row r="4807">
          <cell r="B4807" t="str">
            <v>Toevs,Kevin E</v>
          </cell>
          <cell r="C4807">
            <v>64.903846000000001</v>
          </cell>
        </row>
        <row r="4808">
          <cell r="B4808" t="str">
            <v>Mazkour,Neil</v>
          </cell>
          <cell r="C4808">
            <v>58.24</v>
          </cell>
        </row>
        <row r="4809">
          <cell r="B4809" t="str">
            <v>Crotteau,Keith E</v>
          </cell>
          <cell r="C4809">
            <v>28.17</v>
          </cell>
        </row>
        <row r="4810">
          <cell r="B4810" t="str">
            <v>Freeman,Lisa R.</v>
          </cell>
          <cell r="C4810">
            <v>39.44</v>
          </cell>
        </row>
        <row r="4811">
          <cell r="B4811" t="str">
            <v>Chaw,George L</v>
          </cell>
          <cell r="C4811">
            <v>41.93</v>
          </cell>
        </row>
        <row r="4812">
          <cell r="B4812" t="str">
            <v>Mani,Jolene A</v>
          </cell>
          <cell r="C4812">
            <v>42.2</v>
          </cell>
        </row>
        <row r="4813">
          <cell r="B4813" t="str">
            <v>Habitzreuther,Richard T</v>
          </cell>
          <cell r="C4813">
            <v>24.83</v>
          </cell>
        </row>
        <row r="4814">
          <cell r="B4814" t="str">
            <v>Clark,LeAnna M</v>
          </cell>
          <cell r="C4814">
            <v>20.68</v>
          </cell>
        </row>
        <row r="4815">
          <cell r="B4815" t="str">
            <v>Scott,Christopher D</v>
          </cell>
          <cell r="C4815">
            <v>28.93</v>
          </cell>
        </row>
        <row r="4816">
          <cell r="B4816" t="str">
            <v>Mazur,Crystal M</v>
          </cell>
          <cell r="C4816">
            <v>16.649999999999999</v>
          </cell>
        </row>
        <row r="4817">
          <cell r="B4817" t="str">
            <v>Smalls,Jonathan I</v>
          </cell>
          <cell r="C4817">
            <v>56.42</v>
          </cell>
        </row>
        <row r="4818">
          <cell r="B4818" t="str">
            <v>Manley,Eric T</v>
          </cell>
          <cell r="C4818">
            <v>18.5</v>
          </cell>
        </row>
        <row r="4819">
          <cell r="B4819" t="str">
            <v>Maldonado,Juan A</v>
          </cell>
          <cell r="C4819">
            <v>24.01</v>
          </cell>
        </row>
        <row r="4820">
          <cell r="B4820" t="str">
            <v>Puerto,William M</v>
          </cell>
          <cell r="C4820">
            <v>26</v>
          </cell>
        </row>
        <row r="4821">
          <cell r="B4821" t="str">
            <v>Noel,Dominique L</v>
          </cell>
          <cell r="C4821">
            <v>39.21</v>
          </cell>
        </row>
        <row r="4822">
          <cell r="B4822" t="str">
            <v>Sansone,Marco M</v>
          </cell>
          <cell r="C4822">
            <v>40.869999999999997</v>
          </cell>
        </row>
        <row r="4823">
          <cell r="B4823" t="str">
            <v>Pagan,Cathalina</v>
          </cell>
          <cell r="C4823">
            <v>16.489999999999998</v>
          </cell>
        </row>
        <row r="4824">
          <cell r="B4824" t="str">
            <v>Brooks,Preston</v>
          </cell>
          <cell r="C4824">
            <v>21.64</v>
          </cell>
        </row>
        <row r="4825">
          <cell r="B4825" t="str">
            <v>Hall,Brent JG</v>
          </cell>
          <cell r="C4825">
            <v>25.97</v>
          </cell>
        </row>
        <row r="4826">
          <cell r="B4826" t="str">
            <v>Pollock,Kerry G</v>
          </cell>
          <cell r="C4826">
            <v>48.08</v>
          </cell>
        </row>
        <row r="4827">
          <cell r="B4827" t="str">
            <v>Denham,James D</v>
          </cell>
          <cell r="C4827">
            <v>19.5</v>
          </cell>
        </row>
        <row r="4828">
          <cell r="B4828" t="str">
            <v>Young,Alan D</v>
          </cell>
          <cell r="C4828">
            <v>36.06</v>
          </cell>
        </row>
        <row r="4829">
          <cell r="B4829" t="str">
            <v>Benitez,Luisa</v>
          </cell>
          <cell r="C4829">
            <v>20.65</v>
          </cell>
        </row>
        <row r="4830">
          <cell r="B4830" t="str">
            <v>Ren,William T.</v>
          </cell>
          <cell r="C4830">
            <v>26.68</v>
          </cell>
        </row>
        <row r="4831">
          <cell r="B4831" t="str">
            <v>Morales,Robert J</v>
          </cell>
          <cell r="C4831">
            <v>19.89</v>
          </cell>
        </row>
        <row r="4832">
          <cell r="B4832" t="str">
            <v>Posey,Sarah J</v>
          </cell>
          <cell r="C4832">
            <v>24.04</v>
          </cell>
        </row>
        <row r="4833">
          <cell r="B4833" t="str">
            <v>Fermin,Luis S</v>
          </cell>
          <cell r="C4833">
            <v>21</v>
          </cell>
        </row>
        <row r="4834">
          <cell r="B4834" t="str">
            <v>Lubovich,Nick M</v>
          </cell>
          <cell r="C4834">
            <v>51.76</v>
          </cell>
        </row>
        <row r="4835">
          <cell r="B4835" t="str">
            <v>Loehmer,Laura L</v>
          </cell>
          <cell r="C4835">
            <v>19.14</v>
          </cell>
        </row>
        <row r="4836">
          <cell r="B4836" t="str">
            <v>Rolle,Garry R</v>
          </cell>
          <cell r="C4836">
            <v>30</v>
          </cell>
        </row>
        <row r="4837">
          <cell r="B4837" t="str">
            <v>Oleksiak,Paul G</v>
          </cell>
          <cell r="C4837">
            <v>46</v>
          </cell>
        </row>
        <row r="4838">
          <cell r="B4838" t="str">
            <v>Brown,Mary A</v>
          </cell>
          <cell r="C4838">
            <v>19.38</v>
          </cell>
        </row>
        <row r="4839">
          <cell r="B4839" t="str">
            <v>Persinger,Mark A</v>
          </cell>
          <cell r="C4839">
            <v>39.04</v>
          </cell>
        </row>
        <row r="4840">
          <cell r="B4840" t="str">
            <v>Prince,Christopher W</v>
          </cell>
          <cell r="C4840">
            <v>21</v>
          </cell>
        </row>
        <row r="4841">
          <cell r="B4841" t="str">
            <v>Malik,Waseem I</v>
          </cell>
          <cell r="C4841">
            <v>24</v>
          </cell>
        </row>
        <row r="4842">
          <cell r="B4842" t="str">
            <v>Clay,Dara</v>
          </cell>
          <cell r="C4842">
            <v>25.5</v>
          </cell>
        </row>
        <row r="4843">
          <cell r="B4843" t="str">
            <v>Fagan,Nicole A</v>
          </cell>
          <cell r="C4843">
            <v>23.33</v>
          </cell>
        </row>
        <row r="4844">
          <cell r="B4844" t="str">
            <v>Beatty,Edgar O</v>
          </cell>
          <cell r="C4844">
            <v>57.68</v>
          </cell>
        </row>
        <row r="4845">
          <cell r="B4845" t="str">
            <v>Nelson,Michael D</v>
          </cell>
          <cell r="C4845">
            <v>38.17</v>
          </cell>
        </row>
        <row r="4846">
          <cell r="B4846" t="str">
            <v>Sullivan,James E</v>
          </cell>
          <cell r="C4846">
            <v>44.24</v>
          </cell>
        </row>
        <row r="4847">
          <cell r="B4847" t="str">
            <v>Grant,Oral</v>
          </cell>
          <cell r="C4847">
            <v>22</v>
          </cell>
        </row>
        <row r="4848">
          <cell r="B4848" t="str">
            <v>Horvath,Andrew R</v>
          </cell>
          <cell r="C4848">
            <v>52.88</v>
          </cell>
        </row>
        <row r="4849">
          <cell r="B4849" t="str">
            <v>Blake,Vardry B</v>
          </cell>
          <cell r="C4849">
            <v>18.600000000000001</v>
          </cell>
        </row>
        <row r="4850">
          <cell r="B4850" t="str">
            <v>Anderson,Roy D</v>
          </cell>
          <cell r="C4850">
            <v>15.49</v>
          </cell>
        </row>
        <row r="4851">
          <cell r="B4851" t="str">
            <v>Norris,Jody A</v>
          </cell>
          <cell r="C4851">
            <v>14.17</v>
          </cell>
        </row>
        <row r="4852">
          <cell r="B4852" t="str">
            <v>Warner,Suzanne M</v>
          </cell>
          <cell r="C4852">
            <v>46.56</v>
          </cell>
        </row>
        <row r="4853">
          <cell r="B4853" t="str">
            <v>Kay,Michele</v>
          </cell>
          <cell r="C4853">
            <v>37.42</v>
          </cell>
        </row>
        <row r="4854">
          <cell r="B4854" t="str">
            <v>Carter,Steven R</v>
          </cell>
          <cell r="C4854">
            <v>20</v>
          </cell>
        </row>
        <row r="4855">
          <cell r="B4855" t="str">
            <v>Mullis,Douglas G</v>
          </cell>
          <cell r="C4855">
            <v>30</v>
          </cell>
        </row>
        <row r="4856">
          <cell r="B4856" t="str">
            <v>Anderson Jr.,James K</v>
          </cell>
          <cell r="C4856">
            <v>21</v>
          </cell>
        </row>
        <row r="4857">
          <cell r="B4857" t="str">
            <v>Gregory,Rhonda L</v>
          </cell>
          <cell r="C4857">
            <v>63.09</v>
          </cell>
        </row>
        <row r="4858">
          <cell r="B4858" t="str">
            <v>Patterson,Jacqueline</v>
          </cell>
          <cell r="C4858">
            <v>22.46</v>
          </cell>
        </row>
        <row r="4859">
          <cell r="B4859" t="str">
            <v>Sanchez,Arturo</v>
          </cell>
          <cell r="C4859">
            <v>21.2</v>
          </cell>
        </row>
        <row r="4860">
          <cell r="B4860" t="str">
            <v>Greene,Warren M</v>
          </cell>
          <cell r="C4860">
            <v>27.44</v>
          </cell>
        </row>
        <row r="4861">
          <cell r="B4861" t="str">
            <v>Coleman,Anthony S</v>
          </cell>
          <cell r="C4861">
            <v>23</v>
          </cell>
        </row>
        <row r="4862">
          <cell r="B4862" t="str">
            <v>Peterson,William H</v>
          </cell>
          <cell r="C4862">
            <v>20.89</v>
          </cell>
        </row>
        <row r="4863">
          <cell r="B4863" t="str">
            <v>Shin,Stanley M</v>
          </cell>
          <cell r="C4863">
            <v>45.07</v>
          </cell>
        </row>
        <row r="4864">
          <cell r="B4864" t="str">
            <v>Landon,Dallas L</v>
          </cell>
          <cell r="C4864">
            <v>20</v>
          </cell>
        </row>
        <row r="4865">
          <cell r="B4865" t="str">
            <v>Ortiz,Alba L</v>
          </cell>
          <cell r="C4865">
            <v>23.74</v>
          </cell>
        </row>
        <row r="4866">
          <cell r="B4866" t="str">
            <v>Winston,Lorraine D</v>
          </cell>
          <cell r="C4866">
            <v>33.659999999999997</v>
          </cell>
        </row>
        <row r="4867">
          <cell r="B4867" t="str">
            <v>Wykle,Jekemian J</v>
          </cell>
          <cell r="C4867">
            <v>36.057699999999997</v>
          </cell>
        </row>
        <row r="4868">
          <cell r="B4868" t="str">
            <v>Kramer,Kristine M</v>
          </cell>
          <cell r="C4868">
            <v>49.75</v>
          </cell>
        </row>
        <row r="4869">
          <cell r="B4869" t="str">
            <v>Boyle,Nancy R</v>
          </cell>
          <cell r="C4869">
            <v>22.46</v>
          </cell>
        </row>
        <row r="4870">
          <cell r="B4870" t="str">
            <v>Clyne,Alister G</v>
          </cell>
          <cell r="C4870">
            <v>30.16</v>
          </cell>
        </row>
        <row r="4871">
          <cell r="B4871" t="str">
            <v>Stone,Jason E</v>
          </cell>
          <cell r="C4871">
            <v>17.91</v>
          </cell>
        </row>
        <row r="4872">
          <cell r="B4872" t="str">
            <v>Williams,Addison M</v>
          </cell>
          <cell r="C4872">
            <v>24</v>
          </cell>
        </row>
        <row r="4873">
          <cell r="B4873" t="str">
            <v>Tolley,Andy</v>
          </cell>
          <cell r="C4873">
            <v>20.5</v>
          </cell>
        </row>
        <row r="4874">
          <cell r="B4874" t="str">
            <v>Vest,Britney L</v>
          </cell>
          <cell r="C4874">
            <v>20.68</v>
          </cell>
        </row>
        <row r="4875">
          <cell r="B4875" t="str">
            <v>Price,Clinton A</v>
          </cell>
          <cell r="C4875">
            <v>20.5</v>
          </cell>
        </row>
        <row r="4876">
          <cell r="B4876" t="str">
            <v>Kim,Fria</v>
          </cell>
          <cell r="C4876">
            <v>33.659999999999997</v>
          </cell>
        </row>
        <row r="4877">
          <cell r="B4877" t="str">
            <v>Bodson,Brian</v>
          </cell>
          <cell r="C4877">
            <v>40.869999999999997</v>
          </cell>
        </row>
        <row r="4878">
          <cell r="B4878" t="str">
            <v>Bailey,Kenneth L</v>
          </cell>
          <cell r="C4878">
            <v>21</v>
          </cell>
        </row>
        <row r="4879">
          <cell r="B4879" t="str">
            <v>Walko III,Andrew J</v>
          </cell>
          <cell r="C4879">
            <v>28.8462</v>
          </cell>
        </row>
        <row r="4880">
          <cell r="B4880" t="str">
            <v>Stites,Robert L</v>
          </cell>
          <cell r="C4880">
            <v>57.7</v>
          </cell>
        </row>
        <row r="4881">
          <cell r="B4881" t="str">
            <v>Schoenberger,Mark J</v>
          </cell>
          <cell r="C4881">
            <v>45.68</v>
          </cell>
        </row>
        <row r="4882">
          <cell r="B4882" t="str">
            <v>Hanson,Lea K</v>
          </cell>
          <cell r="C4882">
            <v>15.33</v>
          </cell>
        </row>
        <row r="4883">
          <cell r="B4883" t="str">
            <v>Spires,Troy W</v>
          </cell>
          <cell r="C4883">
            <v>35</v>
          </cell>
        </row>
        <row r="4884">
          <cell r="B4884" t="str">
            <v>Rivera,Wilfredo J</v>
          </cell>
          <cell r="C4884">
            <v>22</v>
          </cell>
        </row>
        <row r="4885">
          <cell r="B4885" t="str">
            <v>Ahrens,Leslie W.</v>
          </cell>
          <cell r="C4885">
            <v>32.369999999999997</v>
          </cell>
        </row>
        <row r="4886">
          <cell r="B4886" t="str">
            <v>Hartmuller,Tricia L</v>
          </cell>
          <cell r="C4886">
            <v>42.067300000000003</v>
          </cell>
        </row>
        <row r="4887">
          <cell r="B4887" t="str">
            <v>Elwell,David W</v>
          </cell>
          <cell r="C4887">
            <v>76.507249999999999</v>
          </cell>
        </row>
        <row r="4888">
          <cell r="B4888" t="str">
            <v>Hargro,Ashley D</v>
          </cell>
          <cell r="C4888">
            <v>19</v>
          </cell>
        </row>
        <row r="4889">
          <cell r="B4889" t="str">
            <v>Hamilton,Randall E</v>
          </cell>
          <cell r="C4889">
            <v>18.53</v>
          </cell>
        </row>
        <row r="4890">
          <cell r="B4890" t="str">
            <v>Warrington,Tyler L</v>
          </cell>
          <cell r="C4890">
            <v>37.020000000000003</v>
          </cell>
        </row>
        <row r="4891">
          <cell r="B4891" t="str">
            <v>Conover Jr.,Allen J</v>
          </cell>
          <cell r="C4891">
            <v>20.75</v>
          </cell>
        </row>
        <row r="4892">
          <cell r="B4892" t="str">
            <v>Norrell,Julie R</v>
          </cell>
          <cell r="C4892">
            <v>31.25</v>
          </cell>
        </row>
        <row r="4893">
          <cell r="B4893" t="str">
            <v>Jacobs,Raymond J</v>
          </cell>
          <cell r="C4893">
            <v>15.49</v>
          </cell>
        </row>
        <row r="4894">
          <cell r="B4894" t="str">
            <v>Rivera,Bridgett L</v>
          </cell>
          <cell r="C4894">
            <v>17.8</v>
          </cell>
        </row>
        <row r="4895">
          <cell r="B4895" t="str">
            <v>Malara,Jennifer L</v>
          </cell>
          <cell r="C4895">
            <v>40.869999999999997</v>
          </cell>
        </row>
        <row r="4896">
          <cell r="B4896" t="str">
            <v>Scott,John H</v>
          </cell>
          <cell r="C4896">
            <v>20.5</v>
          </cell>
        </row>
        <row r="4897">
          <cell r="B4897" t="str">
            <v>Smith,Michael A</v>
          </cell>
          <cell r="C4897">
            <v>20.58</v>
          </cell>
        </row>
        <row r="4898">
          <cell r="B4898" t="str">
            <v>Donahoe,Timothy J</v>
          </cell>
          <cell r="C4898">
            <v>87.1</v>
          </cell>
        </row>
        <row r="4899">
          <cell r="B4899" t="str">
            <v>Laster,Ebony N</v>
          </cell>
          <cell r="C4899">
            <v>20.5</v>
          </cell>
        </row>
        <row r="4900">
          <cell r="B4900" t="str">
            <v>Lambert,Alana P</v>
          </cell>
          <cell r="C4900">
            <v>57.211537999999997</v>
          </cell>
        </row>
        <row r="4901">
          <cell r="B4901" t="str">
            <v>Whittie,Marlow D</v>
          </cell>
          <cell r="C4901">
            <v>19</v>
          </cell>
        </row>
        <row r="4902">
          <cell r="B4902" t="str">
            <v>Salmon,Michael K.</v>
          </cell>
          <cell r="C4902">
            <v>40.869999999999997</v>
          </cell>
        </row>
        <row r="4903">
          <cell r="B4903" t="str">
            <v>Wood,Justin W</v>
          </cell>
          <cell r="C4903">
            <v>20.5</v>
          </cell>
        </row>
        <row r="4904">
          <cell r="B4904" t="str">
            <v>Payne,Frances L.</v>
          </cell>
          <cell r="C4904">
            <v>28.51</v>
          </cell>
        </row>
        <row r="4905">
          <cell r="B4905" t="str">
            <v>Swan,Jeffery A</v>
          </cell>
          <cell r="C4905">
            <v>23.5</v>
          </cell>
        </row>
        <row r="4906">
          <cell r="B4906" t="str">
            <v>Russell,Eraka P</v>
          </cell>
          <cell r="C4906">
            <v>17.059999999999999</v>
          </cell>
        </row>
        <row r="4907">
          <cell r="B4907" t="str">
            <v>Stewart,Daniel G</v>
          </cell>
          <cell r="C4907">
            <v>25.99</v>
          </cell>
        </row>
        <row r="4908">
          <cell r="B4908" t="str">
            <v>Dozier,Robert T</v>
          </cell>
          <cell r="C4908">
            <v>18.5</v>
          </cell>
        </row>
        <row r="4909">
          <cell r="B4909" t="str">
            <v>Beitia,Daniel</v>
          </cell>
          <cell r="C4909">
            <v>19</v>
          </cell>
        </row>
        <row r="4910">
          <cell r="B4910" t="str">
            <v>Williams,Kia T</v>
          </cell>
          <cell r="C4910">
            <v>37.5</v>
          </cell>
        </row>
        <row r="4911">
          <cell r="B4911" t="str">
            <v>Harmon,Arthur L</v>
          </cell>
          <cell r="C4911">
            <v>20.3</v>
          </cell>
        </row>
        <row r="4912">
          <cell r="B4912" t="str">
            <v>Casseus,Joseph E</v>
          </cell>
          <cell r="C4912">
            <v>24.52</v>
          </cell>
        </row>
        <row r="4913">
          <cell r="B4913" t="str">
            <v>Brown,Sanford L</v>
          </cell>
          <cell r="C4913">
            <v>62.5</v>
          </cell>
        </row>
        <row r="4914">
          <cell r="B4914" t="str">
            <v>Goff,Michael B</v>
          </cell>
          <cell r="C4914">
            <v>29.08</v>
          </cell>
        </row>
        <row r="4915">
          <cell r="B4915" t="str">
            <v>Palmer,John D</v>
          </cell>
          <cell r="C4915">
            <v>67.31</v>
          </cell>
        </row>
        <row r="4916">
          <cell r="B4916" t="str">
            <v>Millett,Marshall G</v>
          </cell>
          <cell r="C4916">
            <v>68.269000000000005</v>
          </cell>
        </row>
        <row r="4917">
          <cell r="B4917" t="str">
            <v>Tran,Mary C</v>
          </cell>
          <cell r="C4917">
            <v>18.899999999999999</v>
          </cell>
        </row>
        <row r="4918">
          <cell r="B4918" t="str">
            <v>Williams,Avery J</v>
          </cell>
          <cell r="C4918">
            <v>18</v>
          </cell>
        </row>
        <row r="4919">
          <cell r="B4919" t="str">
            <v>Scully,David M</v>
          </cell>
          <cell r="C4919">
            <v>19.350000000000001</v>
          </cell>
        </row>
        <row r="4920">
          <cell r="B4920" t="str">
            <v>Troche,Jose</v>
          </cell>
          <cell r="C4920">
            <v>39.43</v>
          </cell>
        </row>
        <row r="4921">
          <cell r="B4921" t="str">
            <v>Peralis Jr.,Joseph</v>
          </cell>
          <cell r="C4921">
            <v>41.35</v>
          </cell>
        </row>
        <row r="4922">
          <cell r="B4922" t="str">
            <v>Hamilton,David K</v>
          </cell>
          <cell r="C4922">
            <v>48.08</v>
          </cell>
        </row>
        <row r="4923">
          <cell r="B4923" t="str">
            <v>Berndt,Jeff A</v>
          </cell>
          <cell r="C4923">
            <v>20</v>
          </cell>
        </row>
        <row r="4924">
          <cell r="B4924" t="str">
            <v>Spatz,John J</v>
          </cell>
          <cell r="C4924">
            <v>37.85</v>
          </cell>
        </row>
        <row r="4925">
          <cell r="B4925" t="str">
            <v>Rivera,Jose A</v>
          </cell>
          <cell r="C4925">
            <v>20</v>
          </cell>
        </row>
        <row r="4926">
          <cell r="B4926" t="str">
            <v>Moses,Kenneth A</v>
          </cell>
          <cell r="C4926">
            <v>32.5</v>
          </cell>
        </row>
        <row r="4927">
          <cell r="B4927" t="str">
            <v>Page,Brandon S</v>
          </cell>
          <cell r="C4927">
            <v>20.5</v>
          </cell>
        </row>
        <row r="4928">
          <cell r="B4928" t="str">
            <v>Thoms,Donald</v>
          </cell>
          <cell r="C4928">
            <v>62.5</v>
          </cell>
        </row>
        <row r="4929">
          <cell r="B4929" t="str">
            <v>Gordon,David M</v>
          </cell>
          <cell r="C4929">
            <v>23.5</v>
          </cell>
        </row>
        <row r="4930">
          <cell r="B4930" t="str">
            <v>Bechtel,Richard A</v>
          </cell>
          <cell r="C4930">
            <v>35.840000000000003</v>
          </cell>
        </row>
        <row r="4931">
          <cell r="B4931" t="str">
            <v>Taylor Sr.,Vernon</v>
          </cell>
          <cell r="C4931">
            <v>50.747799999999998</v>
          </cell>
        </row>
        <row r="4932">
          <cell r="B4932" t="str">
            <v>Canas,Linda G</v>
          </cell>
          <cell r="C4932">
            <v>16.62</v>
          </cell>
        </row>
        <row r="4933">
          <cell r="B4933" t="str">
            <v>Considine,Joshua A</v>
          </cell>
          <cell r="C4933">
            <v>28.28</v>
          </cell>
        </row>
        <row r="4934">
          <cell r="B4934" t="str">
            <v>Ammann,Paul W</v>
          </cell>
          <cell r="C4934">
            <v>71.674199999999999</v>
          </cell>
        </row>
        <row r="4935">
          <cell r="B4935" t="str">
            <v>Thistle,Benjamin A</v>
          </cell>
          <cell r="C4935">
            <v>28.8462</v>
          </cell>
        </row>
        <row r="4936">
          <cell r="B4936" t="str">
            <v>Augustin,David L</v>
          </cell>
          <cell r="C4936">
            <v>46.875</v>
          </cell>
        </row>
        <row r="4937">
          <cell r="B4937" t="str">
            <v>Mimms,Makimba</v>
          </cell>
          <cell r="C4937">
            <v>44.24</v>
          </cell>
        </row>
        <row r="4938">
          <cell r="B4938" t="str">
            <v>Turner,Tina M</v>
          </cell>
          <cell r="C4938">
            <v>17.8</v>
          </cell>
        </row>
        <row r="4939">
          <cell r="B4939" t="str">
            <v>McZeal,Claudrick</v>
          </cell>
          <cell r="C4939">
            <v>19.25</v>
          </cell>
        </row>
        <row r="4940">
          <cell r="B4940" t="str">
            <v>Petras,Heather B</v>
          </cell>
          <cell r="C4940">
            <v>26.923100000000002</v>
          </cell>
        </row>
        <row r="4941">
          <cell r="B4941" t="str">
            <v>Taccino,Bryan F</v>
          </cell>
          <cell r="C4941">
            <v>36.06</v>
          </cell>
        </row>
        <row r="4942">
          <cell r="B4942" t="str">
            <v>Adkins,Lonnie D</v>
          </cell>
          <cell r="C4942">
            <v>28.85</v>
          </cell>
        </row>
        <row r="4943">
          <cell r="B4943" t="str">
            <v>No,Heejung C</v>
          </cell>
          <cell r="C4943">
            <v>22</v>
          </cell>
        </row>
        <row r="4944">
          <cell r="B4944" t="str">
            <v>Rogers,William J</v>
          </cell>
          <cell r="C4944">
            <v>23</v>
          </cell>
        </row>
        <row r="4945">
          <cell r="B4945" t="str">
            <v>Difazio,David A.</v>
          </cell>
          <cell r="C4945">
            <v>24.73</v>
          </cell>
        </row>
        <row r="4946">
          <cell r="B4946" t="str">
            <v>Thornburg,Preston D</v>
          </cell>
          <cell r="C4946">
            <v>17</v>
          </cell>
        </row>
        <row r="4947">
          <cell r="B4947" t="str">
            <v>Nelson,Elvin P</v>
          </cell>
          <cell r="C4947">
            <v>26.45</v>
          </cell>
        </row>
        <row r="4948">
          <cell r="B4948" t="str">
            <v>Giacchetti,Sergio L</v>
          </cell>
          <cell r="C4948">
            <v>35.1</v>
          </cell>
        </row>
        <row r="4949">
          <cell r="B4949" t="str">
            <v>Kruise,Brandon T</v>
          </cell>
          <cell r="C4949">
            <v>21.64</v>
          </cell>
        </row>
        <row r="4950">
          <cell r="B4950" t="str">
            <v>Sparrow,Victor H</v>
          </cell>
          <cell r="C4950">
            <v>25.49</v>
          </cell>
        </row>
        <row r="4951">
          <cell r="B4951" t="str">
            <v>Dehues,Steven L</v>
          </cell>
          <cell r="C4951">
            <v>18.5</v>
          </cell>
        </row>
        <row r="4952">
          <cell r="B4952" t="str">
            <v>Peregrine,Michael</v>
          </cell>
          <cell r="C4952">
            <v>33.6539</v>
          </cell>
        </row>
        <row r="4953">
          <cell r="B4953" t="str">
            <v>Baker,William C</v>
          </cell>
          <cell r="C4953">
            <v>25</v>
          </cell>
        </row>
        <row r="4954">
          <cell r="B4954" t="str">
            <v>Tucker,Zachary H</v>
          </cell>
          <cell r="C4954">
            <v>17.899999999999999</v>
          </cell>
        </row>
        <row r="4955">
          <cell r="B4955" t="str">
            <v>Means,Rhonda S</v>
          </cell>
          <cell r="C4955">
            <v>48.56</v>
          </cell>
        </row>
        <row r="4956">
          <cell r="B4956" t="str">
            <v>Puehl,Kenneth M</v>
          </cell>
          <cell r="C4956">
            <v>27.64</v>
          </cell>
        </row>
        <row r="4957">
          <cell r="B4957" t="str">
            <v>Mann,Amine A</v>
          </cell>
          <cell r="C4957">
            <v>19.48</v>
          </cell>
        </row>
        <row r="4958">
          <cell r="B4958" t="str">
            <v>Flanagan,Jessica</v>
          </cell>
          <cell r="C4958">
            <v>22.68</v>
          </cell>
        </row>
        <row r="4959">
          <cell r="B4959" t="str">
            <v>Cordero,Luis</v>
          </cell>
          <cell r="C4959">
            <v>22</v>
          </cell>
        </row>
        <row r="4960">
          <cell r="B4960" t="str">
            <v>Hart,James B.</v>
          </cell>
          <cell r="C4960">
            <v>58.9</v>
          </cell>
        </row>
        <row r="4961">
          <cell r="B4961" t="str">
            <v>Wolf,John C</v>
          </cell>
          <cell r="C4961">
            <v>44.710500000000003</v>
          </cell>
        </row>
        <row r="4962">
          <cell r="B4962" t="str">
            <v>Twigg,Craig W</v>
          </cell>
          <cell r="C4962">
            <v>27.838100000000001</v>
          </cell>
        </row>
        <row r="4963">
          <cell r="B4963" t="str">
            <v>Sprague,Michael A</v>
          </cell>
          <cell r="C4963">
            <v>18</v>
          </cell>
        </row>
        <row r="4964">
          <cell r="B4964" t="str">
            <v>Stevens,Cedric L</v>
          </cell>
          <cell r="C4964">
            <v>30</v>
          </cell>
        </row>
        <row r="4965">
          <cell r="B4965" t="str">
            <v>Wedding,Timothy J</v>
          </cell>
          <cell r="C4965">
            <v>30.05</v>
          </cell>
        </row>
        <row r="4966">
          <cell r="B4966" t="str">
            <v>Miller,Frankie L</v>
          </cell>
          <cell r="C4966">
            <v>26.44</v>
          </cell>
        </row>
        <row r="4967">
          <cell r="B4967" t="str">
            <v>Porter Jr.,Larry D</v>
          </cell>
          <cell r="C4967">
            <v>19.84</v>
          </cell>
        </row>
        <row r="4968">
          <cell r="B4968" t="str">
            <v>Bailey,Bryan K</v>
          </cell>
          <cell r="C4968">
            <v>31.25</v>
          </cell>
        </row>
        <row r="4969">
          <cell r="B4969" t="str">
            <v>Young,Emma</v>
          </cell>
          <cell r="C4969">
            <v>40.869999999999997</v>
          </cell>
        </row>
        <row r="4970">
          <cell r="B4970" t="str">
            <v>Carwise,Mark A</v>
          </cell>
          <cell r="C4970">
            <v>31.89</v>
          </cell>
        </row>
        <row r="4971">
          <cell r="B4971" t="str">
            <v>Elliott,John R</v>
          </cell>
          <cell r="C4971">
            <v>65.209999999999994</v>
          </cell>
        </row>
        <row r="4972">
          <cell r="B4972" t="str">
            <v>Patch,Jacqueline S</v>
          </cell>
          <cell r="C4972">
            <v>67.650000000000006</v>
          </cell>
        </row>
        <row r="4973">
          <cell r="B4973" t="str">
            <v>Weisman,Melanie K</v>
          </cell>
          <cell r="C4973">
            <v>41.826999999999998</v>
          </cell>
        </row>
        <row r="4974">
          <cell r="B4974" t="str">
            <v>Dillon,Jamey D</v>
          </cell>
          <cell r="C4974">
            <v>62.3</v>
          </cell>
        </row>
        <row r="4975">
          <cell r="B4975" t="str">
            <v>Williams,Paul T</v>
          </cell>
          <cell r="C4975">
            <v>30.42</v>
          </cell>
        </row>
        <row r="4976">
          <cell r="B4976" t="str">
            <v>Titus,Jeanne M</v>
          </cell>
          <cell r="C4976">
            <v>56.42</v>
          </cell>
        </row>
        <row r="4977">
          <cell r="B4977" t="str">
            <v>Roseberry,Greg A</v>
          </cell>
          <cell r="C4977">
            <v>21.5</v>
          </cell>
        </row>
        <row r="4978">
          <cell r="B4978" t="str">
            <v>Bailey,Deshawn L</v>
          </cell>
          <cell r="C4978">
            <v>18.75</v>
          </cell>
        </row>
        <row r="4979">
          <cell r="B4979" t="str">
            <v>Rogers,Brannon J</v>
          </cell>
          <cell r="C4979">
            <v>34.86</v>
          </cell>
        </row>
        <row r="4980">
          <cell r="B4980" t="str">
            <v>Collins,Daniel K</v>
          </cell>
          <cell r="C4980">
            <v>31.01</v>
          </cell>
        </row>
        <row r="4981">
          <cell r="B4981" t="str">
            <v>Tumilowicz,Christopher A</v>
          </cell>
          <cell r="C4981">
            <v>48.08</v>
          </cell>
        </row>
        <row r="4982">
          <cell r="B4982" t="str">
            <v>Waller,Shantae L</v>
          </cell>
          <cell r="C4982">
            <v>15.49</v>
          </cell>
        </row>
        <row r="4983">
          <cell r="B4983" t="str">
            <v>Koprivnikar,Joseph C</v>
          </cell>
          <cell r="C4983">
            <v>38.47</v>
          </cell>
        </row>
        <row r="4984">
          <cell r="B4984" t="str">
            <v>Whitfield,Enick</v>
          </cell>
          <cell r="C4984">
            <v>30</v>
          </cell>
        </row>
        <row r="4985">
          <cell r="B4985" t="str">
            <v>Hodges,Tonja</v>
          </cell>
          <cell r="C4985">
            <v>17.5</v>
          </cell>
        </row>
        <row r="4986">
          <cell r="B4986" t="str">
            <v>Henderson,Charles A</v>
          </cell>
          <cell r="C4986">
            <v>25</v>
          </cell>
        </row>
        <row r="4987">
          <cell r="B4987" t="str">
            <v>Ryan,David L</v>
          </cell>
          <cell r="C4987">
            <v>21.5</v>
          </cell>
        </row>
        <row r="4988">
          <cell r="B4988" t="str">
            <v>Durant,Lynn A</v>
          </cell>
          <cell r="C4988">
            <v>21</v>
          </cell>
        </row>
        <row r="4989">
          <cell r="B4989" t="str">
            <v>Tseggai,Nuatu K</v>
          </cell>
          <cell r="C4989">
            <v>39.74</v>
          </cell>
        </row>
        <row r="4990">
          <cell r="B4990" t="str">
            <v>Boyer,Damien M</v>
          </cell>
          <cell r="C4990">
            <v>21</v>
          </cell>
        </row>
        <row r="4991">
          <cell r="B4991" t="str">
            <v>Clark,Diana D</v>
          </cell>
          <cell r="C4991">
            <v>19</v>
          </cell>
        </row>
        <row r="4992">
          <cell r="B4992" t="str">
            <v>Horton,Erika M</v>
          </cell>
          <cell r="C4992">
            <v>33.659999999999997</v>
          </cell>
        </row>
        <row r="4993">
          <cell r="B4993" t="str">
            <v>Solomon,Michael T</v>
          </cell>
          <cell r="C4993">
            <v>34</v>
          </cell>
        </row>
        <row r="4994">
          <cell r="B4994" t="str">
            <v>Marshall,Billy L</v>
          </cell>
          <cell r="C4994">
            <v>55</v>
          </cell>
        </row>
        <row r="4995">
          <cell r="B4995" t="str">
            <v>Harper,Chequana D</v>
          </cell>
          <cell r="C4995">
            <v>23.34</v>
          </cell>
        </row>
        <row r="4996">
          <cell r="B4996" t="str">
            <v>Villanueva,Juan A</v>
          </cell>
          <cell r="C4996">
            <v>19</v>
          </cell>
        </row>
        <row r="4997">
          <cell r="B4997" t="str">
            <v>Frazier IV,Frank G</v>
          </cell>
          <cell r="C4997">
            <v>65.865375</v>
          </cell>
        </row>
        <row r="4998">
          <cell r="B4998" t="str">
            <v>Lydon,Joseph R</v>
          </cell>
          <cell r="C4998">
            <v>32.5</v>
          </cell>
        </row>
        <row r="4999">
          <cell r="B4999" t="str">
            <v>Patterson,Petra R</v>
          </cell>
          <cell r="C4999">
            <v>19.5</v>
          </cell>
        </row>
        <row r="5000">
          <cell r="B5000" t="str">
            <v>Feid,Christopher M</v>
          </cell>
          <cell r="C5000">
            <v>46.68</v>
          </cell>
        </row>
        <row r="5001">
          <cell r="B5001" t="str">
            <v>White,Billy</v>
          </cell>
          <cell r="C5001">
            <v>39.82</v>
          </cell>
        </row>
        <row r="5002">
          <cell r="B5002" t="str">
            <v>Hawi,Jason N</v>
          </cell>
          <cell r="C5002">
            <v>31.85</v>
          </cell>
        </row>
        <row r="5003">
          <cell r="B5003" t="str">
            <v>Shelly,Michael P</v>
          </cell>
          <cell r="C5003">
            <v>39.9039</v>
          </cell>
        </row>
        <row r="5004">
          <cell r="B5004" t="str">
            <v>Fahey,Edmund A</v>
          </cell>
          <cell r="C5004">
            <v>35.590000000000003</v>
          </cell>
        </row>
        <row r="5005">
          <cell r="B5005" t="str">
            <v>Ingalls,Jeffrey J</v>
          </cell>
          <cell r="C5005">
            <v>102.5145</v>
          </cell>
        </row>
        <row r="5006">
          <cell r="B5006" t="str">
            <v>Szymkowiak,Debora</v>
          </cell>
          <cell r="C5006">
            <v>18.66</v>
          </cell>
        </row>
        <row r="5007">
          <cell r="B5007" t="str">
            <v>Koepke,Adrienne E</v>
          </cell>
          <cell r="C5007">
            <v>19.55</v>
          </cell>
        </row>
        <row r="5008">
          <cell r="B5008" t="str">
            <v>Strange,Richard A</v>
          </cell>
          <cell r="C5008">
            <v>25</v>
          </cell>
        </row>
        <row r="5009">
          <cell r="B5009" t="str">
            <v>Browning,Kellie S</v>
          </cell>
          <cell r="C5009">
            <v>15.9</v>
          </cell>
        </row>
        <row r="5010">
          <cell r="B5010" t="str">
            <v>Camana,Julio R</v>
          </cell>
          <cell r="C5010">
            <v>33.18</v>
          </cell>
        </row>
        <row r="5011">
          <cell r="B5011" t="str">
            <v>Worcester Jr.,Daniel J</v>
          </cell>
          <cell r="C5011">
            <v>17.079999999999998</v>
          </cell>
        </row>
        <row r="5012">
          <cell r="B5012" t="str">
            <v>Won,Lorraine</v>
          </cell>
          <cell r="C5012">
            <v>43.27</v>
          </cell>
        </row>
        <row r="5013">
          <cell r="B5013" t="str">
            <v>Bovingdon,Connie H</v>
          </cell>
          <cell r="C5013">
            <v>12.28</v>
          </cell>
        </row>
        <row r="5014">
          <cell r="B5014" t="str">
            <v>Partridge,Lana A</v>
          </cell>
          <cell r="C5014">
            <v>12.75</v>
          </cell>
        </row>
        <row r="5015">
          <cell r="B5015" t="str">
            <v>Berg,Erik A</v>
          </cell>
          <cell r="C5015">
            <v>57.113199999999999</v>
          </cell>
        </row>
        <row r="5016">
          <cell r="B5016" t="str">
            <v>Krikorian,Debra J</v>
          </cell>
          <cell r="C5016">
            <v>95</v>
          </cell>
        </row>
        <row r="5017">
          <cell r="B5017" t="str">
            <v>Gruden Jr.,Stephen P</v>
          </cell>
          <cell r="C5017">
            <v>21.2</v>
          </cell>
        </row>
        <row r="5018">
          <cell r="B5018" t="str">
            <v>Murphy,Matthew F</v>
          </cell>
          <cell r="C5018">
            <v>16.489999999999998</v>
          </cell>
        </row>
        <row r="5019">
          <cell r="B5019" t="str">
            <v>Roberts,William E</v>
          </cell>
          <cell r="C5019">
            <v>68.67</v>
          </cell>
        </row>
        <row r="5020">
          <cell r="B5020" t="str">
            <v>Williamson,Paul R</v>
          </cell>
          <cell r="C5020">
            <v>22.66</v>
          </cell>
        </row>
        <row r="5021">
          <cell r="B5021" t="str">
            <v>Williams,Alpha M</v>
          </cell>
          <cell r="C5021">
            <v>30.54</v>
          </cell>
        </row>
        <row r="5022">
          <cell r="B5022" t="str">
            <v>Stouffer,Debra D</v>
          </cell>
          <cell r="C5022">
            <v>113.9</v>
          </cell>
        </row>
        <row r="5023">
          <cell r="B5023" t="str">
            <v>Hetrick III,John P</v>
          </cell>
          <cell r="C5023">
            <v>26.45</v>
          </cell>
        </row>
        <row r="5024">
          <cell r="B5024" t="str">
            <v>Toledo,Enrique</v>
          </cell>
          <cell r="C5024">
            <v>20</v>
          </cell>
        </row>
        <row r="5025">
          <cell r="B5025" t="str">
            <v>Blake,April R</v>
          </cell>
          <cell r="C5025">
            <v>18.75</v>
          </cell>
        </row>
        <row r="5026">
          <cell r="B5026" t="str">
            <v>Pierce,Terrance L</v>
          </cell>
          <cell r="C5026">
            <v>33.75</v>
          </cell>
        </row>
        <row r="5027">
          <cell r="B5027" t="str">
            <v>Haas,Patrick</v>
          </cell>
          <cell r="C5027">
            <v>49.38</v>
          </cell>
        </row>
        <row r="5028">
          <cell r="B5028" t="str">
            <v>Mednick,Jerrod</v>
          </cell>
          <cell r="C5028">
            <v>22.46</v>
          </cell>
        </row>
        <row r="5029">
          <cell r="B5029" t="str">
            <v>Kisely,Scott F</v>
          </cell>
          <cell r="C5029">
            <v>24.76</v>
          </cell>
        </row>
        <row r="5030">
          <cell r="B5030" t="str">
            <v>Helm,Brandon L</v>
          </cell>
          <cell r="C5030">
            <v>24.04</v>
          </cell>
        </row>
        <row r="5031">
          <cell r="B5031" t="str">
            <v>Bailey,William B</v>
          </cell>
          <cell r="C5031">
            <v>20.89</v>
          </cell>
        </row>
        <row r="5032">
          <cell r="B5032" t="str">
            <v>Phillips,Georgia J</v>
          </cell>
          <cell r="C5032">
            <v>25.95</v>
          </cell>
        </row>
        <row r="5033">
          <cell r="B5033" t="str">
            <v>Dunois,Ian</v>
          </cell>
          <cell r="C5033">
            <v>19.43</v>
          </cell>
        </row>
        <row r="5034">
          <cell r="B5034" t="str">
            <v>Baldwin,Natasha F</v>
          </cell>
          <cell r="C5034">
            <v>21.64</v>
          </cell>
        </row>
        <row r="5035">
          <cell r="B5035" t="str">
            <v>Chambers,Sonjay D</v>
          </cell>
          <cell r="C5035">
            <v>15.5</v>
          </cell>
        </row>
        <row r="5036">
          <cell r="B5036" t="str">
            <v>Chea,Charlie P</v>
          </cell>
          <cell r="C5036">
            <v>20.5</v>
          </cell>
        </row>
        <row r="5037">
          <cell r="B5037" t="str">
            <v>Miller,Randall S</v>
          </cell>
          <cell r="C5037">
            <v>21.09</v>
          </cell>
        </row>
        <row r="5038">
          <cell r="B5038" t="str">
            <v>Katzenberger,Lisa J</v>
          </cell>
          <cell r="C5038">
            <v>25.16</v>
          </cell>
        </row>
        <row r="5039">
          <cell r="B5039" t="str">
            <v>Asfahani,Sami I</v>
          </cell>
          <cell r="C5039">
            <v>40.32</v>
          </cell>
        </row>
        <row r="5040">
          <cell r="B5040" t="str">
            <v>Brown,Cameron L</v>
          </cell>
          <cell r="C5040">
            <v>31</v>
          </cell>
        </row>
        <row r="5041">
          <cell r="B5041" t="str">
            <v>Posada,Richard E</v>
          </cell>
          <cell r="C5041">
            <v>62.5</v>
          </cell>
        </row>
        <row r="5042">
          <cell r="B5042" t="str">
            <v>Diggs-Hardeman,Christel</v>
          </cell>
          <cell r="C5042">
            <v>35.58</v>
          </cell>
        </row>
        <row r="5043">
          <cell r="B5043" t="str">
            <v>Pugh,Paula J</v>
          </cell>
          <cell r="C5043">
            <v>19</v>
          </cell>
        </row>
        <row r="5044">
          <cell r="B5044" t="str">
            <v>Tapassi,Andrew J</v>
          </cell>
          <cell r="C5044">
            <v>26.78</v>
          </cell>
        </row>
        <row r="5045">
          <cell r="B5045" t="str">
            <v>Rhodes II,Joseph L</v>
          </cell>
          <cell r="C5045">
            <v>16</v>
          </cell>
        </row>
        <row r="5046">
          <cell r="B5046" t="str">
            <v>Tibayan,Jeremy V</v>
          </cell>
          <cell r="C5046">
            <v>24.88</v>
          </cell>
        </row>
        <row r="5047">
          <cell r="B5047" t="str">
            <v>Engle,Leanne R.</v>
          </cell>
          <cell r="C5047">
            <v>21.21</v>
          </cell>
        </row>
        <row r="5048">
          <cell r="B5048" t="str">
            <v>Heath,Dustin M</v>
          </cell>
          <cell r="C5048">
            <v>21.52</v>
          </cell>
        </row>
        <row r="5049">
          <cell r="B5049" t="str">
            <v>Holloway,Charles A</v>
          </cell>
          <cell r="C5049">
            <v>22</v>
          </cell>
        </row>
        <row r="5050">
          <cell r="B5050" t="str">
            <v>Parra,Alfredo F</v>
          </cell>
          <cell r="C5050">
            <v>22</v>
          </cell>
        </row>
        <row r="5051">
          <cell r="B5051" t="str">
            <v>Knotts,Chris</v>
          </cell>
          <cell r="C5051">
            <v>17.75</v>
          </cell>
        </row>
        <row r="5052">
          <cell r="B5052" t="str">
            <v>MacVarish,Richard</v>
          </cell>
          <cell r="C5052">
            <v>49.04</v>
          </cell>
        </row>
        <row r="5053">
          <cell r="B5053" t="str">
            <v>Watson,Charles</v>
          </cell>
          <cell r="C5053">
            <v>31.25</v>
          </cell>
        </row>
        <row r="5054">
          <cell r="B5054" t="str">
            <v>Ley,Vincent</v>
          </cell>
          <cell r="C5054">
            <v>96.16</v>
          </cell>
        </row>
        <row r="5055">
          <cell r="B5055" t="str">
            <v>Paylor,Shawn A</v>
          </cell>
          <cell r="C5055">
            <v>36</v>
          </cell>
        </row>
        <row r="5056">
          <cell r="B5056" t="str">
            <v>Bassett,David W</v>
          </cell>
          <cell r="C5056">
            <v>33.659999999999997</v>
          </cell>
        </row>
        <row r="5057">
          <cell r="B5057" t="str">
            <v>Salisbury,David J</v>
          </cell>
          <cell r="C5057">
            <v>49.3217</v>
          </cell>
        </row>
        <row r="5058">
          <cell r="B5058" t="str">
            <v>McDaniel,Michelle L</v>
          </cell>
          <cell r="C5058">
            <v>35.58</v>
          </cell>
        </row>
        <row r="5059">
          <cell r="B5059" t="str">
            <v>Gaston,Robert M</v>
          </cell>
          <cell r="C5059">
            <v>19.649999999999999</v>
          </cell>
        </row>
        <row r="5060">
          <cell r="B5060" t="str">
            <v>Alexander,Alex J</v>
          </cell>
          <cell r="C5060">
            <v>29.23</v>
          </cell>
        </row>
        <row r="5061">
          <cell r="B5061" t="str">
            <v>Evans,Brenda D</v>
          </cell>
          <cell r="C5061">
            <v>24.28</v>
          </cell>
        </row>
        <row r="5062">
          <cell r="B5062" t="str">
            <v>Bruce,Donald R</v>
          </cell>
          <cell r="C5062">
            <v>77.529750000000007</v>
          </cell>
        </row>
        <row r="5063">
          <cell r="B5063" t="str">
            <v>Boyd,Larry V</v>
          </cell>
          <cell r="C5063">
            <v>46</v>
          </cell>
        </row>
        <row r="5064">
          <cell r="B5064" t="str">
            <v>Blevins,Michael R</v>
          </cell>
          <cell r="C5064">
            <v>19</v>
          </cell>
        </row>
        <row r="5065">
          <cell r="B5065" t="str">
            <v>Tuzun,Tezcan</v>
          </cell>
          <cell r="C5065">
            <v>20.89</v>
          </cell>
        </row>
        <row r="5066">
          <cell r="B5066" t="str">
            <v>Ortiz,Joseph</v>
          </cell>
          <cell r="C5066">
            <v>55.29</v>
          </cell>
        </row>
        <row r="5067">
          <cell r="B5067" t="str">
            <v>Burna II,Richard F</v>
          </cell>
          <cell r="C5067">
            <v>45</v>
          </cell>
        </row>
        <row r="5068">
          <cell r="B5068" t="str">
            <v>Rodman,David L</v>
          </cell>
          <cell r="C5068">
            <v>39.659999999999997</v>
          </cell>
        </row>
        <row r="5069">
          <cell r="B5069" t="str">
            <v>Stripling,Reginald</v>
          </cell>
          <cell r="C5069">
            <v>21</v>
          </cell>
        </row>
        <row r="5070">
          <cell r="B5070" t="str">
            <v>Chai,Wencheng</v>
          </cell>
          <cell r="C5070">
            <v>57.7</v>
          </cell>
        </row>
        <row r="5071">
          <cell r="B5071" t="str">
            <v>Sprous,Paul W</v>
          </cell>
          <cell r="C5071">
            <v>21</v>
          </cell>
        </row>
        <row r="5072">
          <cell r="B5072" t="str">
            <v>Edie,Theresa L</v>
          </cell>
          <cell r="C5072">
            <v>18.940000000000001</v>
          </cell>
        </row>
        <row r="5073">
          <cell r="B5073" t="str">
            <v>Korkolis,Linda M</v>
          </cell>
          <cell r="C5073">
            <v>43.12</v>
          </cell>
        </row>
        <row r="5074">
          <cell r="B5074" t="str">
            <v>Graham,Jonathan P</v>
          </cell>
          <cell r="C5074">
            <v>30</v>
          </cell>
        </row>
        <row r="5075">
          <cell r="B5075" t="str">
            <v>Forgit,Paul E</v>
          </cell>
          <cell r="C5075">
            <v>21</v>
          </cell>
        </row>
        <row r="5076">
          <cell r="B5076" t="str">
            <v>Druck,James F</v>
          </cell>
          <cell r="C5076">
            <v>28.530999999999999</v>
          </cell>
        </row>
        <row r="5077">
          <cell r="B5077" t="str">
            <v>Kane,Andrew F</v>
          </cell>
          <cell r="C5077">
            <v>36</v>
          </cell>
        </row>
        <row r="5078">
          <cell r="B5078" t="str">
            <v>Cornelissen,Patricia A</v>
          </cell>
          <cell r="C5078">
            <v>48.076999999999998</v>
          </cell>
        </row>
        <row r="5079">
          <cell r="B5079" t="str">
            <v>Diaz,Terrence R</v>
          </cell>
          <cell r="C5079">
            <v>31</v>
          </cell>
        </row>
        <row r="5080">
          <cell r="B5080" t="str">
            <v>Yates,Taylor R</v>
          </cell>
          <cell r="C5080">
            <v>26.65</v>
          </cell>
        </row>
        <row r="5081">
          <cell r="B5081" t="str">
            <v>Sandifer,Jamina D</v>
          </cell>
          <cell r="C5081">
            <v>14.26</v>
          </cell>
        </row>
        <row r="5082">
          <cell r="B5082" t="str">
            <v>Reed,Kristen M</v>
          </cell>
          <cell r="C5082">
            <v>19.0472</v>
          </cell>
        </row>
        <row r="5083">
          <cell r="B5083" t="str">
            <v>Tullis Jr.,Thomas A</v>
          </cell>
          <cell r="C5083">
            <v>22</v>
          </cell>
        </row>
        <row r="5084">
          <cell r="B5084" t="str">
            <v>Scott,Eunice V</v>
          </cell>
          <cell r="C5084">
            <v>22.5</v>
          </cell>
        </row>
        <row r="5085">
          <cell r="B5085" t="str">
            <v>Plaisimond,Tonya Y</v>
          </cell>
          <cell r="C5085">
            <v>26.5</v>
          </cell>
        </row>
        <row r="5086">
          <cell r="B5086" t="str">
            <v>Wells Jr.,Gregory B</v>
          </cell>
          <cell r="C5086">
            <v>21</v>
          </cell>
        </row>
        <row r="5087">
          <cell r="B5087" t="str">
            <v>Byerly,James R</v>
          </cell>
          <cell r="C5087">
            <v>37.5</v>
          </cell>
        </row>
        <row r="5088">
          <cell r="B5088" t="str">
            <v>Williams,Lancelot L</v>
          </cell>
          <cell r="C5088">
            <v>19.25</v>
          </cell>
        </row>
        <row r="5089">
          <cell r="B5089" t="str">
            <v>MacDonald,Stephen N</v>
          </cell>
          <cell r="C5089">
            <v>22.44</v>
          </cell>
        </row>
        <row r="5090">
          <cell r="B5090" t="str">
            <v>Berkey,John H</v>
          </cell>
          <cell r="C5090">
            <v>28.7498</v>
          </cell>
        </row>
        <row r="5091">
          <cell r="B5091" t="str">
            <v>Gaeta,Gregory M</v>
          </cell>
          <cell r="C5091">
            <v>21</v>
          </cell>
        </row>
        <row r="5092">
          <cell r="B5092" t="str">
            <v>Fredericks,Thomas C</v>
          </cell>
          <cell r="C5092">
            <v>44.89</v>
          </cell>
        </row>
        <row r="5093">
          <cell r="B5093" t="str">
            <v>Zaring,Angela</v>
          </cell>
          <cell r="C5093">
            <v>18.53</v>
          </cell>
        </row>
        <row r="5094">
          <cell r="B5094" t="str">
            <v>Hill,Laura L</v>
          </cell>
          <cell r="C5094">
            <v>67.31</v>
          </cell>
        </row>
        <row r="5095">
          <cell r="B5095" t="str">
            <v>Cuadra Reyes,Jayson O</v>
          </cell>
          <cell r="C5095">
            <v>18.5</v>
          </cell>
        </row>
        <row r="5096">
          <cell r="B5096" t="str">
            <v>Laws III,Robert J</v>
          </cell>
          <cell r="C5096">
            <v>28.202300000000001</v>
          </cell>
        </row>
        <row r="5097">
          <cell r="B5097" t="str">
            <v>Ahmed,Ujjol</v>
          </cell>
          <cell r="C5097">
            <v>39.99</v>
          </cell>
        </row>
        <row r="5098">
          <cell r="B5098" t="str">
            <v>Fuller,Michael R</v>
          </cell>
          <cell r="C5098">
            <v>50.49</v>
          </cell>
        </row>
        <row r="5099">
          <cell r="B5099" t="str">
            <v>Pearce,Matthew L</v>
          </cell>
          <cell r="C5099">
            <v>79.33</v>
          </cell>
        </row>
        <row r="5100">
          <cell r="B5100" t="str">
            <v>Monreal,Terry L</v>
          </cell>
          <cell r="C5100">
            <v>20</v>
          </cell>
        </row>
        <row r="5101">
          <cell r="B5101" t="str">
            <v>Webb,Matthew T</v>
          </cell>
          <cell r="C5101">
            <v>47.12</v>
          </cell>
        </row>
        <row r="5102">
          <cell r="B5102" t="str">
            <v>Young,SaWan T</v>
          </cell>
          <cell r="C5102">
            <v>60.1</v>
          </cell>
        </row>
        <row r="5103">
          <cell r="B5103" t="str">
            <v>Feysa,Michael A</v>
          </cell>
          <cell r="C5103">
            <v>20</v>
          </cell>
        </row>
        <row r="5104">
          <cell r="B5104" t="str">
            <v>Malone,Mark A</v>
          </cell>
          <cell r="C5104">
            <v>18.260000000000002</v>
          </cell>
        </row>
        <row r="5105">
          <cell r="B5105" t="str">
            <v>Olds,Jeffrey D</v>
          </cell>
          <cell r="C5105">
            <v>38.5</v>
          </cell>
        </row>
        <row r="5106">
          <cell r="B5106" t="str">
            <v>Elder,Allison</v>
          </cell>
          <cell r="C5106">
            <v>37.018999999999998</v>
          </cell>
        </row>
        <row r="5107">
          <cell r="B5107" t="str">
            <v>Price,Robert P</v>
          </cell>
          <cell r="C5107">
            <v>30</v>
          </cell>
        </row>
        <row r="5108">
          <cell r="B5108" t="str">
            <v>Elias,Morgan R</v>
          </cell>
          <cell r="C5108">
            <v>19.25</v>
          </cell>
        </row>
        <row r="5109">
          <cell r="B5109" t="str">
            <v>Garcia,Jose</v>
          </cell>
          <cell r="C5109">
            <v>17.78</v>
          </cell>
        </row>
        <row r="5110">
          <cell r="B5110" t="str">
            <v>Crabtree,Kevin l</v>
          </cell>
          <cell r="C5110">
            <v>20.9</v>
          </cell>
        </row>
        <row r="5111">
          <cell r="B5111" t="str">
            <v>Gallardo,Bradley O</v>
          </cell>
          <cell r="C5111">
            <v>27.46</v>
          </cell>
        </row>
        <row r="5112">
          <cell r="B5112" t="str">
            <v>Fernando,Joseph S</v>
          </cell>
          <cell r="C5112">
            <v>33.659999999999997</v>
          </cell>
        </row>
        <row r="5113">
          <cell r="B5113" t="str">
            <v>Ortiz,Nazario</v>
          </cell>
          <cell r="C5113">
            <v>36.06</v>
          </cell>
        </row>
        <row r="5114">
          <cell r="B5114" t="str">
            <v>Lyng,Kevin R</v>
          </cell>
          <cell r="C5114">
            <v>33.71</v>
          </cell>
        </row>
        <row r="5115">
          <cell r="B5115" t="str">
            <v>Esplana,Jason J</v>
          </cell>
          <cell r="C5115">
            <v>17.93</v>
          </cell>
        </row>
        <row r="5116">
          <cell r="B5116" t="str">
            <v>Van Kuren,Steve M</v>
          </cell>
          <cell r="C5116">
            <v>67.31</v>
          </cell>
        </row>
        <row r="5117">
          <cell r="B5117" t="str">
            <v>Bassett,John W</v>
          </cell>
          <cell r="C5117">
            <v>37.79</v>
          </cell>
        </row>
        <row r="5118">
          <cell r="B5118" t="str">
            <v>Anderson,Roderick</v>
          </cell>
          <cell r="C5118">
            <v>20.99</v>
          </cell>
        </row>
        <row r="5119">
          <cell r="B5119" t="str">
            <v>Johnson,Lessley W</v>
          </cell>
          <cell r="C5119">
            <v>18</v>
          </cell>
        </row>
        <row r="5120">
          <cell r="B5120" t="str">
            <v>Beck,John M</v>
          </cell>
          <cell r="C5120">
            <v>34.340000000000003</v>
          </cell>
        </row>
        <row r="5121">
          <cell r="B5121" t="str">
            <v>Avery II,Richard W</v>
          </cell>
          <cell r="C5121">
            <v>26.03</v>
          </cell>
        </row>
        <row r="5122">
          <cell r="B5122" t="str">
            <v>Paulinski,Joseph J</v>
          </cell>
          <cell r="C5122">
            <v>19.350000000000001</v>
          </cell>
        </row>
        <row r="5123">
          <cell r="B5123" t="str">
            <v>Gay,LaChristy T</v>
          </cell>
          <cell r="C5123">
            <v>25.240300000000001</v>
          </cell>
        </row>
        <row r="5124">
          <cell r="B5124" t="str">
            <v>Guerra,Hector N</v>
          </cell>
          <cell r="C5124">
            <v>27.4</v>
          </cell>
        </row>
        <row r="5125">
          <cell r="B5125" t="str">
            <v>Wynter,Peter A</v>
          </cell>
          <cell r="C5125">
            <v>33.18</v>
          </cell>
        </row>
        <row r="5126">
          <cell r="B5126" t="str">
            <v>Moore,Tolbert</v>
          </cell>
          <cell r="C5126">
            <v>45.68</v>
          </cell>
        </row>
        <row r="5127">
          <cell r="B5127" t="str">
            <v>Cline,George R</v>
          </cell>
          <cell r="C5127">
            <v>51.23</v>
          </cell>
        </row>
        <row r="5128">
          <cell r="B5128" t="str">
            <v>Moore,Edward D</v>
          </cell>
          <cell r="C5128">
            <v>23.4</v>
          </cell>
        </row>
        <row r="5129">
          <cell r="B5129" t="str">
            <v>Dalrymple,Byron K</v>
          </cell>
          <cell r="C5129">
            <v>49.76</v>
          </cell>
        </row>
        <row r="5130">
          <cell r="B5130" t="str">
            <v>Bunch,Larry P</v>
          </cell>
          <cell r="C5130">
            <v>53.846153999999999</v>
          </cell>
        </row>
        <row r="5131">
          <cell r="B5131" t="str">
            <v>Ramirez Jr.,Luis</v>
          </cell>
          <cell r="C5131">
            <v>13.5</v>
          </cell>
        </row>
        <row r="5132">
          <cell r="B5132" t="str">
            <v>Conrad,Michelle D</v>
          </cell>
          <cell r="C5132">
            <v>21.64</v>
          </cell>
        </row>
        <row r="5133">
          <cell r="B5133" t="str">
            <v>Wagoner,Brittany K</v>
          </cell>
          <cell r="C5133">
            <v>17.899999999999999</v>
          </cell>
        </row>
        <row r="5134">
          <cell r="B5134" t="str">
            <v>Williams,Michelle A</v>
          </cell>
          <cell r="C5134">
            <v>19.89</v>
          </cell>
        </row>
        <row r="5135">
          <cell r="B5135" t="str">
            <v>Estrada,Steven E</v>
          </cell>
          <cell r="C5135">
            <v>37.5</v>
          </cell>
        </row>
        <row r="5136">
          <cell r="B5136" t="str">
            <v>Hudson,Maurice E</v>
          </cell>
          <cell r="C5136">
            <v>63.95</v>
          </cell>
        </row>
        <row r="5137">
          <cell r="B5137" t="str">
            <v>Loughner,Ryan</v>
          </cell>
          <cell r="C5137">
            <v>17.93</v>
          </cell>
        </row>
        <row r="5138">
          <cell r="B5138" t="str">
            <v>Zgainer,Anthony J</v>
          </cell>
          <cell r="C5138">
            <v>75.766345999999999</v>
          </cell>
        </row>
        <row r="5139">
          <cell r="B5139" t="str">
            <v>Carman,Ray A</v>
          </cell>
          <cell r="C5139">
            <v>71.406750000000002</v>
          </cell>
        </row>
        <row r="5140">
          <cell r="B5140" t="str">
            <v>Back,Jason M</v>
          </cell>
          <cell r="C5140">
            <v>41.38</v>
          </cell>
        </row>
        <row r="5141">
          <cell r="B5141" t="str">
            <v>Curley,George L</v>
          </cell>
          <cell r="C5141">
            <v>38.47</v>
          </cell>
        </row>
        <row r="5142">
          <cell r="B5142" t="str">
            <v>Collins,Steven A</v>
          </cell>
          <cell r="C5142">
            <v>23</v>
          </cell>
        </row>
        <row r="5143">
          <cell r="B5143" t="str">
            <v>El Houti,Amina</v>
          </cell>
          <cell r="C5143">
            <v>39.200000000000003</v>
          </cell>
        </row>
        <row r="5144">
          <cell r="B5144" t="str">
            <v>Menko,Stephen A</v>
          </cell>
          <cell r="C5144">
            <v>20.149999999999999</v>
          </cell>
        </row>
        <row r="5145">
          <cell r="B5145" t="str">
            <v>Barela,Eugene</v>
          </cell>
          <cell r="C5145">
            <v>37.99</v>
          </cell>
        </row>
        <row r="5146">
          <cell r="B5146" t="str">
            <v>Motes,Jeffrey T</v>
          </cell>
          <cell r="C5146">
            <v>43.27</v>
          </cell>
        </row>
        <row r="5147">
          <cell r="B5147" t="str">
            <v>Vincent,David J</v>
          </cell>
          <cell r="C5147">
            <v>27</v>
          </cell>
        </row>
        <row r="5148">
          <cell r="B5148" t="str">
            <v>Chang,Kevin</v>
          </cell>
          <cell r="C5148">
            <v>28.85</v>
          </cell>
        </row>
        <row r="5149">
          <cell r="B5149" t="str">
            <v>Williams,Caleb E</v>
          </cell>
          <cell r="C5149">
            <v>20</v>
          </cell>
        </row>
        <row r="5150">
          <cell r="B5150" t="str">
            <v>Hall,Samantha P</v>
          </cell>
          <cell r="C5150">
            <v>36.54</v>
          </cell>
        </row>
        <row r="5151">
          <cell r="B5151" t="str">
            <v>Gray,Rex L</v>
          </cell>
          <cell r="C5151">
            <v>43.27</v>
          </cell>
        </row>
        <row r="5152">
          <cell r="B5152" t="str">
            <v>Broadwater,Rebecca E</v>
          </cell>
          <cell r="C5152">
            <v>37.5</v>
          </cell>
        </row>
        <row r="5153">
          <cell r="B5153" t="str">
            <v>White,Terry L</v>
          </cell>
          <cell r="C5153">
            <v>40.969000000000001</v>
          </cell>
        </row>
        <row r="5154">
          <cell r="B5154" t="str">
            <v>Romanello,Tanya L</v>
          </cell>
          <cell r="C5154">
            <v>11.8</v>
          </cell>
        </row>
        <row r="5155">
          <cell r="B5155" t="str">
            <v>Lein,John J</v>
          </cell>
          <cell r="C5155">
            <v>20.89</v>
          </cell>
        </row>
        <row r="5156">
          <cell r="B5156" t="str">
            <v>Corcoran,David</v>
          </cell>
          <cell r="C5156">
            <v>40.869999999999997</v>
          </cell>
        </row>
        <row r="5157">
          <cell r="B5157" t="str">
            <v>Patten Jr.,Tommy D</v>
          </cell>
          <cell r="C5157">
            <v>21.15</v>
          </cell>
        </row>
        <row r="5158">
          <cell r="B5158" t="str">
            <v>Velez Jr,Ruben</v>
          </cell>
          <cell r="C5158">
            <v>26</v>
          </cell>
        </row>
        <row r="5159">
          <cell r="B5159" t="str">
            <v>Youngblood,William H</v>
          </cell>
          <cell r="C5159">
            <v>43.8247</v>
          </cell>
        </row>
        <row r="5160">
          <cell r="B5160" t="str">
            <v>Nipper Jr.,Samuel</v>
          </cell>
          <cell r="C5160">
            <v>21</v>
          </cell>
        </row>
        <row r="5161">
          <cell r="B5161" t="str">
            <v>Andress,Donald F</v>
          </cell>
          <cell r="C5161">
            <v>38.75</v>
          </cell>
        </row>
        <row r="5162">
          <cell r="B5162" t="str">
            <v>Madden,Jason S</v>
          </cell>
          <cell r="C5162">
            <v>55.29</v>
          </cell>
        </row>
        <row r="5163">
          <cell r="B5163" t="str">
            <v>Blancett,Lloyd D</v>
          </cell>
          <cell r="C5163">
            <v>33.049999999999997</v>
          </cell>
        </row>
        <row r="5164">
          <cell r="B5164" t="str">
            <v>Hess,Doral L</v>
          </cell>
          <cell r="C5164">
            <v>25.94</v>
          </cell>
        </row>
        <row r="5165">
          <cell r="B5165" t="str">
            <v>Wesley,Joe</v>
          </cell>
          <cell r="C5165">
            <v>51.87</v>
          </cell>
        </row>
        <row r="5166">
          <cell r="B5166" t="str">
            <v>McNeal,Kevin M</v>
          </cell>
          <cell r="C5166">
            <v>18.2</v>
          </cell>
        </row>
        <row r="5167">
          <cell r="B5167" t="str">
            <v>Poole,James H</v>
          </cell>
          <cell r="C5167">
            <v>42.41</v>
          </cell>
        </row>
        <row r="5168">
          <cell r="B5168" t="str">
            <v>Imes,Phyllis M</v>
          </cell>
          <cell r="C5168">
            <v>56.74</v>
          </cell>
        </row>
        <row r="5169">
          <cell r="B5169" t="str">
            <v>Balint,Thomas M</v>
          </cell>
          <cell r="C5169">
            <v>92.79</v>
          </cell>
        </row>
        <row r="5170">
          <cell r="B5170" t="str">
            <v>Dennison,Marian S</v>
          </cell>
          <cell r="C5170">
            <v>48.56</v>
          </cell>
        </row>
        <row r="5171">
          <cell r="B5171" t="str">
            <v>Torcuato,Jarden K</v>
          </cell>
          <cell r="C5171">
            <v>12</v>
          </cell>
        </row>
        <row r="5172">
          <cell r="B5172" t="str">
            <v>Drobney,Amanda</v>
          </cell>
          <cell r="C5172">
            <v>33.659999999999997</v>
          </cell>
        </row>
        <row r="5173">
          <cell r="B5173" t="str">
            <v>Brown,Jeanmarie</v>
          </cell>
          <cell r="C5173">
            <v>67.31</v>
          </cell>
        </row>
        <row r="5174">
          <cell r="B5174" t="str">
            <v>Lamping,Victoria C</v>
          </cell>
          <cell r="C5174">
            <v>21.218299999999999</v>
          </cell>
        </row>
        <row r="5175">
          <cell r="B5175" t="str">
            <v>Davis,Oris E</v>
          </cell>
          <cell r="C5175">
            <v>53.474299999999999</v>
          </cell>
        </row>
        <row r="5176">
          <cell r="B5176" t="str">
            <v>O'Dowd,John F</v>
          </cell>
          <cell r="C5176">
            <v>55.287999999999997</v>
          </cell>
        </row>
        <row r="5177">
          <cell r="B5177" t="str">
            <v>Shaw,Darryl M</v>
          </cell>
          <cell r="C5177">
            <v>19.5</v>
          </cell>
        </row>
        <row r="5178">
          <cell r="B5178" t="str">
            <v>Noble,Timothy C</v>
          </cell>
          <cell r="C5178">
            <v>19.75</v>
          </cell>
        </row>
        <row r="5179">
          <cell r="B5179" t="str">
            <v>Kiser,Molly E</v>
          </cell>
          <cell r="C5179">
            <v>17.52</v>
          </cell>
        </row>
        <row r="5180">
          <cell r="B5180" t="str">
            <v>Ridge,Ernest M</v>
          </cell>
          <cell r="C5180">
            <v>62.5</v>
          </cell>
        </row>
        <row r="5181">
          <cell r="B5181" t="str">
            <v>Craig,Percell D</v>
          </cell>
          <cell r="C5181">
            <v>40.865499999999997</v>
          </cell>
        </row>
        <row r="5182">
          <cell r="B5182" t="str">
            <v>Sakura,Akile</v>
          </cell>
          <cell r="C5182">
            <v>18.25</v>
          </cell>
        </row>
        <row r="5183">
          <cell r="B5183" t="str">
            <v>Cameron,Tracey L</v>
          </cell>
          <cell r="C5183">
            <v>42.31</v>
          </cell>
        </row>
        <row r="5184">
          <cell r="B5184" t="str">
            <v>Marzett,Lyvell</v>
          </cell>
          <cell r="C5184">
            <v>16.489999999999998</v>
          </cell>
        </row>
        <row r="5185">
          <cell r="B5185" t="str">
            <v>Marsh,Frederick C</v>
          </cell>
          <cell r="C5185">
            <v>38.47</v>
          </cell>
        </row>
        <row r="5186">
          <cell r="B5186" t="str">
            <v>Staller,Paul B</v>
          </cell>
          <cell r="C5186">
            <v>39.663499999999999</v>
          </cell>
        </row>
        <row r="5187">
          <cell r="B5187" t="str">
            <v>McIntosh,James A</v>
          </cell>
          <cell r="C5187">
            <v>53.71</v>
          </cell>
        </row>
        <row r="5188">
          <cell r="B5188" t="str">
            <v>Skorch,Erin M</v>
          </cell>
          <cell r="C5188">
            <v>23.08</v>
          </cell>
        </row>
        <row r="5189">
          <cell r="B5189" t="str">
            <v>Reyes,Ruben D</v>
          </cell>
          <cell r="C5189">
            <v>22</v>
          </cell>
        </row>
        <row r="5190">
          <cell r="B5190" t="str">
            <v>Ahern Jr,Walter S</v>
          </cell>
          <cell r="C5190">
            <v>45.54</v>
          </cell>
        </row>
        <row r="5191">
          <cell r="B5191" t="str">
            <v>Sanchez,Hilario S</v>
          </cell>
          <cell r="C5191">
            <v>17.86</v>
          </cell>
        </row>
        <row r="5192">
          <cell r="B5192" t="str">
            <v>Anderson,Scott M</v>
          </cell>
          <cell r="C5192">
            <v>50.480800000000002</v>
          </cell>
        </row>
        <row r="5193">
          <cell r="B5193" t="str">
            <v>Russe,Juanita S</v>
          </cell>
          <cell r="C5193">
            <v>19.25</v>
          </cell>
        </row>
        <row r="5194">
          <cell r="B5194" t="str">
            <v>Gonzalez,Jeremy</v>
          </cell>
          <cell r="C5194">
            <v>18.5</v>
          </cell>
        </row>
        <row r="5195">
          <cell r="B5195" t="str">
            <v>Wonus,Kevin C</v>
          </cell>
          <cell r="C5195">
            <v>62.5</v>
          </cell>
        </row>
        <row r="5196">
          <cell r="B5196" t="str">
            <v>Golden,Andrew P</v>
          </cell>
          <cell r="C5196">
            <v>21.19</v>
          </cell>
        </row>
        <row r="5197">
          <cell r="B5197" t="str">
            <v>Romero,Ernest R</v>
          </cell>
          <cell r="C5197">
            <v>17.920000000000002</v>
          </cell>
        </row>
        <row r="5198">
          <cell r="B5198" t="str">
            <v>Akerele,Ozovese O</v>
          </cell>
          <cell r="C5198">
            <v>22.13</v>
          </cell>
        </row>
        <row r="5199">
          <cell r="B5199" t="str">
            <v>Koppelman Jr.,William T</v>
          </cell>
          <cell r="C5199">
            <v>21.2</v>
          </cell>
        </row>
        <row r="5200">
          <cell r="B5200" t="str">
            <v>Renz,Phillip E</v>
          </cell>
          <cell r="C5200">
            <v>34</v>
          </cell>
        </row>
        <row r="5201">
          <cell r="B5201" t="str">
            <v>Hohenecker,Sandra A</v>
          </cell>
          <cell r="C5201">
            <v>14.43</v>
          </cell>
        </row>
        <row r="5202">
          <cell r="B5202" t="str">
            <v>Tibbs,Robert E</v>
          </cell>
          <cell r="C5202">
            <v>66.13</v>
          </cell>
        </row>
        <row r="5203">
          <cell r="B5203" t="str">
            <v>Vannarath,Keophouwa</v>
          </cell>
          <cell r="C5203">
            <v>36.86</v>
          </cell>
        </row>
        <row r="5204">
          <cell r="B5204" t="str">
            <v>Burger,Todd E</v>
          </cell>
          <cell r="C5204">
            <v>38.020000000000003</v>
          </cell>
        </row>
        <row r="5205">
          <cell r="B5205" t="str">
            <v>Sultan,Michael</v>
          </cell>
          <cell r="C5205">
            <v>62.5</v>
          </cell>
        </row>
        <row r="5206">
          <cell r="B5206" t="str">
            <v>Taylor,Leroy</v>
          </cell>
          <cell r="C5206">
            <v>19.12</v>
          </cell>
        </row>
        <row r="5207">
          <cell r="B5207" t="str">
            <v>Lamberth,Latisha L</v>
          </cell>
          <cell r="C5207">
            <v>17.5</v>
          </cell>
        </row>
        <row r="5208">
          <cell r="B5208" t="str">
            <v>Turner,Stacy A</v>
          </cell>
          <cell r="C5208">
            <v>18.5</v>
          </cell>
        </row>
        <row r="5209">
          <cell r="B5209" t="str">
            <v>Bivins,Tiffany Y</v>
          </cell>
          <cell r="C5209">
            <v>21.65</v>
          </cell>
        </row>
        <row r="5210">
          <cell r="B5210" t="str">
            <v>Harris,Rachel T</v>
          </cell>
          <cell r="C5210">
            <v>46.16</v>
          </cell>
        </row>
        <row r="5211">
          <cell r="B5211" t="str">
            <v>Ismail,Atif</v>
          </cell>
          <cell r="C5211">
            <v>25</v>
          </cell>
        </row>
        <row r="5212">
          <cell r="B5212" t="str">
            <v>Futch Jr.,Herbert L</v>
          </cell>
          <cell r="C5212">
            <v>27.7</v>
          </cell>
        </row>
        <row r="5213">
          <cell r="B5213" t="str">
            <v>Mauga,Christopher S</v>
          </cell>
          <cell r="C5213">
            <v>22.81</v>
          </cell>
        </row>
        <row r="5214">
          <cell r="B5214" t="str">
            <v>Wright,Robert S</v>
          </cell>
          <cell r="C5214">
            <v>31.61</v>
          </cell>
        </row>
        <row r="5215">
          <cell r="B5215" t="str">
            <v>Nunn,Vencel R</v>
          </cell>
          <cell r="C5215">
            <v>20.82</v>
          </cell>
        </row>
        <row r="5216">
          <cell r="B5216" t="str">
            <v>Stewart,Larry</v>
          </cell>
          <cell r="C5216">
            <v>43.75</v>
          </cell>
        </row>
        <row r="5217">
          <cell r="B5217" t="str">
            <v>Yetmar,Paul A</v>
          </cell>
          <cell r="C5217">
            <v>49.03</v>
          </cell>
        </row>
        <row r="5218">
          <cell r="B5218" t="str">
            <v>Bivens,Stephen W</v>
          </cell>
          <cell r="C5218">
            <v>18.98</v>
          </cell>
        </row>
        <row r="5219">
          <cell r="B5219" t="str">
            <v>Johnson,Jason J</v>
          </cell>
          <cell r="C5219">
            <v>15.62</v>
          </cell>
        </row>
        <row r="5220">
          <cell r="B5220" t="str">
            <v>Laroche,Matthew D</v>
          </cell>
          <cell r="C5220">
            <v>40.869999999999997</v>
          </cell>
        </row>
        <row r="5221">
          <cell r="B5221" t="str">
            <v>Milo,Johnathan T</v>
          </cell>
          <cell r="C5221">
            <v>20</v>
          </cell>
        </row>
        <row r="5222">
          <cell r="B5222" t="str">
            <v>Williams,Candice T</v>
          </cell>
          <cell r="C5222">
            <v>22.89</v>
          </cell>
        </row>
        <row r="5223">
          <cell r="B5223" t="str">
            <v>Nyzio,Adam P</v>
          </cell>
          <cell r="C5223">
            <v>55.29</v>
          </cell>
        </row>
        <row r="5224">
          <cell r="B5224" t="str">
            <v>Nava,Rebecca I</v>
          </cell>
          <cell r="C5224">
            <v>16.399999999999999</v>
          </cell>
        </row>
        <row r="5225">
          <cell r="B5225" t="str">
            <v>Ponder,Shawnell E</v>
          </cell>
          <cell r="C5225">
            <v>32.24</v>
          </cell>
        </row>
        <row r="5226">
          <cell r="B5226" t="str">
            <v>DiSalvo,Philip J</v>
          </cell>
          <cell r="C5226">
            <v>72.115399999999994</v>
          </cell>
        </row>
        <row r="5227">
          <cell r="B5227" t="str">
            <v>Murguia,Michelle L</v>
          </cell>
          <cell r="C5227">
            <v>41.83</v>
          </cell>
        </row>
        <row r="5228">
          <cell r="B5228" t="str">
            <v>Peters,Roger G</v>
          </cell>
          <cell r="C5228">
            <v>24</v>
          </cell>
        </row>
        <row r="5229">
          <cell r="B5229" t="str">
            <v>Renfree,John J</v>
          </cell>
          <cell r="C5229">
            <v>51.51</v>
          </cell>
        </row>
        <row r="5230">
          <cell r="B5230" t="str">
            <v>Dittmar,W. James</v>
          </cell>
          <cell r="C5230">
            <v>46.45</v>
          </cell>
        </row>
        <row r="5231">
          <cell r="B5231" t="str">
            <v>Bisbano,Christian J</v>
          </cell>
          <cell r="C5231">
            <v>56.49</v>
          </cell>
        </row>
        <row r="5232">
          <cell r="B5232" t="str">
            <v>Addeo,Louis M</v>
          </cell>
          <cell r="C5232">
            <v>264.43</v>
          </cell>
        </row>
        <row r="5233">
          <cell r="B5233" t="str">
            <v>Berrios,Miguel A</v>
          </cell>
          <cell r="C5233">
            <v>21.75</v>
          </cell>
        </row>
        <row r="5234">
          <cell r="B5234" t="str">
            <v>Jackson,Denise M</v>
          </cell>
          <cell r="C5234">
            <v>42.44</v>
          </cell>
        </row>
        <row r="5235">
          <cell r="B5235" t="str">
            <v>Howell Jr.,Jimmie L</v>
          </cell>
          <cell r="C5235">
            <v>43.15</v>
          </cell>
        </row>
        <row r="5236">
          <cell r="B5236" t="str">
            <v>Wilson,Keith</v>
          </cell>
          <cell r="C5236">
            <v>33</v>
          </cell>
        </row>
        <row r="5237">
          <cell r="B5237" t="str">
            <v>Bryant,Barbara A</v>
          </cell>
          <cell r="C5237">
            <v>18.600000000000001</v>
          </cell>
        </row>
        <row r="5238">
          <cell r="B5238" t="str">
            <v>Ballard,Jeffery T</v>
          </cell>
          <cell r="C5238">
            <v>33</v>
          </cell>
        </row>
        <row r="5239">
          <cell r="B5239" t="str">
            <v>Nealey,Michael A</v>
          </cell>
          <cell r="C5239">
            <v>33.659999999999997</v>
          </cell>
        </row>
        <row r="5240">
          <cell r="B5240" t="str">
            <v>Cremeens,Terry A</v>
          </cell>
          <cell r="C5240">
            <v>23.5</v>
          </cell>
        </row>
        <row r="5241">
          <cell r="B5241" t="str">
            <v>Lambert,Terry A</v>
          </cell>
          <cell r="C5241">
            <v>20.52</v>
          </cell>
        </row>
        <row r="5242">
          <cell r="B5242" t="str">
            <v>Dan,Thaung</v>
          </cell>
          <cell r="C5242">
            <v>19.75</v>
          </cell>
        </row>
        <row r="5243">
          <cell r="B5243" t="str">
            <v>Campbell,Robert J</v>
          </cell>
          <cell r="C5243">
            <v>27.41</v>
          </cell>
        </row>
        <row r="5244">
          <cell r="B5244" t="str">
            <v>Jansen,Christian P</v>
          </cell>
          <cell r="C5244">
            <v>37.020000000000003</v>
          </cell>
        </row>
        <row r="5245">
          <cell r="B5245" t="str">
            <v>Williams,Gloria A</v>
          </cell>
          <cell r="C5245">
            <v>14.67</v>
          </cell>
        </row>
        <row r="5246">
          <cell r="B5246" t="str">
            <v>Yates,Chad E</v>
          </cell>
          <cell r="C5246">
            <v>29.72</v>
          </cell>
        </row>
        <row r="5247">
          <cell r="B5247" t="str">
            <v>Ferrell,Desmond R</v>
          </cell>
          <cell r="C5247">
            <v>28.2</v>
          </cell>
        </row>
        <row r="5248">
          <cell r="B5248" t="str">
            <v>Johnson,Brian P</v>
          </cell>
          <cell r="C5248">
            <v>23.19</v>
          </cell>
        </row>
        <row r="5249">
          <cell r="B5249" t="str">
            <v>Magnussen,Mark T</v>
          </cell>
          <cell r="C5249">
            <v>20.58</v>
          </cell>
        </row>
        <row r="5250">
          <cell r="B5250" t="str">
            <v>Ginepri,Silvano A</v>
          </cell>
          <cell r="C5250">
            <v>45</v>
          </cell>
        </row>
        <row r="5251">
          <cell r="B5251" t="str">
            <v>Van Vleet,Jeryl Ann M</v>
          </cell>
          <cell r="C5251">
            <v>53.48</v>
          </cell>
        </row>
        <row r="5252">
          <cell r="B5252" t="str">
            <v>White,Thomas D</v>
          </cell>
          <cell r="C5252">
            <v>21.19</v>
          </cell>
        </row>
        <row r="5253">
          <cell r="B5253" t="str">
            <v>Kirby,Phillip E</v>
          </cell>
          <cell r="C5253">
            <v>33.65</v>
          </cell>
        </row>
        <row r="5254">
          <cell r="B5254" t="str">
            <v>Reese,Mark A</v>
          </cell>
          <cell r="C5254">
            <v>73.56</v>
          </cell>
        </row>
        <row r="5255">
          <cell r="B5255" t="str">
            <v>Fischer,Gerd M</v>
          </cell>
          <cell r="C5255">
            <v>47.115499999999997</v>
          </cell>
        </row>
        <row r="5256">
          <cell r="B5256" t="str">
            <v>Beck,Michael R</v>
          </cell>
          <cell r="C5256">
            <v>39.76</v>
          </cell>
        </row>
        <row r="5257">
          <cell r="B5257" t="str">
            <v>Brookover,Christopher M</v>
          </cell>
          <cell r="C5257">
            <v>58.64</v>
          </cell>
        </row>
        <row r="5258">
          <cell r="B5258" t="str">
            <v>Brown,Linda L</v>
          </cell>
          <cell r="C5258">
            <v>21.01</v>
          </cell>
        </row>
        <row r="5259">
          <cell r="B5259" t="str">
            <v>Dickson,Lynda F</v>
          </cell>
          <cell r="C5259">
            <v>17.32</v>
          </cell>
        </row>
        <row r="5260">
          <cell r="B5260" t="str">
            <v>Felchlin,Lorelei A</v>
          </cell>
          <cell r="C5260">
            <v>24.47</v>
          </cell>
        </row>
        <row r="5261">
          <cell r="B5261" t="str">
            <v>Bryant,Malachi</v>
          </cell>
          <cell r="C5261">
            <v>22.5</v>
          </cell>
        </row>
        <row r="5262">
          <cell r="B5262" t="str">
            <v>Sizemore,Nicky Lee</v>
          </cell>
          <cell r="C5262">
            <v>37.14</v>
          </cell>
        </row>
        <row r="5263">
          <cell r="B5263" t="str">
            <v>Champagne,Cory D</v>
          </cell>
          <cell r="C5263">
            <v>19.55</v>
          </cell>
        </row>
        <row r="5264">
          <cell r="B5264" t="str">
            <v>Behler,Brian P.</v>
          </cell>
          <cell r="C5264">
            <v>73.73</v>
          </cell>
        </row>
        <row r="5265">
          <cell r="B5265" t="str">
            <v>Gubik,David A</v>
          </cell>
          <cell r="C5265">
            <v>53.85</v>
          </cell>
        </row>
        <row r="5266">
          <cell r="B5266" t="str">
            <v>Almendarez Sr.,Frankie V</v>
          </cell>
          <cell r="C5266">
            <v>19</v>
          </cell>
        </row>
        <row r="5267">
          <cell r="B5267" t="str">
            <v>Martinez,Francisco</v>
          </cell>
          <cell r="C5267">
            <v>20.8</v>
          </cell>
        </row>
        <row r="5268">
          <cell r="B5268" t="str">
            <v>Williams,Donald J</v>
          </cell>
          <cell r="C5268">
            <v>26.34</v>
          </cell>
        </row>
        <row r="5269">
          <cell r="B5269" t="str">
            <v>Goffredo,Louis J</v>
          </cell>
          <cell r="C5269">
            <v>61.74</v>
          </cell>
        </row>
        <row r="5270">
          <cell r="B5270" t="str">
            <v>Harrison,Mark T</v>
          </cell>
          <cell r="C5270">
            <v>22.32</v>
          </cell>
        </row>
        <row r="5271">
          <cell r="B5271" t="str">
            <v>Sachsel,Jeffrey</v>
          </cell>
          <cell r="C5271">
            <v>52.63</v>
          </cell>
        </row>
        <row r="5272">
          <cell r="B5272" t="str">
            <v>Kirk,Cynthia M</v>
          </cell>
          <cell r="C5272">
            <v>59.1586</v>
          </cell>
        </row>
        <row r="5273">
          <cell r="B5273" t="str">
            <v>McMillan,Mary E</v>
          </cell>
          <cell r="C5273">
            <v>27.884699999999999</v>
          </cell>
        </row>
        <row r="5274">
          <cell r="B5274" t="str">
            <v>Solomon,Michelle C</v>
          </cell>
          <cell r="C5274">
            <v>16.5</v>
          </cell>
        </row>
        <row r="5275">
          <cell r="B5275" t="str">
            <v>Brooks,Barbara E</v>
          </cell>
          <cell r="C5275">
            <v>16.72</v>
          </cell>
        </row>
        <row r="5276">
          <cell r="B5276" t="str">
            <v>London,Sean E</v>
          </cell>
          <cell r="C5276">
            <v>19.97</v>
          </cell>
        </row>
        <row r="5277">
          <cell r="B5277" t="str">
            <v>Jeffers,Hubert</v>
          </cell>
          <cell r="C5277">
            <v>26.31</v>
          </cell>
        </row>
        <row r="5278">
          <cell r="B5278" t="str">
            <v>Rheault,Chad T</v>
          </cell>
          <cell r="C5278">
            <v>50.92</v>
          </cell>
        </row>
        <row r="5279">
          <cell r="B5279" t="str">
            <v>Mentzer,Justin C</v>
          </cell>
          <cell r="C5279">
            <v>45.68</v>
          </cell>
        </row>
        <row r="5280">
          <cell r="B5280" t="str">
            <v>Talaro,Rowena Arlene</v>
          </cell>
          <cell r="C5280">
            <v>16.98</v>
          </cell>
        </row>
        <row r="5281">
          <cell r="B5281" t="str">
            <v>Molina,Ricardo</v>
          </cell>
          <cell r="C5281">
            <v>20.6</v>
          </cell>
        </row>
        <row r="5282">
          <cell r="B5282" t="str">
            <v>Omori,Willis</v>
          </cell>
          <cell r="C5282">
            <v>12</v>
          </cell>
        </row>
        <row r="5283">
          <cell r="B5283" t="str">
            <v>Hare,Milton L</v>
          </cell>
          <cell r="C5283">
            <v>18</v>
          </cell>
        </row>
        <row r="5284">
          <cell r="B5284" t="str">
            <v>Nave,Clayton J</v>
          </cell>
          <cell r="C5284">
            <v>50</v>
          </cell>
        </row>
        <row r="5285">
          <cell r="B5285" t="str">
            <v>Martin,Philipe E</v>
          </cell>
          <cell r="C5285">
            <v>18.27</v>
          </cell>
        </row>
        <row r="5286">
          <cell r="B5286" t="str">
            <v>Vyas,Rachelle Mulumarie</v>
          </cell>
          <cell r="C5286">
            <v>45.68</v>
          </cell>
        </row>
        <row r="5287">
          <cell r="B5287" t="str">
            <v>Mayo,Tina M</v>
          </cell>
          <cell r="C5287">
            <v>31.26</v>
          </cell>
        </row>
        <row r="5288">
          <cell r="B5288" t="str">
            <v>Johnson,Wayne A</v>
          </cell>
          <cell r="C5288">
            <v>20.7</v>
          </cell>
        </row>
        <row r="5289">
          <cell r="B5289" t="str">
            <v>Sahota,Harnek S</v>
          </cell>
          <cell r="C5289">
            <v>19.84</v>
          </cell>
        </row>
        <row r="5290">
          <cell r="B5290" t="str">
            <v>Smith,Anthony W</v>
          </cell>
          <cell r="C5290">
            <v>41.23</v>
          </cell>
        </row>
        <row r="5291">
          <cell r="B5291" t="str">
            <v>Richardson,Beth N</v>
          </cell>
          <cell r="C5291">
            <v>21.02</v>
          </cell>
        </row>
        <row r="5292">
          <cell r="B5292" t="str">
            <v>Helton,Christina A</v>
          </cell>
          <cell r="C5292">
            <v>17.54</v>
          </cell>
        </row>
        <row r="5293">
          <cell r="B5293" t="str">
            <v>Ramsey II,Martin H</v>
          </cell>
          <cell r="C5293">
            <v>24.21</v>
          </cell>
        </row>
        <row r="5294">
          <cell r="B5294" t="str">
            <v>Deal,Michael</v>
          </cell>
          <cell r="C5294">
            <v>54.09</v>
          </cell>
        </row>
        <row r="5295">
          <cell r="B5295" t="str">
            <v>Fones,Karen L</v>
          </cell>
          <cell r="C5295">
            <v>49.62</v>
          </cell>
        </row>
        <row r="5296">
          <cell r="B5296" t="str">
            <v>Smith,Diana L</v>
          </cell>
          <cell r="C5296">
            <v>21.63</v>
          </cell>
        </row>
        <row r="5297">
          <cell r="B5297" t="str">
            <v>Knotts,Terry L</v>
          </cell>
          <cell r="C5297">
            <v>20.5</v>
          </cell>
        </row>
        <row r="5298">
          <cell r="B5298" t="str">
            <v>Bartleson Jr.,Richard J</v>
          </cell>
          <cell r="C5298">
            <v>66.040000000000006</v>
          </cell>
        </row>
        <row r="5299">
          <cell r="B5299" t="str">
            <v>Caldwell,Robert L</v>
          </cell>
          <cell r="C5299">
            <v>36.54</v>
          </cell>
        </row>
        <row r="5300">
          <cell r="B5300" t="str">
            <v>Ayoub,Tanya R</v>
          </cell>
          <cell r="C5300">
            <v>21.99</v>
          </cell>
        </row>
        <row r="5301">
          <cell r="B5301" t="str">
            <v>Locklear,James E</v>
          </cell>
          <cell r="C5301">
            <v>19.149999999999999</v>
          </cell>
        </row>
        <row r="5302">
          <cell r="B5302" t="str">
            <v>Byrnes,Felicia D</v>
          </cell>
          <cell r="C5302">
            <v>20.45</v>
          </cell>
        </row>
        <row r="5303">
          <cell r="B5303" t="str">
            <v>Ford,Michael R</v>
          </cell>
          <cell r="C5303">
            <v>21.63</v>
          </cell>
        </row>
        <row r="5304">
          <cell r="B5304" t="str">
            <v>May,Dianne L</v>
          </cell>
          <cell r="C5304">
            <v>51.13</v>
          </cell>
        </row>
        <row r="5305">
          <cell r="B5305" t="str">
            <v>Rice,Sherrilyn U</v>
          </cell>
          <cell r="C5305">
            <v>18.39</v>
          </cell>
        </row>
        <row r="5306">
          <cell r="B5306" t="str">
            <v>Wightman,Dennis C</v>
          </cell>
          <cell r="C5306">
            <v>64.903899999999993</v>
          </cell>
        </row>
        <row r="5307">
          <cell r="B5307" t="str">
            <v>Mundine,Connie L</v>
          </cell>
          <cell r="C5307">
            <v>19.23</v>
          </cell>
        </row>
        <row r="5308">
          <cell r="B5308" t="str">
            <v>Hart,Bruce E</v>
          </cell>
          <cell r="C5308">
            <v>19.27</v>
          </cell>
        </row>
        <row r="5309">
          <cell r="B5309" t="str">
            <v>Farquharson,Ardennie A</v>
          </cell>
          <cell r="C5309">
            <v>14.04</v>
          </cell>
        </row>
        <row r="5310">
          <cell r="B5310" t="str">
            <v>Bozenhard,Wendy M</v>
          </cell>
          <cell r="C5310">
            <v>41.8</v>
          </cell>
        </row>
        <row r="5311">
          <cell r="B5311" t="str">
            <v>Knight,Cynthia R</v>
          </cell>
          <cell r="C5311">
            <v>22.77</v>
          </cell>
        </row>
        <row r="5312">
          <cell r="B5312" t="str">
            <v>Al-Akkad,Wedad M</v>
          </cell>
          <cell r="C5312">
            <v>41.45</v>
          </cell>
        </row>
        <row r="5313">
          <cell r="B5313" t="str">
            <v>Petersen,Martin W</v>
          </cell>
          <cell r="C5313">
            <v>83.48</v>
          </cell>
        </row>
        <row r="5314">
          <cell r="B5314" t="str">
            <v>Gamon,Willis D</v>
          </cell>
          <cell r="C5314">
            <v>31.78</v>
          </cell>
        </row>
        <row r="5315">
          <cell r="B5315" t="str">
            <v>Hatef,Arzo M</v>
          </cell>
          <cell r="C5315">
            <v>33.659999999999997</v>
          </cell>
        </row>
        <row r="5316">
          <cell r="B5316" t="str">
            <v>Kirkland Sr.,Zachary R</v>
          </cell>
          <cell r="C5316">
            <v>19.809999999999999</v>
          </cell>
        </row>
        <row r="5317">
          <cell r="B5317" t="str">
            <v>Bowers,Michael A</v>
          </cell>
          <cell r="C5317">
            <v>26.18</v>
          </cell>
        </row>
        <row r="5318">
          <cell r="B5318" t="str">
            <v>Suarez,Holly M</v>
          </cell>
          <cell r="C5318">
            <v>18.690000000000001</v>
          </cell>
        </row>
        <row r="5319">
          <cell r="B5319" t="str">
            <v>Bowser,Nicole C</v>
          </cell>
          <cell r="C5319">
            <v>41.56</v>
          </cell>
        </row>
        <row r="5320">
          <cell r="B5320" t="str">
            <v>Loose,Scott A</v>
          </cell>
          <cell r="C5320">
            <v>31.74</v>
          </cell>
        </row>
        <row r="5321">
          <cell r="B5321" t="str">
            <v>Vazquez,Oscar</v>
          </cell>
          <cell r="C5321">
            <v>16.73</v>
          </cell>
        </row>
        <row r="5322">
          <cell r="B5322" t="str">
            <v>Pardella,Anthony L</v>
          </cell>
          <cell r="C5322">
            <v>19.75</v>
          </cell>
        </row>
        <row r="5323">
          <cell r="B5323" t="str">
            <v>Borden,Sandra J</v>
          </cell>
          <cell r="C5323">
            <v>73.557699999999997</v>
          </cell>
        </row>
        <row r="5324">
          <cell r="B5324" t="str">
            <v>Farley,James S</v>
          </cell>
          <cell r="C5324">
            <v>19</v>
          </cell>
        </row>
        <row r="5325">
          <cell r="B5325" t="str">
            <v>Briggs,Robert B</v>
          </cell>
          <cell r="C5325">
            <v>54.35</v>
          </cell>
        </row>
        <row r="5326">
          <cell r="B5326" t="str">
            <v>Medlock,John Duane</v>
          </cell>
          <cell r="C5326">
            <v>64.22</v>
          </cell>
        </row>
        <row r="5327">
          <cell r="B5327" t="str">
            <v>Bolster Sr.,Matthew A</v>
          </cell>
          <cell r="C5327">
            <v>20.91</v>
          </cell>
        </row>
        <row r="5328">
          <cell r="B5328" t="str">
            <v>Friedrich,Allan W</v>
          </cell>
          <cell r="C5328">
            <v>16.489999999999998</v>
          </cell>
        </row>
        <row r="5329">
          <cell r="B5329" t="str">
            <v>Gressett,Brandon W</v>
          </cell>
          <cell r="C5329">
            <v>30.29</v>
          </cell>
        </row>
        <row r="5330">
          <cell r="B5330" t="str">
            <v>Frith,Marshall T</v>
          </cell>
          <cell r="C5330">
            <v>43.269300000000001</v>
          </cell>
        </row>
        <row r="5331">
          <cell r="B5331" t="str">
            <v>Morales,Abie A</v>
          </cell>
          <cell r="C5331">
            <v>32.53</v>
          </cell>
        </row>
        <row r="5332">
          <cell r="B5332" t="str">
            <v>Bradley,Rudy</v>
          </cell>
          <cell r="C5332">
            <v>16.489999999999998</v>
          </cell>
        </row>
        <row r="5333">
          <cell r="B5333" t="str">
            <v>Wiggins,Dale A</v>
          </cell>
          <cell r="C5333">
            <v>64.040000000000006</v>
          </cell>
        </row>
        <row r="5334">
          <cell r="B5334" t="str">
            <v>Sutphen,Robert W</v>
          </cell>
          <cell r="C5334">
            <v>69.72</v>
          </cell>
        </row>
        <row r="5335">
          <cell r="B5335" t="str">
            <v>Johnson,Blake E.J.</v>
          </cell>
          <cell r="C5335">
            <v>25.34</v>
          </cell>
        </row>
        <row r="5336">
          <cell r="B5336" t="str">
            <v>Boyd,Maurice W</v>
          </cell>
          <cell r="C5336">
            <v>29.21</v>
          </cell>
        </row>
        <row r="5337">
          <cell r="B5337" t="str">
            <v>Vance,Robert E</v>
          </cell>
          <cell r="C5337">
            <v>24.49</v>
          </cell>
        </row>
        <row r="5338">
          <cell r="B5338" t="str">
            <v>Yandell,Theresa J</v>
          </cell>
          <cell r="C5338">
            <v>43.92</v>
          </cell>
        </row>
        <row r="5339">
          <cell r="B5339" t="str">
            <v>Lowry,Michael R</v>
          </cell>
          <cell r="C5339">
            <v>39.6</v>
          </cell>
        </row>
        <row r="5340">
          <cell r="B5340" t="str">
            <v>Morris,Sandra M</v>
          </cell>
          <cell r="C5340">
            <v>33.659999999999997</v>
          </cell>
        </row>
        <row r="5341">
          <cell r="B5341" t="str">
            <v>Block,Kristofer A</v>
          </cell>
          <cell r="C5341">
            <v>45.68</v>
          </cell>
        </row>
        <row r="5342">
          <cell r="B5342" t="str">
            <v>Brown,Erik M</v>
          </cell>
          <cell r="C5342">
            <v>12</v>
          </cell>
        </row>
        <row r="5343">
          <cell r="B5343" t="str">
            <v>Atabey,Derya</v>
          </cell>
          <cell r="C5343">
            <v>10</v>
          </cell>
        </row>
        <row r="5344">
          <cell r="B5344" t="str">
            <v>Posey,Karen E</v>
          </cell>
          <cell r="C5344">
            <v>55.29</v>
          </cell>
        </row>
        <row r="5345">
          <cell r="B5345" t="str">
            <v>Burton,Lisa M</v>
          </cell>
          <cell r="C5345">
            <v>22.46</v>
          </cell>
        </row>
        <row r="5346">
          <cell r="B5346" t="str">
            <v>Boykin,Paul</v>
          </cell>
          <cell r="C5346">
            <v>16.34</v>
          </cell>
        </row>
        <row r="5347">
          <cell r="B5347" t="str">
            <v>Hanley II,James A</v>
          </cell>
          <cell r="C5347">
            <v>55.35</v>
          </cell>
        </row>
        <row r="5348">
          <cell r="B5348" t="str">
            <v>Redfern,Gregory I</v>
          </cell>
          <cell r="C5348">
            <v>38.950000000000003</v>
          </cell>
        </row>
        <row r="5349">
          <cell r="B5349" t="str">
            <v>Nevin,Gary J</v>
          </cell>
          <cell r="C5349">
            <v>20</v>
          </cell>
        </row>
        <row r="5350">
          <cell r="B5350" t="str">
            <v>Johnson,Richard E</v>
          </cell>
          <cell r="C5350">
            <v>15.49</v>
          </cell>
        </row>
        <row r="5351">
          <cell r="B5351" t="str">
            <v>Hilton,Lucas W</v>
          </cell>
          <cell r="C5351">
            <v>28.13</v>
          </cell>
        </row>
        <row r="5352">
          <cell r="B5352" t="str">
            <v>Ordonez,Lisania F</v>
          </cell>
          <cell r="C5352">
            <v>27</v>
          </cell>
        </row>
        <row r="5353">
          <cell r="B5353" t="str">
            <v>Somers,John E</v>
          </cell>
          <cell r="C5353">
            <v>21.16</v>
          </cell>
        </row>
        <row r="5354">
          <cell r="B5354" t="str">
            <v>Edge,Dorie L</v>
          </cell>
          <cell r="C5354">
            <v>16.71</v>
          </cell>
        </row>
        <row r="5355">
          <cell r="B5355" t="str">
            <v>Thornton,Marla E</v>
          </cell>
          <cell r="C5355">
            <v>39.14</v>
          </cell>
        </row>
        <row r="5356">
          <cell r="B5356" t="str">
            <v>Nelson,Margo D</v>
          </cell>
          <cell r="C5356">
            <v>19.260000000000002</v>
          </cell>
        </row>
        <row r="5357">
          <cell r="B5357" t="str">
            <v>Gonzalez,Julissa</v>
          </cell>
          <cell r="C5357">
            <v>16.649999999999999</v>
          </cell>
        </row>
        <row r="5358">
          <cell r="B5358" t="str">
            <v>Bernier,Bailey R</v>
          </cell>
          <cell r="C5358">
            <v>12.32</v>
          </cell>
        </row>
        <row r="5359">
          <cell r="B5359" t="str">
            <v>Lavergne,Michael</v>
          </cell>
          <cell r="C5359">
            <v>26.86</v>
          </cell>
        </row>
        <row r="5360">
          <cell r="B5360" t="str">
            <v>Burke,Jason D</v>
          </cell>
          <cell r="C5360">
            <v>20.22</v>
          </cell>
        </row>
        <row r="5361">
          <cell r="B5361" t="str">
            <v>DiClementi,Clint M</v>
          </cell>
          <cell r="C5361">
            <v>23.56</v>
          </cell>
        </row>
        <row r="5362">
          <cell r="B5362" t="str">
            <v>Capili,Leonardo J</v>
          </cell>
          <cell r="C5362">
            <v>16.899999999999999</v>
          </cell>
        </row>
        <row r="5363">
          <cell r="B5363" t="str">
            <v>Di Zebba,Christopher A</v>
          </cell>
          <cell r="C5363">
            <v>52.89</v>
          </cell>
        </row>
        <row r="5364">
          <cell r="B5364" t="str">
            <v>Stoltz,Kevin J</v>
          </cell>
          <cell r="C5364">
            <v>30.72</v>
          </cell>
        </row>
        <row r="5365">
          <cell r="B5365" t="str">
            <v>Gaston Jr,James</v>
          </cell>
          <cell r="C5365">
            <v>16.489999999999998</v>
          </cell>
        </row>
        <row r="5366">
          <cell r="B5366" t="str">
            <v>Cole,Bettie</v>
          </cell>
          <cell r="C5366">
            <v>21.64</v>
          </cell>
        </row>
        <row r="5367">
          <cell r="B5367" t="str">
            <v>Hartzog,George D</v>
          </cell>
          <cell r="C5367">
            <v>23</v>
          </cell>
        </row>
        <row r="5368">
          <cell r="B5368" t="str">
            <v>Johnson,Timothy L</v>
          </cell>
          <cell r="C5368">
            <v>19.5</v>
          </cell>
        </row>
        <row r="5369">
          <cell r="B5369" t="str">
            <v>Walrath,Tanya L</v>
          </cell>
          <cell r="C5369">
            <v>23.81</v>
          </cell>
        </row>
        <row r="5370">
          <cell r="B5370" t="str">
            <v>Amos,Gary T</v>
          </cell>
          <cell r="C5370">
            <v>59.11</v>
          </cell>
        </row>
        <row r="5371">
          <cell r="B5371" t="str">
            <v>Herrera,Leonel H</v>
          </cell>
          <cell r="C5371">
            <v>41.44</v>
          </cell>
        </row>
        <row r="5372">
          <cell r="B5372" t="str">
            <v>Solano,David A</v>
          </cell>
          <cell r="C5372">
            <v>28.37</v>
          </cell>
        </row>
        <row r="5373">
          <cell r="B5373" t="str">
            <v>Caldwell,Al D</v>
          </cell>
          <cell r="C5373">
            <v>21.01</v>
          </cell>
        </row>
        <row r="5374">
          <cell r="B5374" t="str">
            <v>Remington,Jason K</v>
          </cell>
          <cell r="C5374">
            <v>28.605699999999999</v>
          </cell>
        </row>
        <row r="5375">
          <cell r="B5375" t="str">
            <v>Adams,Jason M</v>
          </cell>
          <cell r="C5375">
            <v>36.229999999999997</v>
          </cell>
        </row>
        <row r="5376">
          <cell r="B5376" t="str">
            <v>Curry,Tiffany V</v>
          </cell>
          <cell r="C5376">
            <v>23.19</v>
          </cell>
        </row>
        <row r="5377">
          <cell r="B5377" t="str">
            <v>Ralon,Joel A</v>
          </cell>
          <cell r="C5377">
            <v>50.31</v>
          </cell>
        </row>
        <row r="5378">
          <cell r="B5378" t="str">
            <v>Swayne,Mark W</v>
          </cell>
          <cell r="C5378">
            <v>21.5</v>
          </cell>
        </row>
        <row r="5379">
          <cell r="B5379" t="str">
            <v>Cesar,David</v>
          </cell>
          <cell r="C5379">
            <v>22.11</v>
          </cell>
        </row>
        <row r="5380">
          <cell r="B5380" t="str">
            <v>Pray,Bryan E</v>
          </cell>
          <cell r="C5380">
            <v>20.75</v>
          </cell>
        </row>
        <row r="5381">
          <cell r="B5381" t="str">
            <v>Walter,Francis G</v>
          </cell>
          <cell r="C5381">
            <v>23.38</v>
          </cell>
        </row>
        <row r="5382">
          <cell r="B5382" t="str">
            <v>Weaver,Marlenna L</v>
          </cell>
          <cell r="C5382">
            <v>17</v>
          </cell>
        </row>
        <row r="5383">
          <cell r="B5383" t="str">
            <v>Dinkel,James D</v>
          </cell>
          <cell r="C5383">
            <v>90</v>
          </cell>
        </row>
        <row r="5384">
          <cell r="B5384" t="str">
            <v>Mudder,Gary D</v>
          </cell>
          <cell r="C5384">
            <v>35.200000000000003</v>
          </cell>
        </row>
        <row r="5385">
          <cell r="B5385" t="str">
            <v>Williams,Carol A</v>
          </cell>
          <cell r="C5385">
            <v>40.590000000000003</v>
          </cell>
        </row>
        <row r="5386">
          <cell r="B5386" t="str">
            <v>Long,Daniel G</v>
          </cell>
          <cell r="C5386">
            <v>26.69</v>
          </cell>
        </row>
        <row r="5387">
          <cell r="B5387" t="str">
            <v>Watt,William S</v>
          </cell>
          <cell r="C5387">
            <v>21</v>
          </cell>
        </row>
        <row r="5388">
          <cell r="B5388" t="str">
            <v>Sorrell,Ebonie</v>
          </cell>
          <cell r="C5388">
            <v>19.95</v>
          </cell>
        </row>
        <row r="5389">
          <cell r="B5389" t="str">
            <v>Valdez,Charles T</v>
          </cell>
          <cell r="C5389">
            <v>25</v>
          </cell>
        </row>
        <row r="5390">
          <cell r="B5390" t="str">
            <v>Lubin,Edmond</v>
          </cell>
          <cell r="C5390">
            <v>19.5</v>
          </cell>
        </row>
        <row r="5391">
          <cell r="B5391" t="str">
            <v>Apodaca,Marisha Y</v>
          </cell>
          <cell r="C5391">
            <v>24.486000000000001</v>
          </cell>
        </row>
        <row r="5392">
          <cell r="B5392" t="str">
            <v>Crank,Stacey N</v>
          </cell>
          <cell r="C5392">
            <v>17.78</v>
          </cell>
        </row>
        <row r="5393">
          <cell r="B5393" t="str">
            <v>Fleeman,Randy G</v>
          </cell>
          <cell r="C5393">
            <v>19.260000000000002</v>
          </cell>
        </row>
        <row r="5394">
          <cell r="B5394" t="str">
            <v>Sampaga,Chucky K</v>
          </cell>
          <cell r="C5394">
            <v>27.75</v>
          </cell>
        </row>
        <row r="5395">
          <cell r="B5395" t="str">
            <v>Allen,Leslie G</v>
          </cell>
          <cell r="C5395">
            <v>39.909999999999997</v>
          </cell>
        </row>
        <row r="5396">
          <cell r="B5396" t="str">
            <v>Dorgan,Dennis P</v>
          </cell>
          <cell r="C5396">
            <v>36.04</v>
          </cell>
        </row>
        <row r="5397">
          <cell r="B5397" t="str">
            <v>Allen,Robert C</v>
          </cell>
          <cell r="C5397">
            <v>38.47</v>
          </cell>
        </row>
        <row r="5398">
          <cell r="B5398" t="str">
            <v>Lawrence Cook,Joyce</v>
          </cell>
          <cell r="C5398">
            <v>37.5002</v>
          </cell>
        </row>
        <row r="5399">
          <cell r="B5399" t="str">
            <v>Brennan,John</v>
          </cell>
          <cell r="C5399">
            <v>24.04</v>
          </cell>
        </row>
        <row r="5400">
          <cell r="B5400" t="str">
            <v>Roach,Nathaniel</v>
          </cell>
          <cell r="C5400">
            <v>31.8</v>
          </cell>
        </row>
        <row r="5401">
          <cell r="B5401" t="str">
            <v>Fiedler,Tyler K</v>
          </cell>
          <cell r="C5401">
            <v>43.27</v>
          </cell>
        </row>
        <row r="5402">
          <cell r="B5402" t="str">
            <v>Jokich,Brian M</v>
          </cell>
          <cell r="C5402">
            <v>10.01</v>
          </cell>
        </row>
        <row r="5403">
          <cell r="B5403" t="str">
            <v>Malone,Theodore P</v>
          </cell>
          <cell r="C5403">
            <v>41.4</v>
          </cell>
        </row>
        <row r="5404">
          <cell r="B5404" t="str">
            <v>Rother,Dennis G</v>
          </cell>
          <cell r="C5404">
            <v>52.89</v>
          </cell>
        </row>
        <row r="5405">
          <cell r="B5405" t="str">
            <v>Moran,Steven I</v>
          </cell>
          <cell r="C5405">
            <v>28.9</v>
          </cell>
        </row>
        <row r="5406">
          <cell r="B5406" t="str">
            <v>Jackson Sr.,Charles D</v>
          </cell>
          <cell r="C5406">
            <v>17.63</v>
          </cell>
        </row>
        <row r="5407">
          <cell r="B5407" t="str">
            <v>McNeil,Larry R</v>
          </cell>
          <cell r="C5407">
            <v>19.97</v>
          </cell>
        </row>
        <row r="5408">
          <cell r="B5408" t="str">
            <v>Leverette,James T</v>
          </cell>
          <cell r="C5408">
            <v>20.57</v>
          </cell>
        </row>
        <row r="5409">
          <cell r="B5409" t="str">
            <v>Carranza,Jean M</v>
          </cell>
          <cell r="C5409">
            <v>21</v>
          </cell>
        </row>
        <row r="5410">
          <cell r="B5410" t="str">
            <v>Scott,Robert C</v>
          </cell>
          <cell r="C5410">
            <v>21.34</v>
          </cell>
        </row>
        <row r="5411">
          <cell r="B5411" t="str">
            <v>Kirkland,Kathy A</v>
          </cell>
          <cell r="C5411">
            <v>18.11</v>
          </cell>
        </row>
        <row r="5412">
          <cell r="B5412" t="str">
            <v>Rice,Michelle C</v>
          </cell>
          <cell r="C5412">
            <v>21.64</v>
          </cell>
        </row>
        <row r="5413">
          <cell r="B5413" t="str">
            <v>Songer,Loretta J</v>
          </cell>
          <cell r="C5413">
            <v>26.78</v>
          </cell>
        </row>
        <row r="5414">
          <cell r="B5414" t="str">
            <v>Sales,Somourne K</v>
          </cell>
          <cell r="C5414">
            <v>16.489999999999998</v>
          </cell>
        </row>
        <row r="5415">
          <cell r="B5415" t="str">
            <v>Alexander,James B</v>
          </cell>
          <cell r="C5415">
            <v>16.66</v>
          </cell>
        </row>
        <row r="5416">
          <cell r="B5416" t="str">
            <v>Smith,Michael E</v>
          </cell>
          <cell r="C5416">
            <v>46.08</v>
          </cell>
        </row>
        <row r="5417">
          <cell r="B5417" t="str">
            <v>Cureton,James A</v>
          </cell>
          <cell r="C5417">
            <v>20.69</v>
          </cell>
        </row>
        <row r="5418">
          <cell r="B5418" t="str">
            <v>Williams,Shaun W</v>
          </cell>
          <cell r="C5418">
            <v>36.06</v>
          </cell>
        </row>
        <row r="5419">
          <cell r="B5419" t="str">
            <v>Comsti,Frederick P</v>
          </cell>
          <cell r="C5419">
            <v>19.27</v>
          </cell>
        </row>
        <row r="5420">
          <cell r="B5420" t="str">
            <v>Macreery,John B</v>
          </cell>
          <cell r="C5420">
            <v>45.68</v>
          </cell>
        </row>
        <row r="5421">
          <cell r="B5421" t="str">
            <v>Lee,Benjamin T</v>
          </cell>
          <cell r="C5421">
            <v>23.23</v>
          </cell>
        </row>
        <row r="5422">
          <cell r="B5422" t="str">
            <v>Reeder,Brian M</v>
          </cell>
          <cell r="C5422">
            <v>32</v>
          </cell>
        </row>
        <row r="5423">
          <cell r="B5423" t="str">
            <v>Stidman,Genevieve</v>
          </cell>
          <cell r="C5423">
            <v>32.94</v>
          </cell>
        </row>
        <row r="5424">
          <cell r="B5424" t="str">
            <v>Caffrey,Steven C</v>
          </cell>
          <cell r="C5424">
            <v>26.23</v>
          </cell>
        </row>
        <row r="5425">
          <cell r="B5425" t="str">
            <v>Srinivasan,Ram</v>
          </cell>
          <cell r="C5425">
            <v>53.56</v>
          </cell>
        </row>
        <row r="5426">
          <cell r="B5426" t="str">
            <v>Smith,Danny E</v>
          </cell>
          <cell r="C5426">
            <v>39.880000000000003</v>
          </cell>
        </row>
        <row r="5427">
          <cell r="B5427" t="str">
            <v>Cole,Thomas</v>
          </cell>
          <cell r="C5427">
            <v>53.58</v>
          </cell>
        </row>
        <row r="5428">
          <cell r="B5428" t="str">
            <v>Bilby,Nicholl M</v>
          </cell>
          <cell r="C5428">
            <v>21.15</v>
          </cell>
        </row>
        <row r="5429">
          <cell r="B5429" t="str">
            <v>Wainwright,Paul L</v>
          </cell>
          <cell r="C5429">
            <v>55.83</v>
          </cell>
        </row>
        <row r="5430">
          <cell r="B5430" t="str">
            <v>Siyoni,Maikel</v>
          </cell>
          <cell r="C5430">
            <v>58.05</v>
          </cell>
        </row>
        <row r="5431">
          <cell r="B5431" t="str">
            <v>Kaing,Sokha M</v>
          </cell>
          <cell r="C5431">
            <v>20.48</v>
          </cell>
        </row>
        <row r="5432">
          <cell r="B5432" t="str">
            <v>Rupp,Joseph</v>
          </cell>
          <cell r="C5432">
            <v>23.57</v>
          </cell>
        </row>
        <row r="5433">
          <cell r="B5433" t="str">
            <v>Gore,Christopher P</v>
          </cell>
          <cell r="C5433">
            <v>68.92</v>
          </cell>
        </row>
        <row r="5434">
          <cell r="B5434" t="str">
            <v>Johnson III,Anderson</v>
          </cell>
          <cell r="C5434">
            <v>19.95</v>
          </cell>
        </row>
        <row r="5435">
          <cell r="B5435" t="str">
            <v>Gibson,Ryan L</v>
          </cell>
          <cell r="C5435">
            <v>33.659999999999997</v>
          </cell>
        </row>
        <row r="5436">
          <cell r="B5436" t="str">
            <v>Estrada,Daniel</v>
          </cell>
          <cell r="C5436">
            <v>52.89</v>
          </cell>
        </row>
        <row r="5437">
          <cell r="B5437" t="str">
            <v>Lang,Linda K</v>
          </cell>
          <cell r="C5437">
            <v>25.7</v>
          </cell>
        </row>
        <row r="5438">
          <cell r="B5438" t="str">
            <v>Washington,Darrell B</v>
          </cell>
          <cell r="C5438">
            <v>29.19</v>
          </cell>
        </row>
        <row r="5439">
          <cell r="B5439" t="str">
            <v>Pierce,Christopher C</v>
          </cell>
          <cell r="C5439">
            <v>19.43</v>
          </cell>
        </row>
        <row r="5440">
          <cell r="B5440" t="str">
            <v>Henry,Jacqueline S</v>
          </cell>
          <cell r="C5440">
            <v>38.74</v>
          </cell>
        </row>
        <row r="5441">
          <cell r="B5441" t="str">
            <v>Sanchez,Andres</v>
          </cell>
          <cell r="C5441">
            <v>25</v>
          </cell>
        </row>
        <row r="5442">
          <cell r="B5442" t="str">
            <v>Brower,Mark A</v>
          </cell>
          <cell r="C5442">
            <v>38.08</v>
          </cell>
        </row>
        <row r="5443">
          <cell r="B5443" t="str">
            <v>Donaldson,Stephen P</v>
          </cell>
          <cell r="C5443">
            <v>27.89</v>
          </cell>
        </row>
        <row r="5444">
          <cell r="B5444" t="str">
            <v>Zulfiquar,Mansoor</v>
          </cell>
          <cell r="C5444">
            <v>16.2</v>
          </cell>
        </row>
        <row r="5445">
          <cell r="B5445" t="str">
            <v>Yoak,Stephanie L</v>
          </cell>
          <cell r="C5445">
            <v>17.440000000000001</v>
          </cell>
        </row>
        <row r="5446">
          <cell r="B5446" t="str">
            <v>Burnett,Michael D</v>
          </cell>
          <cell r="C5446">
            <v>20.13</v>
          </cell>
        </row>
        <row r="5447">
          <cell r="B5447" t="str">
            <v>Hodges,Bryan M</v>
          </cell>
          <cell r="C5447">
            <v>18.54</v>
          </cell>
        </row>
        <row r="5448">
          <cell r="B5448" t="str">
            <v>Hamill,Shamus J</v>
          </cell>
          <cell r="C5448">
            <v>29</v>
          </cell>
        </row>
        <row r="5449">
          <cell r="B5449" t="str">
            <v>Inman,David P</v>
          </cell>
          <cell r="C5449">
            <v>19.690000000000001</v>
          </cell>
        </row>
        <row r="5450">
          <cell r="B5450" t="str">
            <v>Frownfelter,Joy R</v>
          </cell>
          <cell r="C5450">
            <v>31.82</v>
          </cell>
        </row>
        <row r="5451">
          <cell r="B5451" t="str">
            <v>Worrell,Benjamin D</v>
          </cell>
          <cell r="C5451">
            <v>64.91</v>
          </cell>
        </row>
        <row r="5452">
          <cell r="B5452" t="str">
            <v>Begay,LeRoy H</v>
          </cell>
          <cell r="C5452">
            <v>22.1</v>
          </cell>
        </row>
        <row r="5453">
          <cell r="B5453" t="str">
            <v>Noone,Brian J</v>
          </cell>
          <cell r="C5453">
            <v>20</v>
          </cell>
        </row>
        <row r="5454">
          <cell r="B5454" t="str">
            <v>Gail,Stewart A</v>
          </cell>
          <cell r="C5454">
            <v>22.68</v>
          </cell>
        </row>
        <row r="5455">
          <cell r="B5455" t="str">
            <v>Broussard,Brent M</v>
          </cell>
          <cell r="C5455">
            <v>81.739999999999995</v>
          </cell>
        </row>
        <row r="5456">
          <cell r="B5456" t="str">
            <v>Bitner,Jay B</v>
          </cell>
          <cell r="C5456">
            <v>33.65</v>
          </cell>
        </row>
        <row r="5457">
          <cell r="B5457" t="str">
            <v>Arrington,Leah A</v>
          </cell>
          <cell r="C5457">
            <v>22.68</v>
          </cell>
        </row>
        <row r="5458">
          <cell r="B5458" t="str">
            <v>Smith,Bryan A</v>
          </cell>
          <cell r="C5458">
            <v>15</v>
          </cell>
        </row>
        <row r="5459">
          <cell r="B5459" t="str">
            <v>Glasgow,Micola K</v>
          </cell>
          <cell r="C5459">
            <v>22.91</v>
          </cell>
        </row>
        <row r="5460">
          <cell r="B5460" t="str">
            <v>Troici,Michael C</v>
          </cell>
          <cell r="C5460">
            <v>44.711599999999997</v>
          </cell>
        </row>
        <row r="5461">
          <cell r="B5461" t="str">
            <v>Zamora,Victor</v>
          </cell>
          <cell r="C5461">
            <v>19.239999999999998</v>
          </cell>
        </row>
        <row r="5462">
          <cell r="B5462" t="str">
            <v>Woytowitz,Matthew</v>
          </cell>
          <cell r="C5462">
            <v>55.29</v>
          </cell>
        </row>
        <row r="5463">
          <cell r="B5463" t="str">
            <v>Fichter,Jennifer R</v>
          </cell>
          <cell r="C5463">
            <v>22.32</v>
          </cell>
        </row>
        <row r="5464">
          <cell r="B5464" t="str">
            <v>Truslow,Franklin A</v>
          </cell>
          <cell r="C5464">
            <v>76.08</v>
          </cell>
        </row>
        <row r="5465">
          <cell r="B5465" t="str">
            <v>Ward,Sonya Y</v>
          </cell>
          <cell r="C5465">
            <v>39.619999999999997</v>
          </cell>
        </row>
        <row r="5466">
          <cell r="B5466" t="str">
            <v>Harrower,James M</v>
          </cell>
          <cell r="C5466">
            <v>57.21</v>
          </cell>
        </row>
        <row r="5467">
          <cell r="B5467" t="str">
            <v>Hibbs,Norma J</v>
          </cell>
          <cell r="C5467">
            <v>61.79</v>
          </cell>
        </row>
        <row r="5468">
          <cell r="B5468" t="str">
            <v>Irons Jr.,Clarence S</v>
          </cell>
          <cell r="C5468">
            <v>60.1</v>
          </cell>
        </row>
        <row r="5469">
          <cell r="B5469" t="str">
            <v>Norzagaray,Toribio M</v>
          </cell>
          <cell r="C5469">
            <v>30.03</v>
          </cell>
        </row>
        <row r="5470">
          <cell r="B5470" t="str">
            <v>Whitten,Jeffrey F</v>
          </cell>
          <cell r="C5470">
            <v>26.99</v>
          </cell>
        </row>
        <row r="5471">
          <cell r="B5471" t="str">
            <v>Levingston,Teig</v>
          </cell>
          <cell r="C5471">
            <v>47.21</v>
          </cell>
        </row>
        <row r="5472">
          <cell r="B5472" t="str">
            <v>Mattox,Keith E</v>
          </cell>
          <cell r="C5472">
            <v>47.99</v>
          </cell>
        </row>
        <row r="5473">
          <cell r="B5473" t="str">
            <v>Kleinsorgen Jr.,Franklin</v>
          </cell>
          <cell r="C5473">
            <v>38.47</v>
          </cell>
        </row>
        <row r="5474">
          <cell r="B5474" t="str">
            <v>Rossetti,Robert</v>
          </cell>
          <cell r="C5474">
            <v>21</v>
          </cell>
        </row>
        <row r="5475">
          <cell r="B5475" t="str">
            <v>Devoid,Stephen T</v>
          </cell>
          <cell r="C5475">
            <v>27.41</v>
          </cell>
        </row>
        <row r="5476">
          <cell r="B5476" t="str">
            <v>Lucas,Regina A</v>
          </cell>
          <cell r="C5476">
            <v>19.59</v>
          </cell>
        </row>
        <row r="5477">
          <cell r="B5477" t="str">
            <v>Hurd,Bryan E</v>
          </cell>
          <cell r="C5477">
            <v>72.115385000000003</v>
          </cell>
        </row>
        <row r="5478">
          <cell r="B5478" t="str">
            <v>Gallipeau,Sean P</v>
          </cell>
          <cell r="C5478">
            <v>28.85</v>
          </cell>
        </row>
        <row r="5479">
          <cell r="B5479" t="str">
            <v>Sauers,David A</v>
          </cell>
          <cell r="C5479">
            <v>30</v>
          </cell>
        </row>
        <row r="5480">
          <cell r="B5480" t="str">
            <v>Yamamoto,Clifford</v>
          </cell>
          <cell r="C5480">
            <v>47.82</v>
          </cell>
        </row>
        <row r="5481">
          <cell r="B5481" t="str">
            <v>Gheen,Jennifer R</v>
          </cell>
          <cell r="C5481">
            <v>12.5</v>
          </cell>
        </row>
        <row r="5482">
          <cell r="B5482" t="str">
            <v>Perez,Juan A</v>
          </cell>
          <cell r="C5482">
            <v>23</v>
          </cell>
        </row>
        <row r="5483">
          <cell r="B5483" t="str">
            <v>Leeds,Christian K</v>
          </cell>
          <cell r="C5483">
            <v>23.53</v>
          </cell>
        </row>
        <row r="5484">
          <cell r="B5484" t="str">
            <v>Tutivene,Eddie X</v>
          </cell>
          <cell r="C5484">
            <v>36.299999999999997</v>
          </cell>
        </row>
        <row r="5485">
          <cell r="B5485" t="str">
            <v>Wargin,Lukas A</v>
          </cell>
          <cell r="C5485">
            <v>30</v>
          </cell>
        </row>
        <row r="5486">
          <cell r="B5486" t="str">
            <v>Lawrence,Belinda</v>
          </cell>
          <cell r="C5486">
            <v>16.489999999999998</v>
          </cell>
        </row>
        <row r="5487">
          <cell r="B5487" t="str">
            <v>Torpey,Paul E</v>
          </cell>
          <cell r="C5487">
            <v>66.933599999999998</v>
          </cell>
        </row>
        <row r="5488">
          <cell r="B5488" t="str">
            <v>Baker,Allen D</v>
          </cell>
          <cell r="C5488">
            <v>50.480699999999999</v>
          </cell>
        </row>
        <row r="5489">
          <cell r="B5489" t="str">
            <v>Martinez,Joel D</v>
          </cell>
          <cell r="C5489">
            <v>28.45</v>
          </cell>
        </row>
        <row r="5490">
          <cell r="B5490" t="str">
            <v>Frayna,Bjorn D</v>
          </cell>
          <cell r="C5490">
            <v>38.47</v>
          </cell>
        </row>
        <row r="5491">
          <cell r="B5491" t="str">
            <v>Maxwell,Sara M</v>
          </cell>
          <cell r="C5491">
            <v>19.55</v>
          </cell>
        </row>
        <row r="5492">
          <cell r="B5492" t="str">
            <v>Morris,Raffeal B</v>
          </cell>
          <cell r="C5492">
            <v>44.07</v>
          </cell>
        </row>
        <row r="5493">
          <cell r="B5493" t="str">
            <v>Skeldon,Mark D</v>
          </cell>
          <cell r="C5493">
            <v>63.91</v>
          </cell>
        </row>
        <row r="5494">
          <cell r="B5494" t="str">
            <v>Astin,David S</v>
          </cell>
          <cell r="C5494">
            <v>61.5</v>
          </cell>
        </row>
        <row r="5495">
          <cell r="B5495" t="str">
            <v>Petrachek,Robert M</v>
          </cell>
          <cell r="C5495">
            <v>57.48</v>
          </cell>
        </row>
        <row r="5496">
          <cell r="B5496" t="str">
            <v>Roberts,David J</v>
          </cell>
          <cell r="C5496">
            <v>27.32</v>
          </cell>
        </row>
        <row r="5497">
          <cell r="B5497" t="str">
            <v>Tanguay,Charlotte A</v>
          </cell>
          <cell r="C5497">
            <v>15.18</v>
          </cell>
        </row>
        <row r="5498">
          <cell r="B5498" t="str">
            <v>Davis,Ervin A</v>
          </cell>
          <cell r="C5498">
            <v>22.63</v>
          </cell>
        </row>
        <row r="5499">
          <cell r="B5499" t="str">
            <v>Hedstrom Jr.,Marvin A</v>
          </cell>
          <cell r="C5499">
            <v>63.461500000000001</v>
          </cell>
        </row>
        <row r="5500">
          <cell r="B5500" t="str">
            <v>Junker,John E</v>
          </cell>
          <cell r="C5500">
            <v>88.341300000000004</v>
          </cell>
        </row>
        <row r="5501">
          <cell r="B5501" t="str">
            <v>Teasley,Sean</v>
          </cell>
          <cell r="C5501">
            <v>43.27</v>
          </cell>
        </row>
        <row r="5502">
          <cell r="B5502" t="str">
            <v>Maldonado,Jason D</v>
          </cell>
          <cell r="C5502">
            <v>48.4</v>
          </cell>
        </row>
        <row r="5503">
          <cell r="B5503" t="str">
            <v>Goldberg,Ryan C</v>
          </cell>
          <cell r="C5503">
            <v>19.71</v>
          </cell>
        </row>
        <row r="5504">
          <cell r="B5504" t="str">
            <v>Omar,Rafey R</v>
          </cell>
          <cell r="C5504">
            <v>63.82</v>
          </cell>
        </row>
        <row r="5505">
          <cell r="B5505" t="str">
            <v>Powell,Jimmy L</v>
          </cell>
          <cell r="C5505">
            <v>28.68</v>
          </cell>
        </row>
        <row r="5506">
          <cell r="B5506" t="str">
            <v>Hughes,Eric G</v>
          </cell>
          <cell r="C5506">
            <v>21</v>
          </cell>
        </row>
        <row r="5507">
          <cell r="B5507" t="str">
            <v>Moores,Patrick D</v>
          </cell>
          <cell r="C5507">
            <v>25.65</v>
          </cell>
        </row>
        <row r="5508">
          <cell r="B5508" t="str">
            <v>Rogers,Theresa A</v>
          </cell>
          <cell r="C5508">
            <v>25.95</v>
          </cell>
        </row>
        <row r="5509">
          <cell r="B5509" t="str">
            <v>Cox Jr.,Don R</v>
          </cell>
          <cell r="C5509">
            <v>20.420000000000002</v>
          </cell>
        </row>
        <row r="5510">
          <cell r="B5510" t="str">
            <v>Caige,Kendall J</v>
          </cell>
          <cell r="C5510">
            <v>18.5</v>
          </cell>
        </row>
        <row r="5511">
          <cell r="B5511" t="str">
            <v>Cleveland,Alvin E</v>
          </cell>
          <cell r="C5511">
            <v>22.68</v>
          </cell>
        </row>
        <row r="5512">
          <cell r="B5512" t="str">
            <v>Guerrero,Sharon K</v>
          </cell>
          <cell r="C5512">
            <v>41.54</v>
          </cell>
        </row>
        <row r="5513">
          <cell r="B5513" t="str">
            <v>Fair,Andrea Marie</v>
          </cell>
          <cell r="C5513">
            <v>20</v>
          </cell>
        </row>
        <row r="5514">
          <cell r="B5514" t="str">
            <v>Troutman,Angela S</v>
          </cell>
          <cell r="C5514">
            <v>21.64</v>
          </cell>
        </row>
        <row r="5515">
          <cell r="B5515" t="str">
            <v>Stone,J B</v>
          </cell>
          <cell r="C5515">
            <v>20</v>
          </cell>
        </row>
        <row r="5516">
          <cell r="B5516" t="str">
            <v>Ramage,Dona R</v>
          </cell>
          <cell r="C5516">
            <v>29.22</v>
          </cell>
        </row>
        <row r="5517">
          <cell r="B5517" t="str">
            <v>Langford,Kelly M</v>
          </cell>
          <cell r="C5517">
            <v>34.619999999999997</v>
          </cell>
        </row>
        <row r="5518">
          <cell r="B5518" t="str">
            <v>Das,Sanjib</v>
          </cell>
          <cell r="C5518">
            <v>69.63</v>
          </cell>
        </row>
        <row r="5519">
          <cell r="B5519" t="str">
            <v>Boone,Darrin A</v>
          </cell>
          <cell r="C5519">
            <v>21.5</v>
          </cell>
        </row>
        <row r="5520">
          <cell r="B5520" t="str">
            <v>Baldwin Jr.,David L</v>
          </cell>
          <cell r="C5520">
            <v>20</v>
          </cell>
        </row>
        <row r="5521">
          <cell r="B5521" t="str">
            <v>Norton,Christopher O</v>
          </cell>
          <cell r="C5521">
            <v>41.74</v>
          </cell>
        </row>
        <row r="5522">
          <cell r="B5522" t="str">
            <v>Warner,Christie</v>
          </cell>
          <cell r="C5522">
            <v>23.53</v>
          </cell>
        </row>
        <row r="5523">
          <cell r="B5523" t="str">
            <v>Bartlett,Stephen J</v>
          </cell>
          <cell r="C5523">
            <v>22.3</v>
          </cell>
        </row>
        <row r="5524">
          <cell r="B5524" t="str">
            <v>Ciccanti,Steven M</v>
          </cell>
          <cell r="C5524">
            <v>66.2</v>
          </cell>
        </row>
        <row r="5525">
          <cell r="B5525" t="str">
            <v>Nixon,Anthony M</v>
          </cell>
          <cell r="C5525">
            <v>28</v>
          </cell>
        </row>
        <row r="5526">
          <cell r="B5526" t="str">
            <v>Rosenberger,Alice C</v>
          </cell>
          <cell r="C5526">
            <v>34.25</v>
          </cell>
        </row>
        <row r="5527">
          <cell r="B5527" t="str">
            <v>Wang,Chongying</v>
          </cell>
          <cell r="C5527">
            <v>52.884999999999998</v>
          </cell>
        </row>
        <row r="5528">
          <cell r="B5528" t="str">
            <v>Williams,Cleveland</v>
          </cell>
          <cell r="C5528">
            <v>20.18</v>
          </cell>
        </row>
        <row r="5529">
          <cell r="B5529" t="str">
            <v>Lehto,Christopher L</v>
          </cell>
          <cell r="C5529">
            <v>58.67</v>
          </cell>
        </row>
        <row r="5530">
          <cell r="B5530" t="str">
            <v>Logan,Edwardo P</v>
          </cell>
          <cell r="C5530">
            <v>72.12</v>
          </cell>
        </row>
        <row r="5531">
          <cell r="B5531" t="str">
            <v>Silva,Mary Anne</v>
          </cell>
          <cell r="C5531">
            <v>27.31</v>
          </cell>
        </row>
        <row r="5532">
          <cell r="B5532" t="str">
            <v>Campbell,Thomas W</v>
          </cell>
          <cell r="C5532">
            <v>40.869999999999997</v>
          </cell>
        </row>
        <row r="5533">
          <cell r="B5533" t="str">
            <v>Kielman,Charles R</v>
          </cell>
          <cell r="C5533">
            <v>25</v>
          </cell>
        </row>
        <row r="5534">
          <cell r="B5534" t="str">
            <v>Bigford,Scott M</v>
          </cell>
          <cell r="C5534">
            <v>18.63</v>
          </cell>
        </row>
        <row r="5535">
          <cell r="B5535" t="str">
            <v>Villegas,Shadrach E</v>
          </cell>
          <cell r="C5535">
            <v>20.079999999999998</v>
          </cell>
        </row>
        <row r="5536">
          <cell r="B5536" t="str">
            <v>Nemeth,Dale C</v>
          </cell>
          <cell r="C5536">
            <v>35.9</v>
          </cell>
        </row>
        <row r="5537">
          <cell r="B5537" t="str">
            <v>Wells,Kevin D</v>
          </cell>
          <cell r="C5537">
            <v>58.31</v>
          </cell>
        </row>
        <row r="5538">
          <cell r="B5538" t="str">
            <v>Sherman,Jason C</v>
          </cell>
          <cell r="C5538">
            <v>52.89</v>
          </cell>
        </row>
        <row r="5539">
          <cell r="B5539" t="str">
            <v>Martinez,Helder N</v>
          </cell>
          <cell r="C5539">
            <v>18.25</v>
          </cell>
        </row>
        <row r="5540">
          <cell r="B5540" t="str">
            <v>Ankrom,Johnny A</v>
          </cell>
          <cell r="C5540">
            <v>16.13</v>
          </cell>
        </row>
        <row r="5541">
          <cell r="B5541" t="str">
            <v>Anthony,Debra B</v>
          </cell>
          <cell r="C5541">
            <v>37.82</v>
          </cell>
        </row>
        <row r="5542">
          <cell r="B5542" t="str">
            <v>Henry,Janice M</v>
          </cell>
          <cell r="C5542">
            <v>20.440000000000001</v>
          </cell>
        </row>
        <row r="5543">
          <cell r="B5543" t="str">
            <v>Wood,Brian A.</v>
          </cell>
          <cell r="C5543">
            <v>34.770000000000003</v>
          </cell>
        </row>
        <row r="5544">
          <cell r="B5544" t="str">
            <v>Shaw,Michael W</v>
          </cell>
          <cell r="C5544">
            <v>30.29</v>
          </cell>
        </row>
        <row r="5545">
          <cell r="B5545" t="str">
            <v>Rabon Jr.,Lynwood M</v>
          </cell>
          <cell r="C5545">
            <v>59.999899999999997</v>
          </cell>
        </row>
        <row r="5546">
          <cell r="B5546" t="str">
            <v>Meeker,Russell W</v>
          </cell>
          <cell r="C5546">
            <v>44.75</v>
          </cell>
        </row>
        <row r="5547">
          <cell r="B5547" t="str">
            <v>Blackwell,Harold</v>
          </cell>
          <cell r="C5547">
            <v>25.43</v>
          </cell>
        </row>
        <row r="5548">
          <cell r="B5548" t="str">
            <v>Catubig,Claudia</v>
          </cell>
          <cell r="C5548">
            <v>16.8</v>
          </cell>
        </row>
        <row r="5549">
          <cell r="B5549" t="str">
            <v>Felton,Yolonda R</v>
          </cell>
          <cell r="C5549">
            <v>16.489999999999998</v>
          </cell>
        </row>
        <row r="5550">
          <cell r="B5550" t="str">
            <v>Ingegneri,Antonino J</v>
          </cell>
          <cell r="C5550">
            <v>50.640500000000003</v>
          </cell>
        </row>
        <row r="5551">
          <cell r="B5551" t="str">
            <v>Williams,Frank</v>
          </cell>
          <cell r="C5551">
            <v>24</v>
          </cell>
        </row>
        <row r="5552">
          <cell r="B5552" t="str">
            <v>McBride,Bruce A</v>
          </cell>
          <cell r="C5552">
            <v>40.869999999999997</v>
          </cell>
        </row>
        <row r="5553">
          <cell r="B5553" t="str">
            <v>Hodsdon,Mark</v>
          </cell>
          <cell r="C5553">
            <v>55.29</v>
          </cell>
        </row>
        <row r="5554">
          <cell r="B5554" t="str">
            <v>McCullough,Cynthia L</v>
          </cell>
          <cell r="C5554">
            <v>41.87</v>
          </cell>
        </row>
        <row r="5555">
          <cell r="B5555" t="str">
            <v>Childers,Karen E</v>
          </cell>
          <cell r="C5555">
            <v>59.995699999999999</v>
          </cell>
        </row>
        <row r="5556">
          <cell r="B5556" t="str">
            <v>Topping,Gary E</v>
          </cell>
          <cell r="C5556">
            <v>53.46</v>
          </cell>
        </row>
        <row r="5557">
          <cell r="B5557" t="str">
            <v>Suraci,James A</v>
          </cell>
          <cell r="C5557">
            <v>50.002299999999998</v>
          </cell>
        </row>
        <row r="5558">
          <cell r="B5558" t="str">
            <v>Hill,Jason D</v>
          </cell>
          <cell r="C5558">
            <v>19.87</v>
          </cell>
        </row>
        <row r="5559">
          <cell r="B5559" t="str">
            <v>Kingsbury,Brandon M</v>
          </cell>
          <cell r="C5559">
            <v>38.47</v>
          </cell>
        </row>
        <row r="5560">
          <cell r="B5560" t="str">
            <v>Byers,Ethelbert R</v>
          </cell>
          <cell r="C5560">
            <v>20.57</v>
          </cell>
        </row>
        <row r="5561">
          <cell r="B5561" t="str">
            <v>Hobbs,Glen T</v>
          </cell>
          <cell r="C5561">
            <v>18</v>
          </cell>
        </row>
        <row r="5562">
          <cell r="B5562" t="str">
            <v>Bell,Brian R</v>
          </cell>
          <cell r="C5562">
            <v>19.55</v>
          </cell>
        </row>
        <row r="5563">
          <cell r="B5563" t="str">
            <v>Mills,Michael J</v>
          </cell>
          <cell r="C5563">
            <v>37.5</v>
          </cell>
        </row>
        <row r="5564">
          <cell r="B5564" t="str">
            <v>Burleigh,David J</v>
          </cell>
          <cell r="C5564">
            <v>33.61</v>
          </cell>
        </row>
        <row r="5565">
          <cell r="B5565" t="str">
            <v>Byrd,Larry D</v>
          </cell>
          <cell r="C5565">
            <v>19.7</v>
          </cell>
        </row>
        <row r="5566">
          <cell r="B5566" t="str">
            <v>Wilmore,Kenneth A</v>
          </cell>
          <cell r="C5566">
            <v>24</v>
          </cell>
        </row>
        <row r="5567">
          <cell r="B5567" t="str">
            <v>Buker,Laura W</v>
          </cell>
          <cell r="C5567">
            <v>50.12</v>
          </cell>
        </row>
        <row r="5568">
          <cell r="B5568" t="str">
            <v>Morris,Betzaida R.</v>
          </cell>
          <cell r="C5568">
            <v>23</v>
          </cell>
        </row>
        <row r="5569">
          <cell r="B5569" t="str">
            <v>Tonuao,Aleni T</v>
          </cell>
          <cell r="C5569">
            <v>21.4</v>
          </cell>
        </row>
        <row r="5570">
          <cell r="B5570" t="str">
            <v>Davis,Brian W</v>
          </cell>
          <cell r="C5570">
            <v>39.56</v>
          </cell>
        </row>
        <row r="5571">
          <cell r="B5571" t="str">
            <v>Meissner,Emily J</v>
          </cell>
          <cell r="C5571">
            <v>29.57</v>
          </cell>
        </row>
        <row r="5572">
          <cell r="B5572" t="str">
            <v>Reed,Washington D</v>
          </cell>
          <cell r="C5572">
            <v>19.239999999999998</v>
          </cell>
        </row>
        <row r="5573">
          <cell r="B5573" t="str">
            <v>Vineski,Karen B</v>
          </cell>
          <cell r="C5573">
            <v>56.3</v>
          </cell>
        </row>
        <row r="5574">
          <cell r="B5574" t="str">
            <v>Gagnon,Charles J</v>
          </cell>
          <cell r="C5574">
            <v>35.49</v>
          </cell>
        </row>
        <row r="5575">
          <cell r="B5575" t="str">
            <v>Moser,Valarie A</v>
          </cell>
          <cell r="C5575">
            <v>38.47</v>
          </cell>
        </row>
        <row r="5576">
          <cell r="B5576" t="str">
            <v>Hunter,Scott</v>
          </cell>
          <cell r="C5576">
            <v>30.1</v>
          </cell>
        </row>
        <row r="5577">
          <cell r="B5577" t="str">
            <v>Kinville,Michael C</v>
          </cell>
          <cell r="C5577">
            <v>31.1</v>
          </cell>
        </row>
        <row r="5578">
          <cell r="B5578" t="str">
            <v>McCoy,Kara M</v>
          </cell>
          <cell r="C5578">
            <v>16.5</v>
          </cell>
        </row>
        <row r="5579">
          <cell r="B5579" t="str">
            <v>Theriot,Christopher L</v>
          </cell>
          <cell r="C5579">
            <v>15.98</v>
          </cell>
        </row>
        <row r="5580">
          <cell r="B5580" t="str">
            <v>Arinello,Dennis M</v>
          </cell>
          <cell r="C5580">
            <v>36</v>
          </cell>
        </row>
        <row r="5581">
          <cell r="B5581" t="str">
            <v>McHugh,Katie L</v>
          </cell>
          <cell r="C5581">
            <v>31.98</v>
          </cell>
        </row>
        <row r="5582">
          <cell r="B5582" t="str">
            <v>Zahn,Gerald E</v>
          </cell>
          <cell r="C5582">
            <v>52.41</v>
          </cell>
        </row>
        <row r="5583">
          <cell r="B5583" t="str">
            <v>Apollony,Andrew A</v>
          </cell>
          <cell r="C5583">
            <v>74.040000000000006</v>
          </cell>
        </row>
        <row r="5584">
          <cell r="B5584" t="str">
            <v>Pierre Jr.,Anthony D</v>
          </cell>
          <cell r="C5584">
            <v>26.93</v>
          </cell>
        </row>
        <row r="5585">
          <cell r="B5585" t="str">
            <v>Smith,Maurice L</v>
          </cell>
          <cell r="C5585">
            <v>43.04</v>
          </cell>
        </row>
        <row r="5586">
          <cell r="B5586" t="str">
            <v>Cromer,Erin M</v>
          </cell>
          <cell r="C5586">
            <v>22.14</v>
          </cell>
        </row>
        <row r="5587">
          <cell r="B5587" t="str">
            <v>Arthur,Theodore A</v>
          </cell>
          <cell r="C5587">
            <v>44.13</v>
          </cell>
        </row>
        <row r="5588">
          <cell r="B5588" t="str">
            <v>Tran,Hung Tu</v>
          </cell>
          <cell r="C5588">
            <v>38.461500000000001</v>
          </cell>
        </row>
        <row r="5589">
          <cell r="B5589" t="str">
            <v>Morris III,Billy D</v>
          </cell>
          <cell r="C5589">
            <v>26.45</v>
          </cell>
        </row>
        <row r="5590">
          <cell r="B5590" t="str">
            <v>Waller,Karen M</v>
          </cell>
          <cell r="C5590">
            <v>75.36</v>
          </cell>
        </row>
        <row r="5591">
          <cell r="B5591" t="str">
            <v>Weatherford,Melba J</v>
          </cell>
          <cell r="C5591">
            <v>38.43</v>
          </cell>
        </row>
        <row r="5592">
          <cell r="B5592" t="str">
            <v>Batista-Garza,Karina</v>
          </cell>
          <cell r="C5592">
            <v>20.65</v>
          </cell>
        </row>
        <row r="5593">
          <cell r="B5593" t="str">
            <v>Lewis,Claudine C</v>
          </cell>
          <cell r="C5593">
            <v>100</v>
          </cell>
        </row>
        <row r="5594">
          <cell r="B5594" t="str">
            <v>Seth,Gaurav</v>
          </cell>
          <cell r="C5594">
            <v>55.67</v>
          </cell>
        </row>
        <row r="5595">
          <cell r="B5595" t="str">
            <v>Kassaie,Rachel C</v>
          </cell>
          <cell r="C5595">
            <v>28.85</v>
          </cell>
        </row>
        <row r="5596">
          <cell r="B5596" t="str">
            <v>Hall,Christopher M</v>
          </cell>
          <cell r="C5596">
            <v>35.096153000000001</v>
          </cell>
        </row>
        <row r="5597">
          <cell r="B5597" t="str">
            <v>Moody,Jackie D</v>
          </cell>
          <cell r="C5597">
            <v>16.62</v>
          </cell>
        </row>
        <row r="5598">
          <cell r="B5598" t="str">
            <v>Rait,Pamela B</v>
          </cell>
          <cell r="C5598">
            <v>31.75</v>
          </cell>
        </row>
        <row r="5599">
          <cell r="B5599" t="str">
            <v>Lipsius,Elizabeth L</v>
          </cell>
          <cell r="C5599">
            <v>51</v>
          </cell>
        </row>
        <row r="5600">
          <cell r="B5600" t="str">
            <v>Bell,John</v>
          </cell>
          <cell r="C5600">
            <v>20</v>
          </cell>
        </row>
        <row r="5601">
          <cell r="B5601" t="str">
            <v>Norkin,Douglas T</v>
          </cell>
          <cell r="C5601">
            <v>52.9</v>
          </cell>
        </row>
        <row r="5602">
          <cell r="B5602" t="str">
            <v>Rouse,Lucas L</v>
          </cell>
          <cell r="C5602">
            <v>21.01</v>
          </cell>
        </row>
        <row r="5603">
          <cell r="B5603" t="str">
            <v>Liang,James Z</v>
          </cell>
          <cell r="C5603">
            <v>61.1</v>
          </cell>
        </row>
        <row r="5604">
          <cell r="B5604" t="str">
            <v>Fix,Raymond E</v>
          </cell>
          <cell r="C5604">
            <v>17.8</v>
          </cell>
        </row>
        <row r="5605">
          <cell r="B5605" t="str">
            <v>Parrott,James C</v>
          </cell>
          <cell r="C5605">
            <v>39.28</v>
          </cell>
        </row>
        <row r="5606">
          <cell r="B5606" t="str">
            <v>Lancaster,Carol L</v>
          </cell>
          <cell r="C5606">
            <v>28.4</v>
          </cell>
        </row>
        <row r="5607">
          <cell r="B5607" t="str">
            <v>Schwartz,Mark R</v>
          </cell>
          <cell r="C5607">
            <v>52.69</v>
          </cell>
        </row>
        <row r="5608">
          <cell r="B5608" t="str">
            <v>Jones Sr.,Raymond C</v>
          </cell>
          <cell r="C5608">
            <v>41.42</v>
          </cell>
        </row>
        <row r="5609">
          <cell r="B5609" t="str">
            <v>Bryant,B Carter</v>
          </cell>
          <cell r="C5609">
            <v>72.25</v>
          </cell>
        </row>
        <row r="5610">
          <cell r="B5610" t="str">
            <v>Bentley,Jeffery W</v>
          </cell>
          <cell r="C5610">
            <v>21.49</v>
          </cell>
        </row>
        <row r="5611">
          <cell r="B5611" t="str">
            <v>Jenkins,Glenda C</v>
          </cell>
          <cell r="C5611">
            <v>34.729999999999997</v>
          </cell>
        </row>
        <row r="5612">
          <cell r="B5612" t="str">
            <v>Ryce,Helen E</v>
          </cell>
          <cell r="C5612">
            <v>10.89</v>
          </cell>
        </row>
        <row r="5613">
          <cell r="B5613" t="str">
            <v>Hinen,Anthony L</v>
          </cell>
          <cell r="C5613">
            <v>47.115299999999998</v>
          </cell>
        </row>
        <row r="5614">
          <cell r="B5614" t="str">
            <v>Cao,Bruce-Trieu H</v>
          </cell>
          <cell r="C5614">
            <v>33.94</v>
          </cell>
        </row>
        <row r="5615">
          <cell r="B5615" t="str">
            <v>Rojas,Fernando P</v>
          </cell>
          <cell r="C5615">
            <v>68.58</v>
          </cell>
        </row>
        <row r="5616">
          <cell r="B5616" t="str">
            <v>Alderson Jr.,Ralph N</v>
          </cell>
          <cell r="C5616">
            <v>76.923100000000005</v>
          </cell>
        </row>
        <row r="5617">
          <cell r="B5617" t="str">
            <v>Steenbeke,Tavis D</v>
          </cell>
          <cell r="C5617">
            <v>60.1</v>
          </cell>
        </row>
        <row r="5618">
          <cell r="B5618" t="str">
            <v>Hopkins,Jon P</v>
          </cell>
          <cell r="C5618">
            <v>32.97</v>
          </cell>
        </row>
        <row r="5619">
          <cell r="B5619" t="str">
            <v>Ferrell III,John D</v>
          </cell>
          <cell r="C5619">
            <v>42.79</v>
          </cell>
        </row>
        <row r="5620">
          <cell r="B5620" t="str">
            <v>Collett-Shifferd,Mattie M</v>
          </cell>
          <cell r="C5620">
            <v>22.03</v>
          </cell>
        </row>
        <row r="5621">
          <cell r="B5621" t="str">
            <v>Engle,Frederick C</v>
          </cell>
          <cell r="C5621">
            <v>61.53</v>
          </cell>
        </row>
        <row r="5622">
          <cell r="B5622" t="str">
            <v>Jerome,Jacob A</v>
          </cell>
          <cell r="C5622">
            <v>20</v>
          </cell>
        </row>
        <row r="5623">
          <cell r="B5623" t="str">
            <v>Hale,Cecil R</v>
          </cell>
          <cell r="C5623">
            <v>21.63</v>
          </cell>
        </row>
        <row r="5624">
          <cell r="B5624" t="str">
            <v>Washington,Lloyd A</v>
          </cell>
          <cell r="C5624">
            <v>23.82</v>
          </cell>
        </row>
        <row r="5625">
          <cell r="B5625" t="str">
            <v>Johnson,Alfaye M</v>
          </cell>
          <cell r="C5625">
            <v>33.293399999999998</v>
          </cell>
        </row>
        <row r="5626">
          <cell r="B5626" t="str">
            <v>La Mar,Andrew H</v>
          </cell>
          <cell r="C5626">
            <v>49.14</v>
          </cell>
        </row>
        <row r="5627">
          <cell r="B5627" t="str">
            <v>Johnson,Mavis E</v>
          </cell>
          <cell r="C5627">
            <v>34.68</v>
          </cell>
        </row>
        <row r="5628">
          <cell r="B5628" t="str">
            <v>Claudio,Raul</v>
          </cell>
          <cell r="C5628">
            <v>34.020000000000003</v>
          </cell>
        </row>
        <row r="5629">
          <cell r="B5629" t="str">
            <v>Baker,Nafis M</v>
          </cell>
          <cell r="C5629">
            <v>36.700000000000003</v>
          </cell>
        </row>
        <row r="5630">
          <cell r="B5630" t="str">
            <v>Swider,Allan J</v>
          </cell>
          <cell r="C5630">
            <v>72.010000000000005</v>
          </cell>
        </row>
        <row r="5631">
          <cell r="B5631" t="str">
            <v>Cepeda,Lucille</v>
          </cell>
          <cell r="C5631">
            <v>54.258699999999997</v>
          </cell>
        </row>
        <row r="5632">
          <cell r="B5632" t="str">
            <v>Dutia,Zubin A</v>
          </cell>
          <cell r="C5632">
            <v>24.102</v>
          </cell>
        </row>
        <row r="5633">
          <cell r="B5633" t="str">
            <v>Bates,Floyd J</v>
          </cell>
          <cell r="C5633">
            <v>54.64</v>
          </cell>
        </row>
        <row r="5634">
          <cell r="B5634" t="str">
            <v>Knowlton,Edward M</v>
          </cell>
          <cell r="C5634">
            <v>27.12</v>
          </cell>
        </row>
        <row r="5635">
          <cell r="B5635" t="str">
            <v>De Maio,Lauren M M</v>
          </cell>
          <cell r="C5635">
            <v>19.149999999999999</v>
          </cell>
        </row>
        <row r="5636">
          <cell r="B5636" t="str">
            <v>Matthews,Rhonda A</v>
          </cell>
          <cell r="C5636">
            <v>24.22</v>
          </cell>
        </row>
        <row r="5637">
          <cell r="B5637" t="str">
            <v>Anderson,William P</v>
          </cell>
          <cell r="C5637">
            <v>19.149999999999999</v>
          </cell>
        </row>
        <row r="5638">
          <cell r="B5638" t="str">
            <v>Lopez,Melisa</v>
          </cell>
          <cell r="C5638">
            <v>28.85</v>
          </cell>
        </row>
        <row r="5639">
          <cell r="B5639" t="str">
            <v>Stevenson,Betty J</v>
          </cell>
          <cell r="C5639">
            <v>19.170000000000002</v>
          </cell>
        </row>
        <row r="5640">
          <cell r="B5640" t="str">
            <v>Brown,Terry A</v>
          </cell>
          <cell r="C5640">
            <v>21.88</v>
          </cell>
        </row>
        <row r="5641">
          <cell r="B5641" t="str">
            <v>Steiner III,Morris W</v>
          </cell>
          <cell r="C5641">
            <v>26</v>
          </cell>
        </row>
        <row r="5642">
          <cell r="B5642" t="str">
            <v>Horne,Keith S</v>
          </cell>
          <cell r="C5642">
            <v>22</v>
          </cell>
        </row>
        <row r="5643">
          <cell r="B5643" t="str">
            <v>Cook,Scotty G</v>
          </cell>
          <cell r="C5643">
            <v>20.89</v>
          </cell>
        </row>
        <row r="5644">
          <cell r="B5644" t="str">
            <v>Hayes,Maria G</v>
          </cell>
          <cell r="C5644">
            <v>29.81</v>
          </cell>
        </row>
        <row r="5645">
          <cell r="B5645" t="str">
            <v>Jones,Lindy G</v>
          </cell>
          <cell r="C5645">
            <v>26.48</v>
          </cell>
        </row>
        <row r="5646">
          <cell r="B5646" t="str">
            <v>Palang,Eleuterio B</v>
          </cell>
          <cell r="C5646">
            <v>18.61</v>
          </cell>
        </row>
        <row r="5647">
          <cell r="B5647" t="str">
            <v>Baldwin,Joseph M</v>
          </cell>
          <cell r="C5647">
            <v>34.340000000000003</v>
          </cell>
        </row>
        <row r="5648">
          <cell r="B5648" t="str">
            <v>Driesbach,Frederick J</v>
          </cell>
          <cell r="C5648">
            <v>71.05</v>
          </cell>
        </row>
        <row r="5649">
          <cell r="B5649" t="str">
            <v>Laughinghouse,Shelton B</v>
          </cell>
          <cell r="C5649">
            <v>21.54</v>
          </cell>
        </row>
        <row r="5650">
          <cell r="B5650" t="str">
            <v>Greenamyer,Thomas E</v>
          </cell>
          <cell r="C5650">
            <v>31.83</v>
          </cell>
        </row>
        <row r="5651">
          <cell r="B5651" t="str">
            <v>Robinson,Terry L</v>
          </cell>
          <cell r="C5651">
            <v>26.98</v>
          </cell>
        </row>
        <row r="5652">
          <cell r="B5652" t="str">
            <v>Skinner Jr.,William L</v>
          </cell>
          <cell r="C5652">
            <v>32.82</v>
          </cell>
        </row>
        <row r="5653">
          <cell r="B5653" t="str">
            <v>Morgan,Joseph J</v>
          </cell>
          <cell r="C5653">
            <v>18.899999999999999</v>
          </cell>
        </row>
        <row r="5654">
          <cell r="B5654" t="str">
            <v>Smith Sr.,Fredrick W</v>
          </cell>
          <cell r="C5654">
            <v>31.04</v>
          </cell>
        </row>
        <row r="5655">
          <cell r="B5655" t="str">
            <v>Ables,Brian O</v>
          </cell>
          <cell r="C5655">
            <v>15.94</v>
          </cell>
        </row>
        <row r="5656">
          <cell r="B5656" t="str">
            <v>Lofton,Mitchell D</v>
          </cell>
          <cell r="C5656">
            <v>22.56</v>
          </cell>
        </row>
        <row r="5657">
          <cell r="B5657" t="str">
            <v>Hardin,Bob L</v>
          </cell>
          <cell r="C5657">
            <v>82.48</v>
          </cell>
        </row>
        <row r="5658">
          <cell r="B5658" t="str">
            <v>Costley,Kareem J</v>
          </cell>
          <cell r="C5658">
            <v>36.057699999999997</v>
          </cell>
        </row>
        <row r="5659">
          <cell r="B5659" t="str">
            <v>Petersen,Jenna L</v>
          </cell>
          <cell r="C5659">
            <v>20.5</v>
          </cell>
        </row>
        <row r="5660">
          <cell r="B5660" t="str">
            <v>Kidd,Allan C</v>
          </cell>
          <cell r="C5660">
            <v>23.5</v>
          </cell>
        </row>
        <row r="5661">
          <cell r="B5661" t="str">
            <v>Anderson,Jeffrey M</v>
          </cell>
          <cell r="C5661">
            <v>31.67</v>
          </cell>
        </row>
        <row r="5662">
          <cell r="B5662" t="str">
            <v>Robinson,Darryl</v>
          </cell>
          <cell r="C5662">
            <v>19.34</v>
          </cell>
        </row>
        <row r="5663">
          <cell r="B5663" t="str">
            <v>Martin,Thomas H</v>
          </cell>
          <cell r="C5663">
            <v>32.85</v>
          </cell>
        </row>
        <row r="5664">
          <cell r="B5664" t="str">
            <v>Hawkins,Chucky D</v>
          </cell>
          <cell r="C5664">
            <v>24.75</v>
          </cell>
        </row>
        <row r="5665">
          <cell r="B5665" t="str">
            <v>Edwards Jr.,John R</v>
          </cell>
          <cell r="C5665">
            <v>73.790000000000006</v>
          </cell>
        </row>
        <row r="5666">
          <cell r="B5666" t="str">
            <v>Joyner,Eric C.</v>
          </cell>
          <cell r="C5666">
            <v>35.619999999999997</v>
          </cell>
        </row>
        <row r="5667">
          <cell r="B5667" t="str">
            <v>Amos,Carlos</v>
          </cell>
          <cell r="C5667">
            <v>16.47</v>
          </cell>
        </row>
        <row r="5668">
          <cell r="B5668" t="str">
            <v>Martinez,Daniel D</v>
          </cell>
          <cell r="C5668">
            <v>20</v>
          </cell>
        </row>
        <row r="5669">
          <cell r="B5669" t="str">
            <v>Fury,Joseph A</v>
          </cell>
          <cell r="C5669">
            <v>55.495399999999997</v>
          </cell>
        </row>
        <row r="5670">
          <cell r="B5670" t="str">
            <v>Brown,La Tosca B</v>
          </cell>
          <cell r="C5670">
            <v>96.16</v>
          </cell>
        </row>
        <row r="5671">
          <cell r="B5671" t="str">
            <v>Ralon,Mary A</v>
          </cell>
          <cell r="C5671">
            <v>12.93</v>
          </cell>
        </row>
        <row r="5672">
          <cell r="B5672" t="str">
            <v>Dailey,Kathryn E</v>
          </cell>
          <cell r="C5672">
            <v>80.44</v>
          </cell>
        </row>
        <row r="5673">
          <cell r="B5673" t="str">
            <v>Wauer,Brian D</v>
          </cell>
          <cell r="C5673">
            <v>56.74</v>
          </cell>
        </row>
        <row r="5674">
          <cell r="B5674" t="str">
            <v>Ku,Daniel L</v>
          </cell>
          <cell r="C5674">
            <v>42.063200000000002</v>
          </cell>
        </row>
        <row r="5675">
          <cell r="B5675" t="str">
            <v>Rogers,Peter T</v>
          </cell>
          <cell r="C5675">
            <v>81.798000000000002</v>
          </cell>
        </row>
        <row r="5676">
          <cell r="B5676" t="str">
            <v>Komatinsky,Christopher D</v>
          </cell>
          <cell r="C5676">
            <v>47.021599999999999</v>
          </cell>
        </row>
        <row r="5677">
          <cell r="B5677" t="str">
            <v>Cox,Lonnie G</v>
          </cell>
          <cell r="C5677">
            <v>25.6938</v>
          </cell>
        </row>
        <row r="5678">
          <cell r="B5678" t="str">
            <v>Johnstone,Steven R</v>
          </cell>
          <cell r="C5678">
            <v>26.71</v>
          </cell>
        </row>
        <row r="5679">
          <cell r="B5679" t="str">
            <v>Warren Jr.,Randall L</v>
          </cell>
          <cell r="C5679">
            <v>20.13</v>
          </cell>
        </row>
        <row r="5680">
          <cell r="B5680" t="str">
            <v>Larson II,Walter C</v>
          </cell>
          <cell r="C5680">
            <v>39</v>
          </cell>
        </row>
        <row r="5681">
          <cell r="B5681" t="str">
            <v>Plunkett,John C</v>
          </cell>
          <cell r="C5681">
            <v>22.15</v>
          </cell>
        </row>
        <row r="5682">
          <cell r="B5682" t="str">
            <v>Dailey,Albert A</v>
          </cell>
          <cell r="C5682">
            <v>21.14</v>
          </cell>
        </row>
        <row r="5683">
          <cell r="B5683" t="str">
            <v>Suneson,Kris A</v>
          </cell>
          <cell r="C5683">
            <v>50.48</v>
          </cell>
        </row>
        <row r="5684">
          <cell r="B5684" t="str">
            <v>Jones,Malcolm L</v>
          </cell>
          <cell r="C5684">
            <v>44.59</v>
          </cell>
        </row>
        <row r="5685">
          <cell r="B5685" t="str">
            <v>Jones Jr.,Darnell V</v>
          </cell>
          <cell r="C5685">
            <v>15.64</v>
          </cell>
        </row>
        <row r="5686">
          <cell r="B5686" t="str">
            <v>Mesa,Megan L</v>
          </cell>
          <cell r="C5686">
            <v>25.16</v>
          </cell>
        </row>
        <row r="5687">
          <cell r="B5687" t="str">
            <v>Litty,Joel D</v>
          </cell>
          <cell r="C5687">
            <v>89.156999999999996</v>
          </cell>
        </row>
        <row r="5688">
          <cell r="B5688" t="str">
            <v>O'Brien,Stephen S</v>
          </cell>
          <cell r="C5688">
            <v>60.17</v>
          </cell>
        </row>
        <row r="5689">
          <cell r="B5689" t="str">
            <v>Howden,Gary M</v>
          </cell>
          <cell r="C5689">
            <v>21.822700000000001</v>
          </cell>
        </row>
        <row r="5690">
          <cell r="B5690" t="str">
            <v>Panzica,Donald J</v>
          </cell>
          <cell r="C5690">
            <v>84.19</v>
          </cell>
        </row>
        <row r="5691">
          <cell r="B5691" t="str">
            <v>Jones,Ricky D</v>
          </cell>
          <cell r="C5691">
            <v>19.89</v>
          </cell>
        </row>
        <row r="5692">
          <cell r="B5692" t="str">
            <v>Bastian,Patricia</v>
          </cell>
          <cell r="C5692">
            <v>31.53</v>
          </cell>
        </row>
        <row r="5693">
          <cell r="B5693" t="str">
            <v>Zapata,Jaime L</v>
          </cell>
          <cell r="C5693">
            <v>70.489999999999995</v>
          </cell>
        </row>
        <row r="5694">
          <cell r="B5694" t="str">
            <v>Calloway,Duane A</v>
          </cell>
          <cell r="C5694">
            <v>28.43</v>
          </cell>
        </row>
        <row r="5695">
          <cell r="B5695" t="str">
            <v>Ward,Barbara C</v>
          </cell>
          <cell r="C5695">
            <v>30.39</v>
          </cell>
        </row>
        <row r="5696">
          <cell r="B5696" t="str">
            <v>Crawley,Rannard R</v>
          </cell>
          <cell r="C5696">
            <v>16.07</v>
          </cell>
        </row>
        <row r="5697">
          <cell r="B5697" t="str">
            <v>Taylor,Charles C</v>
          </cell>
          <cell r="C5697">
            <v>22.66</v>
          </cell>
        </row>
        <row r="5698">
          <cell r="B5698" t="str">
            <v>Fulmore,Katrina D</v>
          </cell>
          <cell r="C5698">
            <v>18.25</v>
          </cell>
        </row>
        <row r="5699">
          <cell r="B5699" t="str">
            <v>Hickman,Kathleen M</v>
          </cell>
          <cell r="C5699">
            <v>59.72</v>
          </cell>
        </row>
        <row r="5700">
          <cell r="B5700" t="str">
            <v>Len,Peter A</v>
          </cell>
          <cell r="C5700">
            <v>70.569999999999993</v>
          </cell>
        </row>
        <row r="5701">
          <cell r="B5701" t="str">
            <v>Naber,Fred H</v>
          </cell>
          <cell r="C5701">
            <v>50.95</v>
          </cell>
        </row>
        <row r="5702">
          <cell r="B5702" t="str">
            <v>Betsayda,Melanie</v>
          </cell>
          <cell r="C5702">
            <v>16.34</v>
          </cell>
        </row>
        <row r="5703">
          <cell r="B5703" t="str">
            <v>Dague Jr.,George A</v>
          </cell>
          <cell r="C5703">
            <v>63.51</v>
          </cell>
        </row>
        <row r="5704">
          <cell r="B5704" t="str">
            <v>Koss,Joan E</v>
          </cell>
          <cell r="C5704">
            <v>46.41</v>
          </cell>
        </row>
        <row r="5705">
          <cell r="B5705" t="str">
            <v>Krenzien,Kevin R</v>
          </cell>
          <cell r="C5705">
            <v>53.188600000000001</v>
          </cell>
        </row>
        <row r="5706">
          <cell r="B5706" t="str">
            <v>Drupieski,Brian T</v>
          </cell>
          <cell r="C5706">
            <v>21.634699999999999</v>
          </cell>
        </row>
        <row r="5707">
          <cell r="B5707" t="str">
            <v>McGahagan IV,John F</v>
          </cell>
          <cell r="C5707">
            <v>17.850000000000001</v>
          </cell>
        </row>
        <row r="5708">
          <cell r="B5708" t="str">
            <v>Thomas,Keith</v>
          </cell>
          <cell r="C5708">
            <v>19</v>
          </cell>
        </row>
        <row r="5709">
          <cell r="B5709" t="str">
            <v>Morgan,Samuel F</v>
          </cell>
          <cell r="C5709">
            <v>49</v>
          </cell>
        </row>
        <row r="5710">
          <cell r="B5710" t="str">
            <v>Thomas,Amelia M</v>
          </cell>
          <cell r="C5710">
            <v>19.489999999999998</v>
          </cell>
        </row>
        <row r="5711">
          <cell r="B5711" t="str">
            <v>Hudson,Valerie D</v>
          </cell>
          <cell r="C5711">
            <v>20.69</v>
          </cell>
        </row>
        <row r="5712">
          <cell r="B5712" t="str">
            <v>Nichols,Max A</v>
          </cell>
          <cell r="C5712">
            <v>26.25</v>
          </cell>
        </row>
        <row r="5713">
          <cell r="B5713" t="str">
            <v>O'Brien,Colleen A</v>
          </cell>
          <cell r="C5713">
            <v>25.35</v>
          </cell>
        </row>
        <row r="5714">
          <cell r="B5714" t="str">
            <v>Cruz,Jennifer i</v>
          </cell>
          <cell r="C5714">
            <v>38.619999999999997</v>
          </cell>
        </row>
        <row r="5715">
          <cell r="B5715" t="str">
            <v>Longo,Robert J</v>
          </cell>
          <cell r="C5715">
            <v>60.1</v>
          </cell>
        </row>
        <row r="5716">
          <cell r="B5716" t="str">
            <v>Johnson,Patrick T</v>
          </cell>
          <cell r="C5716">
            <v>20.99</v>
          </cell>
        </row>
        <row r="5717">
          <cell r="B5717" t="str">
            <v>Kacvinsky,Joseph</v>
          </cell>
          <cell r="C5717">
            <v>30.29</v>
          </cell>
        </row>
        <row r="5718">
          <cell r="B5718" t="str">
            <v>Johnson,Jody Scott</v>
          </cell>
          <cell r="C5718">
            <v>39</v>
          </cell>
        </row>
        <row r="5719">
          <cell r="B5719" t="str">
            <v>Soto Planas,Angel M</v>
          </cell>
          <cell r="C5719">
            <v>24.96</v>
          </cell>
        </row>
        <row r="5720">
          <cell r="B5720" t="str">
            <v>Foulks,Tamara J</v>
          </cell>
          <cell r="C5720">
            <v>21.6</v>
          </cell>
        </row>
        <row r="5721">
          <cell r="B5721" t="str">
            <v>Trevorrow,Matthew B</v>
          </cell>
          <cell r="C5721">
            <v>25</v>
          </cell>
        </row>
        <row r="5722">
          <cell r="B5722" t="str">
            <v>Walter,Glen E</v>
          </cell>
          <cell r="C5722">
            <v>45.2</v>
          </cell>
        </row>
        <row r="5723">
          <cell r="B5723" t="str">
            <v>Conn,Jeffrey L</v>
          </cell>
          <cell r="C5723">
            <v>44.05</v>
          </cell>
        </row>
        <row r="5724">
          <cell r="B5724" t="str">
            <v>Wadadekar,Waman V</v>
          </cell>
          <cell r="C5724">
            <v>63.82</v>
          </cell>
        </row>
        <row r="5725">
          <cell r="B5725" t="str">
            <v>Bowman,Benjamin</v>
          </cell>
          <cell r="C5725">
            <v>39.78</v>
          </cell>
        </row>
        <row r="5726">
          <cell r="B5726" t="str">
            <v>Langford,Charles W</v>
          </cell>
          <cell r="C5726">
            <v>19.899999999999999</v>
          </cell>
        </row>
        <row r="5727">
          <cell r="B5727" t="str">
            <v>Ingram,Scott</v>
          </cell>
          <cell r="C5727">
            <v>35.58</v>
          </cell>
        </row>
        <row r="5728">
          <cell r="B5728" t="str">
            <v>Schothorst,Bret J</v>
          </cell>
          <cell r="C5728">
            <v>28.85</v>
          </cell>
        </row>
        <row r="5729">
          <cell r="B5729" t="str">
            <v>Metz,James I</v>
          </cell>
          <cell r="C5729">
            <v>26.17</v>
          </cell>
        </row>
        <row r="5730">
          <cell r="B5730" t="str">
            <v>Olivarez,Dwight P</v>
          </cell>
          <cell r="C5730">
            <v>20.6</v>
          </cell>
        </row>
        <row r="5731">
          <cell r="B5731" t="str">
            <v>Reuss,Gregory C</v>
          </cell>
          <cell r="C5731">
            <v>86.45</v>
          </cell>
        </row>
        <row r="5732">
          <cell r="B5732" t="str">
            <v>Smith,Christopher D</v>
          </cell>
          <cell r="C5732">
            <v>34</v>
          </cell>
        </row>
        <row r="5733">
          <cell r="B5733" t="str">
            <v>Sparks,Denise M</v>
          </cell>
          <cell r="C5733">
            <v>49.17</v>
          </cell>
        </row>
        <row r="5734">
          <cell r="B5734" t="str">
            <v>Vogel,Jay R</v>
          </cell>
          <cell r="C5734">
            <v>32.67</v>
          </cell>
        </row>
        <row r="5735">
          <cell r="B5735" t="str">
            <v>Boom,Scott A</v>
          </cell>
          <cell r="C5735">
            <v>35.049999999999997</v>
          </cell>
        </row>
        <row r="5736">
          <cell r="B5736" t="str">
            <v>Kelly,Katheryn S</v>
          </cell>
          <cell r="C5736">
            <v>52.8</v>
          </cell>
        </row>
        <row r="5737">
          <cell r="B5737" t="str">
            <v>Lall,Sonal M</v>
          </cell>
          <cell r="C5737">
            <v>28.89</v>
          </cell>
        </row>
        <row r="5738">
          <cell r="B5738" t="str">
            <v>Harrison,Steven J</v>
          </cell>
          <cell r="C5738">
            <v>38.47</v>
          </cell>
        </row>
        <row r="5739">
          <cell r="B5739" t="str">
            <v>Thorson,Phil H</v>
          </cell>
          <cell r="C5739">
            <v>48.000999999999998</v>
          </cell>
        </row>
        <row r="5740">
          <cell r="B5740" t="str">
            <v>Lee,Janet C</v>
          </cell>
          <cell r="C5740">
            <v>26.45</v>
          </cell>
        </row>
        <row r="5741">
          <cell r="B5741" t="str">
            <v>Warthen,James G</v>
          </cell>
          <cell r="C5741">
            <v>64.91</v>
          </cell>
        </row>
        <row r="5742">
          <cell r="B5742" t="str">
            <v>Froschauer,Aaron V</v>
          </cell>
          <cell r="C5742">
            <v>21.61</v>
          </cell>
        </row>
        <row r="5743">
          <cell r="B5743" t="str">
            <v>Braun,Elizabeth L</v>
          </cell>
          <cell r="C5743">
            <v>42.31</v>
          </cell>
        </row>
        <row r="5744">
          <cell r="B5744" t="str">
            <v>Blasco,William M</v>
          </cell>
          <cell r="C5744">
            <v>19.48</v>
          </cell>
        </row>
        <row r="5745">
          <cell r="B5745" t="str">
            <v>Matos,Ann M</v>
          </cell>
          <cell r="C5745">
            <v>37.020000000000003</v>
          </cell>
        </row>
        <row r="5746">
          <cell r="B5746" t="str">
            <v>Singer,Melanie J</v>
          </cell>
          <cell r="C5746">
            <v>26.45</v>
          </cell>
        </row>
        <row r="5747">
          <cell r="B5747" t="str">
            <v>Hughes,Christopher J</v>
          </cell>
          <cell r="C5747">
            <v>18.940000000000001</v>
          </cell>
        </row>
        <row r="5748">
          <cell r="B5748" t="str">
            <v>Griswold,Lori Kim</v>
          </cell>
          <cell r="C5748">
            <v>33.11</v>
          </cell>
        </row>
        <row r="5749">
          <cell r="B5749" t="str">
            <v>Zweidler,Stephan A</v>
          </cell>
          <cell r="C5749">
            <v>48.232500000000002</v>
          </cell>
        </row>
        <row r="5750">
          <cell r="B5750" t="str">
            <v>Glenn Sr.,Robert L</v>
          </cell>
          <cell r="C5750">
            <v>62.11</v>
          </cell>
        </row>
        <row r="5751">
          <cell r="B5751" t="str">
            <v>Shipman,David C</v>
          </cell>
          <cell r="C5751">
            <v>24.21</v>
          </cell>
        </row>
        <row r="5752">
          <cell r="B5752" t="str">
            <v>Jones,Leslie K</v>
          </cell>
          <cell r="C5752">
            <v>46.66</v>
          </cell>
        </row>
        <row r="5753">
          <cell r="B5753" t="str">
            <v>Thompson,Jessica L</v>
          </cell>
          <cell r="C5753">
            <v>17.920000000000002</v>
          </cell>
        </row>
        <row r="5754">
          <cell r="B5754" t="str">
            <v>Lee,Valerie J</v>
          </cell>
          <cell r="C5754">
            <v>24</v>
          </cell>
        </row>
        <row r="5755">
          <cell r="B5755" t="str">
            <v>Fidler,Charles R</v>
          </cell>
          <cell r="C5755">
            <v>73.874899999999997</v>
          </cell>
        </row>
        <row r="5756">
          <cell r="B5756" t="str">
            <v>Haines,John R</v>
          </cell>
          <cell r="C5756">
            <v>50.42</v>
          </cell>
        </row>
        <row r="5757">
          <cell r="B5757" t="str">
            <v>Kinnard,Domonique M</v>
          </cell>
          <cell r="C5757">
            <v>31.25</v>
          </cell>
        </row>
        <row r="5758">
          <cell r="B5758" t="str">
            <v>Knauth,Dorie-ann C</v>
          </cell>
          <cell r="C5758">
            <v>36.06</v>
          </cell>
        </row>
        <row r="5759">
          <cell r="B5759" t="str">
            <v>DeLonge,Michael R</v>
          </cell>
          <cell r="C5759">
            <v>21.14</v>
          </cell>
        </row>
        <row r="5760">
          <cell r="B5760" t="str">
            <v>Fahrenholz,Danielle A</v>
          </cell>
          <cell r="C5760">
            <v>62.283000000000001</v>
          </cell>
        </row>
        <row r="5761">
          <cell r="B5761" t="str">
            <v>Carpenter,Robert</v>
          </cell>
          <cell r="C5761">
            <v>37.85</v>
          </cell>
        </row>
        <row r="5762">
          <cell r="B5762" t="str">
            <v>Bagwell,Sharon J</v>
          </cell>
          <cell r="C5762">
            <v>34.229999999999997</v>
          </cell>
        </row>
        <row r="5763">
          <cell r="B5763" t="str">
            <v>Adams,Bryan E</v>
          </cell>
          <cell r="C5763">
            <v>81.730800000000002</v>
          </cell>
        </row>
        <row r="5764">
          <cell r="B5764" t="str">
            <v>Jackson,Darryl D</v>
          </cell>
          <cell r="C5764">
            <v>27.12</v>
          </cell>
        </row>
        <row r="5765">
          <cell r="B5765" t="str">
            <v>Luckett Jr.,Jesse R</v>
          </cell>
          <cell r="C5765">
            <v>75.489999999999995</v>
          </cell>
        </row>
        <row r="5766">
          <cell r="B5766" t="str">
            <v>Cowins,Robert L</v>
          </cell>
          <cell r="C5766">
            <v>21</v>
          </cell>
        </row>
        <row r="5767">
          <cell r="B5767" t="str">
            <v>Fraley,James A</v>
          </cell>
          <cell r="C5767">
            <v>34.1</v>
          </cell>
        </row>
        <row r="5768">
          <cell r="B5768" t="str">
            <v>DiPasquale,Laura M</v>
          </cell>
          <cell r="C5768">
            <v>21.64</v>
          </cell>
        </row>
        <row r="5769">
          <cell r="B5769" t="str">
            <v>Carroll,Nolan A</v>
          </cell>
          <cell r="C5769">
            <v>31.25</v>
          </cell>
        </row>
        <row r="5770">
          <cell r="B5770" t="str">
            <v>Cooley,Joy J</v>
          </cell>
          <cell r="C5770">
            <v>40.514299999999999</v>
          </cell>
        </row>
        <row r="5771">
          <cell r="B5771" t="str">
            <v>Ferry,Lae V</v>
          </cell>
          <cell r="C5771">
            <v>16.48</v>
          </cell>
        </row>
        <row r="5772">
          <cell r="B5772" t="str">
            <v>Tilton,Elizabeth D</v>
          </cell>
          <cell r="C5772">
            <v>26</v>
          </cell>
        </row>
        <row r="5773">
          <cell r="B5773" t="str">
            <v>Scherbenske,Scott J</v>
          </cell>
          <cell r="C5773">
            <v>105.666</v>
          </cell>
        </row>
        <row r="5774">
          <cell r="B5774" t="str">
            <v>Seery,Carey A</v>
          </cell>
          <cell r="C5774">
            <v>33.28</v>
          </cell>
        </row>
        <row r="5775">
          <cell r="B5775" t="str">
            <v>Nelson,Joseph A</v>
          </cell>
          <cell r="C5775">
            <v>34</v>
          </cell>
        </row>
        <row r="5776">
          <cell r="B5776" t="str">
            <v>LeBlanc,Sandra B</v>
          </cell>
          <cell r="C5776">
            <v>20.77</v>
          </cell>
        </row>
        <row r="5777">
          <cell r="B5777" t="str">
            <v>Smith,Robert D</v>
          </cell>
          <cell r="C5777">
            <v>74.706299999999999</v>
          </cell>
        </row>
        <row r="5778">
          <cell r="B5778" t="str">
            <v>Renzi,Erin M</v>
          </cell>
          <cell r="C5778">
            <v>34.78</v>
          </cell>
        </row>
        <row r="5779">
          <cell r="B5779" t="str">
            <v>Kane,Mary S</v>
          </cell>
          <cell r="C5779">
            <v>27.34</v>
          </cell>
        </row>
        <row r="5780">
          <cell r="B5780" t="str">
            <v>McCarthy,Maureen M</v>
          </cell>
          <cell r="C5780">
            <v>25.95</v>
          </cell>
        </row>
        <row r="5781">
          <cell r="B5781" t="str">
            <v>Pak,Yun J</v>
          </cell>
          <cell r="C5781">
            <v>19.32</v>
          </cell>
        </row>
        <row r="5782">
          <cell r="B5782" t="str">
            <v>Carter,James C</v>
          </cell>
          <cell r="C5782">
            <v>19.48</v>
          </cell>
        </row>
        <row r="5783">
          <cell r="B5783" t="str">
            <v>Hall,Bradley K</v>
          </cell>
          <cell r="C5783">
            <v>26.48</v>
          </cell>
        </row>
        <row r="5784">
          <cell r="B5784" t="str">
            <v>Giaccio,Brad</v>
          </cell>
          <cell r="C5784">
            <v>63.8</v>
          </cell>
        </row>
        <row r="5785">
          <cell r="B5785" t="str">
            <v>Turner,Sheree A</v>
          </cell>
          <cell r="C5785">
            <v>36.99</v>
          </cell>
        </row>
        <row r="5786">
          <cell r="B5786" t="str">
            <v>Pearson,Stefanie E</v>
          </cell>
          <cell r="C5786">
            <v>16.829999999999998</v>
          </cell>
        </row>
        <row r="5787">
          <cell r="B5787" t="str">
            <v>Gallegos,Patrick L</v>
          </cell>
          <cell r="C5787">
            <v>19.54</v>
          </cell>
        </row>
        <row r="5788">
          <cell r="B5788" t="str">
            <v>Dillemuth,Kristian</v>
          </cell>
          <cell r="C5788">
            <v>21.5</v>
          </cell>
        </row>
        <row r="5789">
          <cell r="B5789" t="str">
            <v>Uss,Jaime E</v>
          </cell>
          <cell r="C5789">
            <v>28.95</v>
          </cell>
        </row>
        <row r="5790">
          <cell r="B5790" t="str">
            <v>Dunlap,Gwendolyn S</v>
          </cell>
          <cell r="C5790">
            <v>45.89</v>
          </cell>
        </row>
        <row r="5791">
          <cell r="B5791" t="str">
            <v>Compton,Elizabeth F</v>
          </cell>
          <cell r="C5791">
            <v>37.218299999999999</v>
          </cell>
        </row>
        <row r="5792">
          <cell r="B5792" t="str">
            <v>Eppler,Joseph A</v>
          </cell>
          <cell r="C5792">
            <v>21</v>
          </cell>
        </row>
        <row r="5793">
          <cell r="B5793" t="str">
            <v>Wayman,James L</v>
          </cell>
          <cell r="C5793">
            <v>129.06</v>
          </cell>
        </row>
        <row r="5794">
          <cell r="B5794" t="str">
            <v>Miller,Jay Scott</v>
          </cell>
          <cell r="C5794">
            <v>60.59</v>
          </cell>
        </row>
        <row r="5795">
          <cell r="B5795" t="str">
            <v>Gleason,Angela B</v>
          </cell>
          <cell r="C5795">
            <v>19.510000000000002</v>
          </cell>
        </row>
        <row r="5796">
          <cell r="B5796" t="str">
            <v>Baker,Charlene</v>
          </cell>
          <cell r="C5796">
            <v>28.85</v>
          </cell>
        </row>
        <row r="5797">
          <cell r="B5797" t="str">
            <v>Brooks II,David G</v>
          </cell>
          <cell r="C5797">
            <v>22.22</v>
          </cell>
        </row>
        <row r="5798">
          <cell r="B5798" t="str">
            <v>March,Jeffery A</v>
          </cell>
          <cell r="C5798">
            <v>18.53</v>
          </cell>
        </row>
        <row r="5799">
          <cell r="B5799" t="str">
            <v>Carlson,Ryan J</v>
          </cell>
          <cell r="C5799">
            <v>15</v>
          </cell>
        </row>
        <row r="5800">
          <cell r="B5800" t="str">
            <v>Bailey,Rikevea L</v>
          </cell>
          <cell r="C5800">
            <v>21.64</v>
          </cell>
        </row>
        <row r="5801">
          <cell r="B5801" t="str">
            <v>Blessinger,Abdul I</v>
          </cell>
          <cell r="C5801">
            <v>19.25</v>
          </cell>
        </row>
        <row r="5802">
          <cell r="B5802" t="str">
            <v>Folsom,Robin L</v>
          </cell>
          <cell r="C5802">
            <v>25.782800000000002</v>
          </cell>
        </row>
        <row r="5803">
          <cell r="B5803" t="str">
            <v>Smith,Robert V</v>
          </cell>
          <cell r="C5803">
            <v>34.25</v>
          </cell>
        </row>
        <row r="5804">
          <cell r="B5804" t="str">
            <v>Holson,Cynthia L</v>
          </cell>
          <cell r="C5804">
            <v>47.271633999999999</v>
          </cell>
        </row>
        <row r="5805">
          <cell r="B5805" t="str">
            <v>Jason,David D</v>
          </cell>
          <cell r="C5805">
            <v>22</v>
          </cell>
        </row>
        <row r="5806">
          <cell r="B5806" t="str">
            <v>Dowdel,Cherita</v>
          </cell>
          <cell r="C5806">
            <v>22.5</v>
          </cell>
        </row>
        <row r="5807">
          <cell r="B5807" t="str">
            <v>Draugelis,Allen J</v>
          </cell>
          <cell r="C5807">
            <v>45.66</v>
          </cell>
        </row>
        <row r="5808">
          <cell r="B5808" t="str">
            <v>McGuire,Dion O</v>
          </cell>
          <cell r="C5808">
            <v>17.600000000000001</v>
          </cell>
        </row>
        <row r="5809">
          <cell r="B5809" t="str">
            <v>Ham,Donna B</v>
          </cell>
          <cell r="C5809">
            <v>31.26</v>
          </cell>
        </row>
        <row r="5810">
          <cell r="B5810" t="str">
            <v>Berget,Christopher D</v>
          </cell>
          <cell r="C5810">
            <v>35.03</v>
          </cell>
        </row>
        <row r="5811">
          <cell r="B5811" t="str">
            <v>Marshall,Lawrence A</v>
          </cell>
          <cell r="C5811">
            <v>34.82</v>
          </cell>
        </row>
        <row r="5812">
          <cell r="B5812" t="str">
            <v>Arzate,Amilcar</v>
          </cell>
          <cell r="C5812">
            <v>20.399999999999999</v>
          </cell>
        </row>
        <row r="5813">
          <cell r="B5813" t="str">
            <v>Wilson,Stephen M</v>
          </cell>
          <cell r="C5813">
            <v>43.27</v>
          </cell>
        </row>
        <row r="5814">
          <cell r="B5814" t="str">
            <v>Wetherill,Steele</v>
          </cell>
          <cell r="C5814">
            <v>74.52</v>
          </cell>
        </row>
        <row r="5815">
          <cell r="B5815" t="str">
            <v>Johnson,James L</v>
          </cell>
          <cell r="C5815">
            <v>41.05</v>
          </cell>
        </row>
        <row r="5816">
          <cell r="B5816" t="str">
            <v>Jablow,Eric R</v>
          </cell>
          <cell r="C5816">
            <v>67.52</v>
          </cell>
        </row>
        <row r="5817">
          <cell r="B5817" t="str">
            <v>Newman,Jeremiah D</v>
          </cell>
          <cell r="C5817">
            <v>46.55</v>
          </cell>
        </row>
        <row r="5818">
          <cell r="B5818" t="str">
            <v>Mahimer,William Frederick P</v>
          </cell>
          <cell r="C5818">
            <v>32.72</v>
          </cell>
        </row>
        <row r="5819">
          <cell r="B5819" t="str">
            <v>Robey,Jill N</v>
          </cell>
          <cell r="C5819">
            <v>23.08</v>
          </cell>
        </row>
        <row r="5820">
          <cell r="B5820" t="str">
            <v>Wallace,Karen M</v>
          </cell>
          <cell r="C5820">
            <v>23.24</v>
          </cell>
        </row>
        <row r="5821">
          <cell r="B5821" t="str">
            <v>Husar,John P</v>
          </cell>
          <cell r="C5821">
            <v>58</v>
          </cell>
        </row>
        <row r="5822">
          <cell r="B5822" t="str">
            <v>Stevens,Zachary D</v>
          </cell>
          <cell r="C5822">
            <v>28.37</v>
          </cell>
        </row>
        <row r="5823">
          <cell r="B5823" t="str">
            <v>Benso,Michael E</v>
          </cell>
          <cell r="C5823">
            <v>50.49</v>
          </cell>
        </row>
        <row r="5824">
          <cell r="B5824" t="str">
            <v>Loder,Brian D</v>
          </cell>
          <cell r="C5824">
            <v>32.21</v>
          </cell>
        </row>
        <row r="5825">
          <cell r="B5825" t="str">
            <v>Kerrick,Allan B</v>
          </cell>
          <cell r="C5825">
            <v>30</v>
          </cell>
        </row>
        <row r="5826">
          <cell r="B5826" t="str">
            <v>Smith,Daniel E</v>
          </cell>
          <cell r="C5826">
            <v>59.86</v>
          </cell>
        </row>
        <row r="5827">
          <cell r="B5827" t="str">
            <v>Martinez,Johnny R</v>
          </cell>
          <cell r="C5827">
            <v>19.239999999999998</v>
          </cell>
        </row>
        <row r="5828">
          <cell r="B5828" t="str">
            <v>Gehring,Carl A</v>
          </cell>
          <cell r="C5828">
            <v>16.489999999999998</v>
          </cell>
        </row>
        <row r="5829">
          <cell r="B5829" t="str">
            <v>Stevens Sr.,Michael G</v>
          </cell>
          <cell r="C5829">
            <v>20.16</v>
          </cell>
        </row>
        <row r="5830">
          <cell r="B5830" t="str">
            <v>Bylan,Elizabeth A</v>
          </cell>
          <cell r="C5830">
            <v>24.8</v>
          </cell>
        </row>
        <row r="5831">
          <cell r="B5831" t="str">
            <v>Lee,Tracey L</v>
          </cell>
          <cell r="C5831">
            <v>35.1</v>
          </cell>
        </row>
        <row r="5832">
          <cell r="B5832" t="str">
            <v>Schmitt,Barbara A</v>
          </cell>
          <cell r="C5832">
            <v>26.46</v>
          </cell>
        </row>
        <row r="5833">
          <cell r="B5833" t="str">
            <v>Prescott,Sherbourne N</v>
          </cell>
          <cell r="C5833">
            <v>50.7378</v>
          </cell>
        </row>
        <row r="5834">
          <cell r="B5834" t="str">
            <v>Nguyen,Thuy L</v>
          </cell>
          <cell r="C5834">
            <v>49.46</v>
          </cell>
        </row>
        <row r="5835">
          <cell r="B5835" t="str">
            <v>Hammar,Michael C</v>
          </cell>
          <cell r="C5835">
            <v>57.28</v>
          </cell>
        </row>
        <row r="5836">
          <cell r="B5836" t="str">
            <v>Trude,Christopher J</v>
          </cell>
          <cell r="C5836">
            <v>24.52</v>
          </cell>
        </row>
        <row r="5837">
          <cell r="B5837" t="str">
            <v>Moreira,Daniel P</v>
          </cell>
          <cell r="C5837">
            <v>37.71</v>
          </cell>
        </row>
        <row r="5838">
          <cell r="B5838" t="str">
            <v>Clouse,Mark A</v>
          </cell>
          <cell r="C5838">
            <v>35.08</v>
          </cell>
        </row>
        <row r="5839">
          <cell r="B5839" t="str">
            <v>Rafael,Judy T</v>
          </cell>
          <cell r="C5839">
            <v>22.68</v>
          </cell>
        </row>
        <row r="5840">
          <cell r="B5840" t="str">
            <v>Clifton,Jeff E</v>
          </cell>
          <cell r="C5840">
            <v>52.89</v>
          </cell>
        </row>
        <row r="5841">
          <cell r="B5841" t="str">
            <v>Gurney,Donald L</v>
          </cell>
          <cell r="C5841">
            <v>64.938100000000006</v>
          </cell>
        </row>
        <row r="5842">
          <cell r="B5842" t="str">
            <v>Hillis,Richard G</v>
          </cell>
          <cell r="C5842">
            <v>21.5</v>
          </cell>
        </row>
        <row r="5843">
          <cell r="B5843" t="str">
            <v>Johnson,Russell C</v>
          </cell>
          <cell r="C5843">
            <v>32.420499999999997</v>
          </cell>
        </row>
        <row r="5844">
          <cell r="B5844" t="str">
            <v>Halbach,Douglas N</v>
          </cell>
          <cell r="C5844">
            <v>30.4648</v>
          </cell>
        </row>
        <row r="5845">
          <cell r="B5845" t="str">
            <v>Bullington,Jeffery S</v>
          </cell>
          <cell r="C5845">
            <v>26.442299999999999</v>
          </cell>
        </row>
        <row r="5846">
          <cell r="B5846" t="str">
            <v>Caporrino,Michael</v>
          </cell>
          <cell r="C5846">
            <v>44.47</v>
          </cell>
        </row>
        <row r="5847">
          <cell r="B5847" t="str">
            <v>Azul,Gerald F</v>
          </cell>
          <cell r="C5847">
            <v>22.32</v>
          </cell>
        </row>
        <row r="5848">
          <cell r="B5848" t="str">
            <v>Rey,Donald R</v>
          </cell>
          <cell r="C5848">
            <v>27.84</v>
          </cell>
        </row>
        <row r="5849">
          <cell r="B5849" t="str">
            <v>Vicente,Rodney C</v>
          </cell>
          <cell r="C5849">
            <v>18</v>
          </cell>
        </row>
        <row r="5850">
          <cell r="B5850" t="str">
            <v>Esprit,Bertrand</v>
          </cell>
          <cell r="C5850">
            <v>20.25</v>
          </cell>
        </row>
        <row r="5851">
          <cell r="B5851" t="str">
            <v>Sutton,David B</v>
          </cell>
          <cell r="C5851">
            <v>21.3</v>
          </cell>
        </row>
        <row r="5852">
          <cell r="B5852" t="str">
            <v>Bruey,Wayne F</v>
          </cell>
          <cell r="C5852">
            <v>21.73</v>
          </cell>
        </row>
        <row r="5853">
          <cell r="B5853" t="str">
            <v>McMurray,Keith</v>
          </cell>
          <cell r="C5853">
            <v>22.66</v>
          </cell>
        </row>
        <row r="5854">
          <cell r="B5854" t="str">
            <v>Hampson,Michael N</v>
          </cell>
          <cell r="C5854">
            <v>64.900000000000006</v>
          </cell>
        </row>
        <row r="5855">
          <cell r="B5855" t="str">
            <v>Aytac,Sebahattin</v>
          </cell>
          <cell r="C5855">
            <v>20.67</v>
          </cell>
        </row>
        <row r="5856">
          <cell r="B5856" t="str">
            <v>Carpenter,Candy K</v>
          </cell>
          <cell r="C5856">
            <v>16.09</v>
          </cell>
        </row>
        <row r="5857">
          <cell r="B5857" t="str">
            <v>Wright,Emanuel</v>
          </cell>
          <cell r="C5857">
            <v>40.869999999999997</v>
          </cell>
        </row>
        <row r="5858">
          <cell r="B5858" t="str">
            <v>Norris,Eddie L</v>
          </cell>
          <cell r="C5858">
            <v>53.56</v>
          </cell>
        </row>
        <row r="5859">
          <cell r="B5859" t="str">
            <v>Jones,Velma M</v>
          </cell>
          <cell r="C5859">
            <v>21.64</v>
          </cell>
        </row>
        <row r="5860">
          <cell r="B5860" t="str">
            <v>Byrd,Anthony D</v>
          </cell>
          <cell r="C5860">
            <v>19.809999999999999</v>
          </cell>
        </row>
        <row r="5861">
          <cell r="B5861" t="str">
            <v>Jones,Brandon Q</v>
          </cell>
          <cell r="C5861">
            <v>16.260000000000002</v>
          </cell>
        </row>
        <row r="5862">
          <cell r="B5862" t="str">
            <v>Hartley,John W</v>
          </cell>
          <cell r="C5862">
            <v>26.43</v>
          </cell>
        </row>
        <row r="5863">
          <cell r="B5863" t="str">
            <v>Harter,Jeffrey D</v>
          </cell>
          <cell r="C5863">
            <v>15.92</v>
          </cell>
        </row>
        <row r="5864">
          <cell r="B5864" t="str">
            <v>Harvey,LaWanna T</v>
          </cell>
          <cell r="C5864">
            <v>28</v>
          </cell>
        </row>
        <row r="5865">
          <cell r="B5865" t="str">
            <v>Brown,Jerome</v>
          </cell>
          <cell r="C5865">
            <v>45.120100000000001</v>
          </cell>
        </row>
        <row r="5866">
          <cell r="B5866" t="str">
            <v>Gettler,Kathleen R</v>
          </cell>
          <cell r="C5866">
            <v>22.68</v>
          </cell>
        </row>
        <row r="5867">
          <cell r="B5867" t="str">
            <v>Ducre,David</v>
          </cell>
          <cell r="C5867">
            <v>19.25</v>
          </cell>
        </row>
        <row r="5868">
          <cell r="B5868" t="str">
            <v>Burroughs,Michael W</v>
          </cell>
          <cell r="C5868">
            <v>20.97</v>
          </cell>
        </row>
        <row r="5869">
          <cell r="B5869" t="str">
            <v>Greenwell,Brenda L</v>
          </cell>
          <cell r="C5869">
            <v>19.84</v>
          </cell>
        </row>
        <row r="5870">
          <cell r="B5870" t="str">
            <v>Fraser,Sean K</v>
          </cell>
          <cell r="C5870">
            <v>22.69</v>
          </cell>
        </row>
        <row r="5871">
          <cell r="B5871" t="str">
            <v>Omar,Jon C</v>
          </cell>
          <cell r="C5871">
            <v>19.649999999999999</v>
          </cell>
        </row>
        <row r="5872">
          <cell r="B5872" t="str">
            <v>Walrath,Richard G</v>
          </cell>
          <cell r="C5872">
            <v>23.09</v>
          </cell>
        </row>
        <row r="5873">
          <cell r="B5873" t="str">
            <v>Burns,Phillip E</v>
          </cell>
          <cell r="C5873">
            <v>38.450000000000003</v>
          </cell>
        </row>
        <row r="5874">
          <cell r="B5874" t="str">
            <v>Cole,Connie</v>
          </cell>
          <cell r="C5874">
            <v>44.73</v>
          </cell>
        </row>
        <row r="5875">
          <cell r="B5875" t="str">
            <v>Bopes,Sandra A</v>
          </cell>
          <cell r="C5875">
            <v>23.73</v>
          </cell>
        </row>
        <row r="5876">
          <cell r="B5876" t="str">
            <v>Parker,Darrell</v>
          </cell>
          <cell r="C5876">
            <v>16.89</v>
          </cell>
        </row>
        <row r="5877">
          <cell r="B5877" t="str">
            <v>Zandarski,Gerald C</v>
          </cell>
          <cell r="C5877">
            <v>17.78</v>
          </cell>
        </row>
        <row r="5878">
          <cell r="B5878" t="str">
            <v>Martin,Christopher R</v>
          </cell>
          <cell r="C5878">
            <v>44.51</v>
          </cell>
        </row>
        <row r="5879">
          <cell r="B5879" t="str">
            <v>Laczko,Daniel J</v>
          </cell>
          <cell r="C5879">
            <v>41.421100000000003</v>
          </cell>
        </row>
        <row r="5880">
          <cell r="B5880" t="str">
            <v>Fabian,Scott C</v>
          </cell>
          <cell r="C5880">
            <v>36.43</v>
          </cell>
        </row>
        <row r="5881">
          <cell r="B5881" t="str">
            <v>Brownell,Brian D</v>
          </cell>
          <cell r="C5881">
            <v>43.23</v>
          </cell>
        </row>
        <row r="5882">
          <cell r="B5882" t="str">
            <v>Holt,Karen K</v>
          </cell>
          <cell r="C5882">
            <v>40.18</v>
          </cell>
        </row>
        <row r="5883">
          <cell r="B5883" t="str">
            <v>Bruggemann,Scott W</v>
          </cell>
          <cell r="C5883">
            <v>40.869999999999997</v>
          </cell>
        </row>
        <row r="5884">
          <cell r="B5884" t="str">
            <v>Smith,Tommy L</v>
          </cell>
          <cell r="C5884">
            <v>15.49</v>
          </cell>
        </row>
        <row r="5885">
          <cell r="B5885" t="str">
            <v>Shawl,Haris A</v>
          </cell>
          <cell r="C5885">
            <v>29.81</v>
          </cell>
        </row>
        <row r="5886">
          <cell r="B5886" t="str">
            <v>Moore,Billy</v>
          </cell>
          <cell r="C5886">
            <v>21.7</v>
          </cell>
        </row>
        <row r="5887">
          <cell r="B5887" t="str">
            <v>Forth,Charles R</v>
          </cell>
          <cell r="C5887">
            <v>46.48</v>
          </cell>
        </row>
        <row r="5888">
          <cell r="B5888" t="str">
            <v>Swimm,Randall T</v>
          </cell>
          <cell r="C5888">
            <v>55.068899999999999</v>
          </cell>
        </row>
        <row r="5889">
          <cell r="B5889" t="str">
            <v>Reichel,Dan H</v>
          </cell>
          <cell r="C5889">
            <v>54.113999999999997</v>
          </cell>
        </row>
        <row r="5890">
          <cell r="B5890" t="str">
            <v>Hearding,David W</v>
          </cell>
          <cell r="C5890">
            <v>107.113</v>
          </cell>
        </row>
        <row r="5891">
          <cell r="B5891" t="str">
            <v>Baskoy,Serpil</v>
          </cell>
          <cell r="C5891">
            <v>10.48</v>
          </cell>
        </row>
        <row r="5892">
          <cell r="B5892" t="str">
            <v>Adams,Bryan K</v>
          </cell>
          <cell r="C5892">
            <v>77.430800000000005</v>
          </cell>
        </row>
        <row r="5893">
          <cell r="B5893" t="str">
            <v>Cruz,Jose A</v>
          </cell>
          <cell r="C5893">
            <v>21</v>
          </cell>
        </row>
        <row r="5894">
          <cell r="B5894" t="str">
            <v>Hodies,Marc D</v>
          </cell>
          <cell r="C5894">
            <v>85.83</v>
          </cell>
        </row>
        <row r="5895">
          <cell r="B5895" t="str">
            <v>Berman,Benjamin E</v>
          </cell>
          <cell r="C5895">
            <v>42.09</v>
          </cell>
        </row>
        <row r="5896">
          <cell r="B5896" t="str">
            <v>Broadway,Jillian M</v>
          </cell>
          <cell r="C5896">
            <v>45.192399999999999</v>
          </cell>
        </row>
        <row r="5897">
          <cell r="B5897" t="str">
            <v>Fish,Michael J</v>
          </cell>
          <cell r="C5897">
            <v>27.92</v>
          </cell>
        </row>
        <row r="5898">
          <cell r="B5898" t="str">
            <v>Campbell,Dedric T</v>
          </cell>
          <cell r="C5898">
            <v>25.61</v>
          </cell>
        </row>
        <row r="5899">
          <cell r="B5899" t="str">
            <v>Foster,Kirk L</v>
          </cell>
          <cell r="C5899">
            <v>64.900000000000006</v>
          </cell>
        </row>
        <row r="5900">
          <cell r="B5900" t="str">
            <v>Durant,Roger J</v>
          </cell>
          <cell r="C5900">
            <v>21.2</v>
          </cell>
        </row>
        <row r="5901">
          <cell r="B5901" t="str">
            <v>Warwick,Patricia</v>
          </cell>
          <cell r="C5901">
            <v>17.920000000000002</v>
          </cell>
        </row>
        <row r="5902">
          <cell r="B5902" t="str">
            <v>Gaboriault,Brandon M</v>
          </cell>
          <cell r="C5902">
            <v>18.690000000000001</v>
          </cell>
        </row>
        <row r="5903">
          <cell r="B5903" t="str">
            <v>Harrison,Richard B</v>
          </cell>
          <cell r="C5903">
            <v>53.13</v>
          </cell>
        </row>
        <row r="5904">
          <cell r="B5904" t="str">
            <v>Donohue,Emily J</v>
          </cell>
          <cell r="C5904">
            <v>31.77</v>
          </cell>
        </row>
        <row r="5905">
          <cell r="B5905" t="str">
            <v>Nichols,Steven E</v>
          </cell>
          <cell r="C5905">
            <v>62.09</v>
          </cell>
        </row>
        <row r="5906">
          <cell r="B5906" t="str">
            <v>Furman,Lisa R</v>
          </cell>
          <cell r="C5906">
            <v>32.19</v>
          </cell>
        </row>
        <row r="5907">
          <cell r="B5907" t="str">
            <v>Rojas Castro,Ernesto</v>
          </cell>
          <cell r="C5907">
            <v>23.68</v>
          </cell>
        </row>
        <row r="5908">
          <cell r="B5908" t="str">
            <v>Luevano,Justin K</v>
          </cell>
          <cell r="C5908">
            <v>24.15</v>
          </cell>
        </row>
        <row r="5909">
          <cell r="B5909" t="str">
            <v>Pahdocony,Billy A</v>
          </cell>
          <cell r="C5909">
            <v>15.26</v>
          </cell>
        </row>
        <row r="5910">
          <cell r="B5910" t="str">
            <v>Coleman,Donald D</v>
          </cell>
          <cell r="C5910">
            <v>20.9</v>
          </cell>
        </row>
        <row r="5911">
          <cell r="B5911" t="str">
            <v>Forbes,Herman P</v>
          </cell>
          <cell r="C5911">
            <v>43.33</v>
          </cell>
        </row>
        <row r="5912">
          <cell r="B5912" t="str">
            <v>Mansfield,Mary L</v>
          </cell>
          <cell r="C5912">
            <v>48.08</v>
          </cell>
        </row>
        <row r="5913">
          <cell r="B5913" t="str">
            <v>Fetzer,Joshua D</v>
          </cell>
          <cell r="C5913">
            <v>19.440000000000001</v>
          </cell>
        </row>
        <row r="5914">
          <cell r="B5914" t="str">
            <v>Leon Guerrero,Russell M</v>
          </cell>
          <cell r="C5914">
            <v>23.18</v>
          </cell>
        </row>
        <row r="5915">
          <cell r="B5915" t="str">
            <v>Camacho,Edward J</v>
          </cell>
          <cell r="C5915">
            <v>22.93</v>
          </cell>
        </row>
        <row r="5916">
          <cell r="B5916" t="str">
            <v>Young,Thomas M</v>
          </cell>
          <cell r="C5916">
            <v>39.72</v>
          </cell>
        </row>
        <row r="5917">
          <cell r="B5917" t="str">
            <v>Nguyen,Uyen K</v>
          </cell>
          <cell r="C5917">
            <v>32.22</v>
          </cell>
        </row>
        <row r="5918">
          <cell r="B5918" t="str">
            <v>Wright,Robert M</v>
          </cell>
          <cell r="C5918">
            <v>21.71</v>
          </cell>
        </row>
        <row r="5919">
          <cell r="B5919" t="str">
            <v>Arthurton,Donna M</v>
          </cell>
          <cell r="C5919">
            <v>16.579999999999998</v>
          </cell>
        </row>
        <row r="5920">
          <cell r="B5920" t="str">
            <v>Ferrara,Andrew S</v>
          </cell>
          <cell r="C5920">
            <v>15.62</v>
          </cell>
        </row>
        <row r="5921">
          <cell r="B5921" t="str">
            <v>Wahl,Robert A</v>
          </cell>
          <cell r="C5921">
            <v>33.326999999999998</v>
          </cell>
        </row>
        <row r="5922">
          <cell r="B5922" t="str">
            <v>Lillie,David D</v>
          </cell>
          <cell r="C5922">
            <v>45.865000000000002</v>
          </cell>
        </row>
        <row r="5923">
          <cell r="B5923" t="str">
            <v>Hoye,Michael W</v>
          </cell>
          <cell r="C5923">
            <v>56.38</v>
          </cell>
        </row>
        <row r="5924">
          <cell r="B5924" t="str">
            <v>Garcia-Leon,Brenda D</v>
          </cell>
          <cell r="C5924">
            <v>35.58</v>
          </cell>
        </row>
        <row r="5925">
          <cell r="B5925" t="str">
            <v>Whatley,Matthew C</v>
          </cell>
          <cell r="C5925">
            <v>50.49</v>
          </cell>
        </row>
        <row r="5926">
          <cell r="B5926" t="str">
            <v>Cruz-Rivera,Luis J</v>
          </cell>
          <cell r="C5926">
            <v>58.74</v>
          </cell>
        </row>
        <row r="5927">
          <cell r="B5927" t="str">
            <v>Burton,Melissa R</v>
          </cell>
          <cell r="C5927">
            <v>20.65</v>
          </cell>
        </row>
        <row r="5928">
          <cell r="B5928" t="str">
            <v>Gross,Justin C</v>
          </cell>
          <cell r="C5928">
            <v>21.44</v>
          </cell>
        </row>
        <row r="5929">
          <cell r="B5929" t="str">
            <v>Clouse,Tristan A</v>
          </cell>
          <cell r="C5929">
            <v>34.856099999999998</v>
          </cell>
        </row>
        <row r="5930">
          <cell r="B5930" t="str">
            <v>Hill,Brian E.</v>
          </cell>
          <cell r="C5930">
            <v>24.83</v>
          </cell>
        </row>
        <row r="5931">
          <cell r="B5931" t="str">
            <v>Andrews,Wanda L</v>
          </cell>
          <cell r="C5931">
            <v>20</v>
          </cell>
        </row>
        <row r="5932">
          <cell r="B5932" t="str">
            <v>Gonzales,Matthew B</v>
          </cell>
          <cell r="C5932">
            <v>21.03</v>
          </cell>
        </row>
        <row r="5933">
          <cell r="B5933" t="str">
            <v>Ambat,Elmer M</v>
          </cell>
          <cell r="C5933">
            <v>21.24</v>
          </cell>
        </row>
        <row r="5934">
          <cell r="B5934" t="str">
            <v>Estorga,Alejandro</v>
          </cell>
          <cell r="C5934">
            <v>84.31</v>
          </cell>
        </row>
        <row r="5935">
          <cell r="B5935" t="str">
            <v>Noureddine,Connie</v>
          </cell>
          <cell r="C5935">
            <v>16.57</v>
          </cell>
        </row>
        <row r="5936">
          <cell r="B5936" t="str">
            <v>Chambers,Laura B</v>
          </cell>
          <cell r="C5936">
            <v>26.914400000000001</v>
          </cell>
        </row>
        <row r="5937">
          <cell r="B5937" t="str">
            <v>Couples,Mattie G</v>
          </cell>
          <cell r="C5937">
            <v>49.62</v>
          </cell>
        </row>
        <row r="5938">
          <cell r="B5938" t="str">
            <v>Shapiro,David M</v>
          </cell>
          <cell r="C5938">
            <v>24</v>
          </cell>
        </row>
        <row r="5939">
          <cell r="B5939" t="str">
            <v>Piatti,Brent M</v>
          </cell>
          <cell r="C5939">
            <v>21</v>
          </cell>
        </row>
        <row r="5940">
          <cell r="B5940" t="str">
            <v>Josselyn,Zachary I</v>
          </cell>
          <cell r="C5940">
            <v>68.8</v>
          </cell>
        </row>
        <row r="5941">
          <cell r="B5941" t="str">
            <v>Robinson,William D</v>
          </cell>
          <cell r="C5941">
            <v>16.2</v>
          </cell>
        </row>
        <row r="5942">
          <cell r="B5942" t="str">
            <v>Atkins Sr.,Curtis</v>
          </cell>
          <cell r="C5942">
            <v>18</v>
          </cell>
        </row>
        <row r="5943">
          <cell r="B5943" t="str">
            <v>Evans,Larry C</v>
          </cell>
          <cell r="C5943">
            <v>23.4</v>
          </cell>
        </row>
        <row r="5944">
          <cell r="B5944" t="str">
            <v>Blizzard Jr.,Gilbert F</v>
          </cell>
          <cell r="C5944">
            <v>19.350000000000001</v>
          </cell>
        </row>
        <row r="5945">
          <cell r="B5945" t="str">
            <v>Mosqueda,John T</v>
          </cell>
          <cell r="C5945">
            <v>20.89</v>
          </cell>
        </row>
        <row r="5946">
          <cell r="B5946" t="str">
            <v>Montgomery,Matthew E</v>
          </cell>
          <cell r="C5946">
            <v>21.06</v>
          </cell>
        </row>
        <row r="5947">
          <cell r="B5947" t="str">
            <v>Barksdale,Sandra A</v>
          </cell>
          <cell r="C5947">
            <v>31.35</v>
          </cell>
        </row>
        <row r="5948">
          <cell r="B5948" t="str">
            <v>Molina,Joseph R</v>
          </cell>
          <cell r="C5948">
            <v>88.95</v>
          </cell>
        </row>
        <row r="5949">
          <cell r="B5949" t="str">
            <v>Osberg,Jeffrey B</v>
          </cell>
          <cell r="C5949">
            <v>48.08</v>
          </cell>
        </row>
        <row r="5950">
          <cell r="B5950" t="str">
            <v>Mosiman,Justin T</v>
          </cell>
          <cell r="C5950">
            <v>39.92</v>
          </cell>
        </row>
        <row r="5951">
          <cell r="B5951" t="str">
            <v>Mattison,Keith A</v>
          </cell>
          <cell r="C5951">
            <v>16.09</v>
          </cell>
        </row>
        <row r="5952">
          <cell r="B5952" t="str">
            <v>Rivera,Camilo</v>
          </cell>
          <cell r="C5952">
            <v>25.39</v>
          </cell>
        </row>
        <row r="5953">
          <cell r="B5953" t="str">
            <v>LeCour,Michael P</v>
          </cell>
          <cell r="C5953">
            <v>28.5</v>
          </cell>
        </row>
        <row r="5954">
          <cell r="B5954" t="str">
            <v>Kleve,Sharon R</v>
          </cell>
          <cell r="C5954">
            <v>23.89</v>
          </cell>
        </row>
        <row r="5955">
          <cell r="B5955" t="str">
            <v>Zapp,Stephen M</v>
          </cell>
          <cell r="C5955">
            <v>54.2881</v>
          </cell>
        </row>
        <row r="5956">
          <cell r="B5956" t="str">
            <v>Ebner,Kathleen A</v>
          </cell>
          <cell r="C5956">
            <v>45.68</v>
          </cell>
        </row>
        <row r="5957">
          <cell r="B5957" t="str">
            <v>Hunt,Emily P</v>
          </cell>
          <cell r="C5957">
            <v>24.9</v>
          </cell>
        </row>
        <row r="5958">
          <cell r="B5958" t="str">
            <v>Bianco,Arthur J</v>
          </cell>
          <cell r="C5958">
            <v>87.691699999999997</v>
          </cell>
        </row>
        <row r="5959">
          <cell r="B5959" t="str">
            <v>Kmec,Linda</v>
          </cell>
          <cell r="C5959">
            <v>48.08</v>
          </cell>
        </row>
        <row r="5960">
          <cell r="B5960" t="str">
            <v>Darden,Zachary L</v>
          </cell>
          <cell r="C5960">
            <v>19.190000000000001</v>
          </cell>
        </row>
        <row r="5961">
          <cell r="B5961" t="str">
            <v>Woo,Kenneth G</v>
          </cell>
          <cell r="C5961">
            <v>48.09</v>
          </cell>
        </row>
        <row r="5962">
          <cell r="B5962" t="str">
            <v>Tompkins,Holly L</v>
          </cell>
          <cell r="C5962">
            <v>24.047000000000001</v>
          </cell>
        </row>
        <row r="5963">
          <cell r="B5963" t="str">
            <v>Kuberry,Richard W</v>
          </cell>
          <cell r="C5963">
            <v>77.130200000000002</v>
          </cell>
        </row>
        <row r="5964">
          <cell r="B5964" t="str">
            <v>Lannigan,James P</v>
          </cell>
          <cell r="C5964">
            <v>33.659999999999997</v>
          </cell>
        </row>
        <row r="5965">
          <cell r="B5965" t="str">
            <v>Valis,Terrence J</v>
          </cell>
          <cell r="C5965">
            <v>19.75</v>
          </cell>
        </row>
        <row r="5966">
          <cell r="B5966" t="str">
            <v>Smith,Debbie V</v>
          </cell>
          <cell r="C5966">
            <v>38.588200000000001</v>
          </cell>
        </row>
        <row r="5967">
          <cell r="B5967" t="str">
            <v>Chambers,Sabrina A</v>
          </cell>
          <cell r="C5967">
            <v>27.73</v>
          </cell>
        </row>
        <row r="5968">
          <cell r="B5968" t="str">
            <v>Gerken,Christopher J</v>
          </cell>
          <cell r="C5968">
            <v>28.85</v>
          </cell>
        </row>
        <row r="5969">
          <cell r="B5969" t="str">
            <v>Lanahan Jr.,Robert J</v>
          </cell>
          <cell r="C5969">
            <v>83.623999999999995</v>
          </cell>
        </row>
        <row r="5970">
          <cell r="B5970" t="str">
            <v>LaBonte,John P</v>
          </cell>
          <cell r="C5970">
            <v>27.134899999999998</v>
          </cell>
        </row>
        <row r="5971">
          <cell r="B5971" t="str">
            <v>Vitkus,Gintautas</v>
          </cell>
          <cell r="C5971">
            <v>60.384500000000003</v>
          </cell>
        </row>
        <row r="5972">
          <cell r="B5972" t="str">
            <v>Upshaw,Jimmie</v>
          </cell>
          <cell r="C5972">
            <v>54.05</v>
          </cell>
        </row>
        <row r="5973">
          <cell r="B5973" t="str">
            <v>Behnke,David A</v>
          </cell>
          <cell r="C5973">
            <v>49.293999999999997</v>
          </cell>
        </row>
        <row r="5974">
          <cell r="B5974" t="str">
            <v>Thomas,Merrill L</v>
          </cell>
          <cell r="C5974">
            <v>44.6</v>
          </cell>
        </row>
        <row r="5975">
          <cell r="B5975" t="str">
            <v>Correa-Feliciano,Angel L</v>
          </cell>
          <cell r="C5975">
            <v>23.74</v>
          </cell>
        </row>
        <row r="5976">
          <cell r="B5976" t="str">
            <v>Steve,Jason R</v>
          </cell>
          <cell r="C5976">
            <v>34.065300000000001</v>
          </cell>
        </row>
        <row r="5977">
          <cell r="B5977" t="str">
            <v>Seckel,Joshua A</v>
          </cell>
          <cell r="C5977">
            <v>48.75</v>
          </cell>
        </row>
        <row r="5978">
          <cell r="B5978" t="str">
            <v>Butler Jr.,Carl E</v>
          </cell>
          <cell r="C5978">
            <v>21.84</v>
          </cell>
        </row>
        <row r="5979">
          <cell r="B5979" t="str">
            <v>Faithful III,Fred L</v>
          </cell>
          <cell r="C5979">
            <v>45.27</v>
          </cell>
        </row>
        <row r="5980">
          <cell r="B5980" t="str">
            <v>Gary,Sylvester L</v>
          </cell>
          <cell r="C5980">
            <v>19.5</v>
          </cell>
        </row>
        <row r="5981">
          <cell r="B5981" t="str">
            <v>Anderson,Edward L</v>
          </cell>
          <cell r="C5981">
            <v>20.96</v>
          </cell>
        </row>
        <row r="5982">
          <cell r="B5982" t="str">
            <v>Barnard,Robert E</v>
          </cell>
          <cell r="C5982">
            <v>49.75</v>
          </cell>
        </row>
        <row r="5983">
          <cell r="B5983" t="str">
            <v>Colby,Kenneth G</v>
          </cell>
          <cell r="C5983">
            <v>60</v>
          </cell>
        </row>
        <row r="5984">
          <cell r="B5984" t="str">
            <v>Laney,Sheli E</v>
          </cell>
          <cell r="C5984">
            <v>26.45</v>
          </cell>
        </row>
        <row r="5985">
          <cell r="B5985" t="str">
            <v>Osborne,Kenneth L</v>
          </cell>
          <cell r="C5985">
            <v>33.659999999999997</v>
          </cell>
        </row>
        <row r="5986">
          <cell r="B5986" t="str">
            <v>Linen,Tarrick</v>
          </cell>
          <cell r="C5986">
            <v>17</v>
          </cell>
        </row>
        <row r="5987">
          <cell r="B5987" t="str">
            <v>Salemi Jr.,Joseph E</v>
          </cell>
          <cell r="C5987">
            <v>28.13</v>
          </cell>
        </row>
        <row r="5988">
          <cell r="B5988" t="str">
            <v>Blair,Michael J</v>
          </cell>
          <cell r="C5988">
            <v>67.303399999999996</v>
          </cell>
        </row>
        <row r="5989">
          <cell r="B5989" t="str">
            <v>Royster,Kyle E</v>
          </cell>
          <cell r="C5989">
            <v>41.827199999999998</v>
          </cell>
        </row>
        <row r="5990">
          <cell r="B5990" t="str">
            <v>St Louis,Nancy L</v>
          </cell>
          <cell r="C5990">
            <v>75.040000000000006</v>
          </cell>
        </row>
        <row r="5991">
          <cell r="B5991" t="str">
            <v>Gray,Anissa C</v>
          </cell>
          <cell r="C5991">
            <v>22.02</v>
          </cell>
        </row>
        <row r="5992">
          <cell r="B5992" t="str">
            <v>McNeal,Brian A</v>
          </cell>
          <cell r="C5992">
            <v>41.11</v>
          </cell>
        </row>
        <row r="5993">
          <cell r="B5993" t="str">
            <v>Ramirez,David</v>
          </cell>
          <cell r="C5993">
            <v>20.22</v>
          </cell>
        </row>
        <row r="5994">
          <cell r="B5994" t="str">
            <v>Simon,Girair L</v>
          </cell>
          <cell r="C5994">
            <v>34.24</v>
          </cell>
        </row>
        <row r="5995">
          <cell r="B5995" t="str">
            <v>Roman,Julio J</v>
          </cell>
          <cell r="C5995">
            <v>42</v>
          </cell>
        </row>
        <row r="5996">
          <cell r="B5996" t="str">
            <v>Wiley Sr.,Kenneth E</v>
          </cell>
          <cell r="C5996">
            <v>20</v>
          </cell>
        </row>
        <row r="5997">
          <cell r="B5997" t="str">
            <v>McGovern,Mark W</v>
          </cell>
          <cell r="C5997">
            <v>44.57</v>
          </cell>
        </row>
        <row r="5998">
          <cell r="B5998" t="str">
            <v>Bramlett,Russell A</v>
          </cell>
          <cell r="C5998">
            <v>16.47</v>
          </cell>
        </row>
        <row r="5999">
          <cell r="B5999" t="str">
            <v>Pinon,Edward M</v>
          </cell>
          <cell r="C5999">
            <v>18.03</v>
          </cell>
        </row>
        <row r="6000">
          <cell r="B6000" t="str">
            <v>Lang,Cynthia E</v>
          </cell>
          <cell r="C6000">
            <v>30.4648</v>
          </cell>
        </row>
        <row r="6001">
          <cell r="B6001" t="str">
            <v>Ridgway,Robert P</v>
          </cell>
          <cell r="C6001">
            <v>41.09</v>
          </cell>
        </row>
        <row r="6002">
          <cell r="B6002" t="str">
            <v>Hackett,Ronald D</v>
          </cell>
          <cell r="C6002">
            <v>64.16</v>
          </cell>
        </row>
        <row r="6003">
          <cell r="B6003" t="str">
            <v>Masseh,Imad J</v>
          </cell>
          <cell r="C6003">
            <v>40</v>
          </cell>
        </row>
        <row r="6004">
          <cell r="B6004" t="str">
            <v>Tooze,Sean</v>
          </cell>
          <cell r="C6004">
            <v>50</v>
          </cell>
        </row>
        <row r="6005">
          <cell r="B6005" t="str">
            <v>Blanchard,Timothy P</v>
          </cell>
          <cell r="C6005">
            <v>25.961600000000001</v>
          </cell>
        </row>
        <row r="6006">
          <cell r="B6006" t="str">
            <v>Strickland,Aremy G</v>
          </cell>
          <cell r="C6006">
            <v>35.57</v>
          </cell>
        </row>
        <row r="6007">
          <cell r="B6007" t="str">
            <v>De La Cruz,Carlos</v>
          </cell>
          <cell r="C6007">
            <v>47.759</v>
          </cell>
        </row>
        <row r="6008">
          <cell r="B6008" t="str">
            <v>Ruiz,Mireya</v>
          </cell>
          <cell r="C6008">
            <v>15.6</v>
          </cell>
        </row>
        <row r="6009">
          <cell r="B6009" t="str">
            <v>Urban,Stephen M</v>
          </cell>
          <cell r="C6009">
            <v>39.111400000000003</v>
          </cell>
        </row>
        <row r="6010">
          <cell r="B6010" t="str">
            <v>Whitley,Raymond</v>
          </cell>
          <cell r="C6010">
            <v>20.66</v>
          </cell>
        </row>
        <row r="6011">
          <cell r="B6011" t="str">
            <v>Sanderson,David J</v>
          </cell>
          <cell r="C6011">
            <v>19.25</v>
          </cell>
        </row>
        <row r="6012">
          <cell r="B6012" t="str">
            <v>Davis,Melvin</v>
          </cell>
          <cell r="C6012">
            <v>46.71</v>
          </cell>
        </row>
        <row r="6013">
          <cell r="B6013" t="str">
            <v>Robinson,Robert L</v>
          </cell>
          <cell r="C6013">
            <v>33.21</v>
          </cell>
        </row>
        <row r="6014">
          <cell r="B6014" t="str">
            <v>Baily,Arthur H</v>
          </cell>
          <cell r="C6014">
            <v>41.93</v>
          </cell>
        </row>
        <row r="6015">
          <cell r="B6015" t="str">
            <v>Pires,Thiago T</v>
          </cell>
          <cell r="C6015">
            <v>55.528799999999997</v>
          </cell>
        </row>
        <row r="6016">
          <cell r="B6016" t="str">
            <v>Koch,Larry W</v>
          </cell>
          <cell r="C6016">
            <v>30.46</v>
          </cell>
        </row>
        <row r="6017">
          <cell r="B6017" t="str">
            <v>Roberts,Richard W</v>
          </cell>
          <cell r="C6017">
            <v>48.08</v>
          </cell>
        </row>
        <row r="6018">
          <cell r="B6018" t="str">
            <v>Richards,Fitzroy A</v>
          </cell>
          <cell r="C6018">
            <v>21.36</v>
          </cell>
        </row>
        <row r="6019">
          <cell r="B6019" t="str">
            <v>Dance,Robert W</v>
          </cell>
          <cell r="C6019">
            <v>19.41</v>
          </cell>
        </row>
        <row r="6020">
          <cell r="B6020" t="str">
            <v>Ray,Leslie S</v>
          </cell>
          <cell r="C6020">
            <v>21.21</v>
          </cell>
        </row>
        <row r="6021">
          <cell r="B6021" t="str">
            <v>Browder Jr.,Thomas M</v>
          </cell>
          <cell r="C6021">
            <v>51.403500000000001</v>
          </cell>
        </row>
        <row r="6022">
          <cell r="B6022" t="str">
            <v>DiMarco Jr.,Victor V</v>
          </cell>
          <cell r="C6022">
            <v>42.132300000000001</v>
          </cell>
        </row>
        <row r="6023">
          <cell r="B6023" t="str">
            <v>McCargar,Mac H</v>
          </cell>
          <cell r="C6023">
            <v>20.9</v>
          </cell>
        </row>
        <row r="6024">
          <cell r="B6024" t="str">
            <v>Mirabel,Gregory A</v>
          </cell>
          <cell r="C6024">
            <v>27.89</v>
          </cell>
        </row>
        <row r="6025">
          <cell r="B6025" t="str">
            <v>Morris,Mindy A</v>
          </cell>
          <cell r="C6025">
            <v>21.31</v>
          </cell>
        </row>
        <row r="6026">
          <cell r="B6026" t="str">
            <v>Blakeney,James D</v>
          </cell>
          <cell r="C6026">
            <v>19.05</v>
          </cell>
        </row>
        <row r="6027">
          <cell r="B6027" t="str">
            <v>Pigman,John N</v>
          </cell>
          <cell r="C6027">
            <v>49.53</v>
          </cell>
        </row>
        <row r="6028">
          <cell r="B6028" t="str">
            <v>Tomlinson,Timothy R</v>
          </cell>
          <cell r="C6028">
            <v>26.43</v>
          </cell>
        </row>
        <row r="6029">
          <cell r="B6029" t="str">
            <v>Anderson,Jesse C</v>
          </cell>
          <cell r="C6029">
            <v>30.08</v>
          </cell>
        </row>
        <row r="6030">
          <cell r="B6030" t="str">
            <v>Jordan,Jeffrey J</v>
          </cell>
          <cell r="C6030">
            <v>28.56</v>
          </cell>
        </row>
        <row r="6031">
          <cell r="B6031" t="str">
            <v>Piotrowski,Michael J</v>
          </cell>
          <cell r="C6031">
            <v>50.341099999999997</v>
          </cell>
        </row>
        <row r="6032">
          <cell r="B6032" t="str">
            <v>Black,Iiesha L</v>
          </cell>
          <cell r="C6032">
            <v>24.84</v>
          </cell>
        </row>
        <row r="6033">
          <cell r="B6033" t="str">
            <v>Battle,Carmen M</v>
          </cell>
          <cell r="C6033">
            <v>53.4</v>
          </cell>
        </row>
        <row r="6034">
          <cell r="B6034" t="str">
            <v>Radkey,Heddy</v>
          </cell>
          <cell r="C6034">
            <v>31.2729</v>
          </cell>
        </row>
        <row r="6035">
          <cell r="B6035" t="str">
            <v>Rooney,Patrick J</v>
          </cell>
          <cell r="C6035">
            <v>37.86</v>
          </cell>
        </row>
        <row r="6036">
          <cell r="B6036" t="str">
            <v>Pressman,Robert M</v>
          </cell>
          <cell r="C6036">
            <v>24.6584</v>
          </cell>
        </row>
        <row r="6037">
          <cell r="B6037" t="str">
            <v>Powers,Michael S</v>
          </cell>
          <cell r="C6037">
            <v>85.564999999999998</v>
          </cell>
        </row>
        <row r="6038">
          <cell r="B6038" t="str">
            <v>Leal,Brett W</v>
          </cell>
          <cell r="C6038">
            <v>15.42</v>
          </cell>
        </row>
        <row r="6039">
          <cell r="B6039" t="str">
            <v>Lester,Britt</v>
          </cell>
          <cell r="C6039">
            <v>15.95</v>
          </cell>
        </row>
        <row r="6040">
          <cell r="B6040" t="str">
            <v>Funez-Lenon,Lizbeth J</v>
          </cell>
          <cell r="C6040">
            <v>20.66</v>
          </cell>
        </row>
        <row r="6041">
          <cell r="B6041" t="str">
            <v>Harrison,Todd A</v>
          </cell>
          <cell r="C6041">
            <v>26.33</v>
          </cell>
        </row>
        <row r="6042">
          <cell r="B6042" t="str">
            <v>Barbus,Leonard E</v>
          </cell>
          <cell r="C6042">
            <v>43.75</v>
          </cell>
        </row>
        <row r="6043">
          <cell r="B6043" t="str">
            <v>Reed,Wayne D</v>
          </cell>
          <cell r="C6043">
            <v>45.68</v>
          </cell>
        </row>
        <row r="6044">
          <cell r="B6044" t="str">
            <v>Senn,Russell</v>
          </cell>
          <cell r="C6044">
            <v>19.63</v>
          </cell>
        </row>
        <row r="6045">
          <cell r="B6045" t="str">
            <v>Blanco,Michael A</v>
          </cell>
          <cell r="C6045">
            <v>32.21</v>
          </cell>
        </row>
        <row r="6046">
          <cell r="B6046" t="str">
            <v>Turner,Frank F</v>
          </cell>
          <cell r="C6046">
            <v>23.937200000000001</v>
          </cell>
        </row>
        <row r="6047">
          <cell r="B6047" t="str">
            <v>Wenchel,Kevin B</v>
          </cell>
          <cell r="C6047">
            <v>63.14</v>
          </cell>
        </row>
        <row r="6048">
          <cell r="B6048" t="str">
            <v>Cox,James M</v>
          </cell>
          <cell r="C6048">
            <v>54.373699999999999</v>
          </cell>
        </row>
        <row r="6049">
          <cell r="B6049" t="str">
            <v>Butala Ball,Regina M</v>
          </cell>
          <cell r="C6049">
            <v>26.3034</v>
          </cell>
        </row>
        <row r="6050">
          <cell r="B6050" t="str">
            <v>Manugian,Suzanne C</v>
          </cell>
          <cell r="C6050">
            <v>19.55</v>
          </cell>
        </row>
        <row r="6051">
          <cell r="B6051" t="str">
            <v>Wrice,Leonard C</v>
          </cell>
          <cell r="C6051">
            <v>21.19</v>
          </cell>
        </row>
        <row r="6052">
          <cell r="B6052" t="str">
            <v>Childs,Tiffany B</v>
          </cell>
          <cell r="C6052">
            <v>63.11</v>
          </cell>
        </row>
        <row r="6053">
          <cell r="B6053" t="str">
            <v>Stevenson,Margaret M</v>
          </cell>
          <cell r="C6053">
            <v>52.519799999999996</v>
          </cell>
        </row>
        <row r="6054">
          <cell r="B6054" t="str">
            <v>Roy,Peter J</v>
          </cell>
          <cell r="C6054">
            <v>21</v>
          </cell>
        </row>
        <row r="6055">
          <cell r="B6055" t="str">
            <v>Swann,Pearl P</v>
          </cell>
          <cell r="C6055">
            <v>35.01</v>
          </cell>
        </row>
        <row r="6056">
          <cell r="B6056" t="str">
            <v>Martin,Stephanie L</v>
          </cell>
          <cell r="C6056">
            <v>18.649999999999999</v>
          </cell>
        </row>
        <row r="6057">
          <cell r="B6057" t="str">
            <v>Glaze,Jeremy A</v>
          </cell>
          <cell r="C6057">
            <v>25.24</v>
          </cell>
        </row>
        <row r="6058">
          <cell r="B6058" t="str">
            <v>Rodrigues,Jonah K</v>
          </cell>
          <cell r="C6058">
            <v>22.68</v>
          </cell>
        </row>
        <row r="6059">
          <cell r="B6059" t="str">
            <v>Olufemi,Peter A</v>
          </cell>
          <cell r="C6059">
            <v>47.729300000000002</v>
          </cell>
        </row>
        <row r="6060">
          <cell r="B6060" t="str">
            <v>Salley,Kevin E</v>
          </cell>
          <cell r="C6060">
            <v>40.869999999999997</v>
          </cell>
        </row>
        <row r="6061">
          <cell r="B6061" t="str">
            <v>St. Ann,Mark</v>
          </cell>
          <cell r="C6061">
            <v>22.46</v>
          </cell>
        </row>
        <row r="6062">
          <cell r="B6062" t="str">
            <v>Kennedy,Michelle L</v>
          </cell>
          <cell r="C6062">
            <v>16</v>
          </cell>
        </row>
        <row r="6063">
          <cell r="B6063" t="str">
            <v>Rizor,J S</v>
          </cell>
          <cell r="C6063">
            <v>53.98</v>
          </cell>
        </row>
        <row r="6064">
          <cell r="B6064" t="str">
            <v>Van Wagenen,Rodney K</v>
          </cell>
          <cell r="C6064">
            <v>49.92</v>
          </cell>
        </row>
        <row r="6065">
          <cell r="B6065" t="str">
            <v>Schuettpelz,Branwen M</v>
          </cell>
          <cell r="C6065">
            <v>34.07</v>
          </cell>
        </row>
        <row r="6066">
          <cell r="B6066" t="str">
            <v>Tomko,George T</v>
          </cell>
          <cell r="C6066">
            <v>44.15</v>
          </cell>
        </row>
        <row r="6067">
          <cell r="B6067" t="str">
            <v>Gunter,Galen K</v>
          </cell>
          <cell r="C6067">
            <v>33.92</v>
          </cell>
        </row>
        <row r="6068">
          <cell r="B6068" t="str">
            <v>Shelton,Robert H</v>
          </cell>
          <cell r="C6068">
            <v>64.903899999999993</v>
          </cell>
        </row>
        <row r="6069">
          <cell r="B6069" t="str">
            <v>Deans,Julia A</v>
          </cell>
          <cell r="C6069">
            <v>25.66</v>
          </cell>
        </row>
        <row r="6070">
          <cell r="B6070" t="str">
            <v>Fleming,Bonnye B</v>
          </cell>
          <cell r="C6070">
            <v>32.18</v>
          </cell>
        </row>
        <row r="6071">
          <cell r="B6071" t="str">
            <v>Campbell,Frederick C</v>
          </cell>
          <cell r="C6071">
            <v>62.68</v>
          </cell>
        </row>
        <row r="6072">
          <cell r="B6072" t="str">
            <v>Martini,Kristina E</v>
          </cell>
          <cell r="C6072">
            <v>31.74</v>
          </cell>
        </row>
        <row r="6073">
          <cell r="B6073" t="str">
            <v>Ansell,Daniel R</v>
          </cell>
          <cell r="C6073">
            <v>27.05</v>
          </cell>
        </row>
        <row r="6074">
          <cell r="B6074" t="str">
            <v>Butts,Lawrence D</v>
          </cell>
          <cell r="C6074">
            <v>19.7</v>
          </cell>
        </row>
        <row r="6075">
          <cell r="B6075" t="str">
            <v>Meza,Humberto B</v>
          </cell>
          <cell r="C6075">
            <v>20.69</v>
          </cell>
        </row>
        <row r="6076">
          <cell r="B6076" t="str">
            <v>Rios Jr.,Charles</v>
          </cell>
          <cell r="C6076">
            <v>15.99</v>
          </cell>
        </row>
        <row r="6077">
          <cell r="B6077" t="str">
            <v>Cooper,Renada L</v>
          </cell>
          <cell r="C6077">
            <v>19.84</v>
          </cell>
        </row>
        <row r="6078">
          <cell r="B6078" t="str">
            <v>Banchs,Henry</v>
          </cell>
          <cell r="C6078">
            <v>29.2471</v>
          </cell>
        </row>
        <row r="6079">
          <cell r="B6079" t="str">
            <v>Shealey,Tara T</v>
          </cell>
          <cell r="C6079">
            <v>19.18</v>
          </cell>
        </row>
        <row r="6080">
          <cell r="B6080" t="str">
            <v>Reed,Melinda S</v>
          </cell>
          <cell r="C6080">
            <v>12.33</v>
          </cell>
        </row>
        <row r="6081">
          <cell r="B6081" t="str">
            <v>Phillips,Steven S</v>
          </cell>
          <cell r="C6081">
            <v>48.924999999999997</v>
          </cell>
        </row>
        <row r="6082">
          <cell r="B6082" t="str">
            <v>Barber,Barbara A</v>
          </cell>
          <cell r="C6082">
            <v>19.808499999999999</v>
          </cell>
        </row>
        <row r="6083">
          <cell r="B6083" t="str">
            <v>Miles,Johnny</v>
          </cell>
          <cell r="C6083">
            <v>16.57</v>
          </cell>
        </row>
        <row r="6084">
          <cell r="B6084" t="str">
            <v>Cilenti,Steven A</v>
          </cell>
          <cell r="C6084">
            <v>56.25</v>
          </cell>
        </row>
        <row r="6085">
          <cell r="B6085" t="str">
            <v>Baker,Sunni M</v>
          </cell>
          <cell r="C6085">
            <v>22.66</v>
          </cell>
        </row>
        <row r="6086">
          <cell r="B6086" t="str">
            <v>Saulter,David E</v>
          </cell>
          <cell r="C6086">
            <v>50.480800000000002</v>
          </cell>
        </row>
        <row r="6087">
          <cell r="B6087" t="str">
            <v>Frey,Stephanie</v>
          </cell>
          <cell r="C6087">
            <v>33.99</v>
          </cell>
        </row>
        <row r="6088">
          <cell r="B6088" t="str">
            <v>Cordero Jr.,Robert G</v>
          </cell>
          <cell r="C6088">
            <v>19.38</v>
          </cell>
        </row>
        <row r="6089">
          <cell r="B6089" t="str">
            <v>Koester,Timothy W</v>
          </cell>
          <cell r="C6089">
            <v>18.84</v>
          </cell>
        </row>
        <row r="6090">
          <cell r="B6090" t="str">
            <v>Schneider,Jason L</v>
          </cell>
          <cell r="C6090">
            <v>12.54</v>
          </cell>
        </row>
        <row r="6091">
          <cell r="B6091" t="str">
            <v>Erfe,Anna C</v>
          </cell>
          <cell r="C6091">
            <v>31.38</v>
          </cell>
        </row>
        <row r="6092">
          <cell r="B6092" t="str">
            <v>Fitzpatrick,Lovie G</v>
          </cell>
          <cell r="C6092">
            <v>19.38</v>
          </cell>
        </row>
        <row r="6093">
          <cell r="B6093" t="str">
            <v>Joyner,Reginald C</v>
          </cell>
          <cell r="C6093">
            <v>21.02</v>
          </cell>
        </row>
        <row r="6094">
          <cell r="B6094" t="str">
            <v>McFarland,Robyn L</v>
          </cell>
          <cell r="C6094">
            <v>58.83</v>
          </cell>
        </row>
        <row r="6095">
          <cell r="B6095" t="str">
            <v>Smith,Christian P</v>
          </cell>
          <cell r="C6095">
            <v>84.14</v>
          </cell>
        </row>
        <row r="6096">
          <cell r="B6096" t="str">
            <v>Wingfield,Charles A</v>
          </cell>
          <cell r="C6096">
            <v>59.18</v>
          </cell>
        </row>
        <row r="6097">
          <cell r="B6097" t="str">
            <v>Clifford,Thomas W</v>
          </cell>
          <cell r="C6097">
            <v>66.461500000000001</v>
          </cell>
        </row>
        <row r="6098">
          <cell r="B6098" t="str">
            <v>Hawbecker,David I</v>
          </cell>
          <cell r="C6098">
            <v>47.3</v>
          </cell>
        </row>
        <row r="6099">
          <cell r="B6099" t="str">
            <v>VanDuring,Chantique P</v>
          </cell>
          <cell r="C6099">
            <v>40.479999999999997</v>
          </cell>
        </row>
        <row r="6100">
          <cell r="B6100" t="str">
            <v>Centore Jr.,Anthony F</v>
          </cell>
          <cell r="C6100">
            <v>20.78</v>
          </cell>
        </row>
        <row r="6101">
          <cell r="B6101" t="str">
            <v>Erickson,Kenneth L</v>
          </cell>
          <cell r="C6101">
            <v>35.25</v>
          </cell>
        </row>
        <row r="6102">
          <cell r="B6102" t="str">
            <v>Fanelli,Christy A</v>
          </cell>
          <cell r="C6102">
            <v>42.41</v>
          </cell>
        </row>
        <row r="6103">
          <cell r="B6103" t="str">
            <v>Santiago,Elvis A</v>
          </cell>
          <cell r="C6103">
            <v>28.24</v>
          </cell>
        </row>
        <row r="6104">
          <cell r="B6104" t="str">
            <v>Minor,Sandra E</v>
          </cell>
          <cell r="C6104">
            <v>16.829999999999998</v>
          </cell>
        </row>
        <row r="6105">
          <cell r="B6105" t="str">
            <v>Richards,John E</v>
          </cell>
          <cell r="C6105">
            <v>23</v>
          </cell>
        </row>
        <row r="6106">
          <cell r="B6106" t="str">
            <v>Casimir,Jacky D</v>
          </cell>
          <cell r="C6106">
            <v>21</v>
          </cell>
        </row>
        <row r="6107">
          <cell r="B6107" t="str">
            <v>Clark,DeAngelo M</v>
          </cell>
          <cell r="C6107">
            <v>16.2</v>
          </cell>
        </row>
        <row r="6108">
          <cell r="B6108" t="str">
            <v>Collins,Donald W</v>
          </cell>
          <cell r="C6108">
            <v>17.23</v>
          </cell>
        </row>
        <row r="6109">
          <cell r="B6109" t="str">
            <v>Maiava,Telesia P</v>
          </cell>
          <cell r="C6109">
            <v>23.74</v>
          </cell>
        </row>
        <row r="6110">
          <cell r="B6110" t="str">
            <v>Kermott,Krystal M</v>
          </cell>
          <cell r="C6110">
            <v>40.990299999999998</v>
          </cell>
        </row>
        <row r="6111">
          <cell r="B6111" t="str">
            <v>Raley,Frederick V</v>
          </cell>
          <cell r="C6111">
            <v>78.55</v>
          </cell>
        </row>
        <row r="6112">
          <cell r="B6112" t="str">
            <v>Sarvey,David M</v>
          </cell>
          <cell r="C6112">
            <v>33.85</v>
          </cell>
        </row>
        <row r="6113">
          <cell r="B6113" t="str">
            <v>Daniels,Alanna</v>
          </cell>
          <cell r="C6113">
            <v>31.25</v>
          </cell>
        </row>
        <row r="6114">
          <cell r="B6114" t="str">
            <v>Apple,Mark P</v>
          </cell>
          <cell r="C6114">
            <v>22.12</v>
          </cell>
        </row>
        <row r="6115">
          <cell r="B6115" t="str">
            <v>Legg,Kevin O</v>
          </cell>
          <cell r="C6115">
            <v>24.5</v>
          </cell>
        </row>
        <row r="6116">
          <cell r="B6116" t="str">
            <v>Adkisson II,Daniel L</v>
          </cell>
          <cell r="C6116">
            <v>26.34</v>
          </cell>
        </row>
        <row r="6117">
          <cell r="B6117" t="str">
            <v>Hale,Michael N</v>
          </cell>
          <cell r="C6117">
            <v>22.12</v>
          </cell>
        </row>
        <row r="6118">
          <cell r="B6118" t="str">
            <v>Wynne,James R</v>
          </cell>
          <cell r="C6118">
            <v>19.8</v>
          </cell>
        </row>
        <row r="6119">
          <cell r="B6119" t="str">
            <v>Macy,Ramona L</v>
          </cell>
          <cell r="C6119">
            <v>38.19</v>
          </cell>
        </row>
        <row r="6120">
          <cell r="B6120" t="str">
            <v>Gertz,Robert J</v>
          </cell>
          <cell r="C6120">
            <v>22.876300000000001</v>
          </cell>
        </row>
        <row r="6121">
          <cell r="B6121" t="str">
            <v>Martinez,Jose M</v>
          </cell>
          <cell r="C6121">
            <v>30.8</v>
          </cell>
        </row>
        <row r="6122">
          <cell r="B6122" t="str">
            <v>Kayacaglayan,Ilkay</v>
          </cell>
          <cell r="C6122">
            <v>19.600000000000001</v>
          </cell>
        </row>
        <row r="6123">
          <cell r="B6123" t="str">
            <v>Erdogan,Ahmet</v>
          </cell>
          <cell r="C6123">
            <v>24.71</v>
          </cell>
        </row>
        <row r="6124">
          <cell r="B6124" t="str">
            <v>Scungio,Richard C</v>
          </cell>
          <cell r="C6124">
            <v>56.65</v>
          </cell>
        </row>
        <row r="6125">
          <cell r="B6125" t="str">
            <v>Hahn,Matthew R</v>
          </cell>
          <cell r="C6125">
            <v>53.57</v>
          </cell>
        </row>
        <row r="6126">
          <cell r="B6126" t="str">
            <v>Cadieux,Valerie A</v>
          </cell>
          <cell r="C6126">
            <v>44.43</v>
          </cell>
        </row>
        <row r="6127">
          <cell r="B6127" t="str">
            <v>Gomez,Roberto</v>
          </cell>
          <cell r="C6127">
            <v>15.95</v>
          </cell>
        </row>
        <row r="6128">
          <cell r="B6128" t="str">
            <v>Gressang,Randall V</v>
          </cell>
          <cell r="C6128">
            <v>87.822900000000004</v>
          </cell>
        </row>
        <row r="6129">
          <cell r="B6129" t="str">
            <v>Lawrence,Antoine R</v>
          </cell>
          <cell r="C6129">
            <v>20</v>
          </cell>
        </row>
        <row r="6130">
          <cell r="B6130" t="str">
            <v>Elbot,Harry E</v>
          </cell>
          <cell r="C6130">
            <v>88.95</v>
          </cell>
        </row>
        <row r="6131">
          <cell r="B6131" t="str">
            <v>McLaughlin,David M</v>
          </cell>
          <cell r="C6131">
            <v>58.999499999999998</v>
          </cell>
        </row>
        <row r="6132">
          <cell r="B6132" t="str">
            <v>Ellington,Stephen S</v>
          </cell>
          <cell r="C6132">
            <v>47.562100000000001</v>
          </cell>
        </row>
        <row r="6133">
          <cell r="B6133" t="str">
            <v>Bushman,Jennifer L</v>
          </cell>
          <cell r="C6133">
            <v>38.47</v>
          </cell>
        </row>
        <row r="6134">
          <cell r="B6134" t="str">
            <v>Lewis,Jimmy L</v>
          </cell>
          <cell r="C6134">
            <v>16.489999999999998</v>
          </cell>
        </row>
        <row r="6135">
          <cell r="B6135" t="str">
            <v>Jackson,Leketra T</v>
          </cell>
          <cell r="C6135">
            <v>22.36</v>
          </cell>
        </row>
        <row r="6136">
          <cell r="B6136" t="str">
            <v>Komara,Jacob</v>
          </cell>
          <cell r="C6136">
            <v>25.95</v>
          </cell>
        </row>
        <row r="6137">
          <cell r="B6137" t="str">
            <v>Battle,Bruce L</v>
          </cell>
          <cell r="C6137">
            <v>16.63</v>
          </cell>
        </row>
        <row r="6138">
          <cell r="B6138" t="str">
            <v>Moy,Walter H</v>
          </cell>
          <cell r="C6138">
            <v>47.62</v>
          </cell>
        </row>
        <row r="6139">
          <cell r="B6139" t="str">
            <v>Dyson,David A</v>
          </cell>
          <cell r="C6139">
            <v>19.149999999999999</v>
          </cell>
        </row>
        <row r="6140">
          <cell r="B6140" t="str">
            <v>McQuade,Peter D</v>
          </cell>
          <cell r="C6140">
            <v>72.221999999999994</v>
          </cell>
        </row>
        <row r="6141">
          <cell r="B6141" t="str">
            <v>Frigelj,Marko</v>
          </cell>
          <cell r="C6141">
            <v>33.71</v>
          </cell>
        </row>
        <row r="6142">
          <cell r="B6142" t="str">
            <v>Spina,Mario J</v>
          </cell>
          <cell r="C6142">
            <v>71.989999999999995</v>
          </cell>
        </row>
        <row r="6143">
          <cell r="B6143" t="str">
            <v>Langley,Dena M</v>
          </cell>
          <cell r="C6143">
            <v>26.09</v>
          </cell>
        </row>
        <row r="6144">
          <cell r="B6144" t="str">
            <v>Shepherd,Kevin L</v>
          </cell>
          <cell r="C6144">
            <v>22.63</v>
          </cell>
        </row>
        <row r="6145">
          <cell r="B6145" t="str">
            <v>Sills,Valecia B</v>
          </cell>
          <cell r="C6145">
            <v>38.81</v>
          </cell>
        </row>
        <row r="6146">
          <cell r="B6146" t="str">
            <v>Bizyak,Rudy A</v>
          </cell>
          <cell r="C6146">
            <v>24.96</v>
          </cell>
        </row>
        <row r="6147">
          <cell r="B6147" t="str">
            <v>Arrieta,Marsha A</v>
          </cell>
          <cell r="C6147">
            <v>27.850100000000001</v>
          </cell>
        </row>
        <row r="6148">
          <cell r="B6148" t="str">
            <v>Hamilton,Douglas E</v>
          </cell>
          <cell r="C6148">
            <v>11.49</v>
          </cell>
        </row>
        <row r="6149">
          <cell r="B6149" t="str">
            <v>Rutledge,Jason M</v>
          </cell>
          <cell r="C6149">
            <v>21.18</v>
          </cell>
        </row>
        <row r="6150">
          <cell r="B6150" t="str">
            <v>Douglas,Christopher W</v>
          </cell>
          <cell r="C6150">
            <v>45</v>
          </cell>
        </row>
        <row r="6151">
          <cell r="B6151" t="str">
            <v>Thomas,Douglas W</v>
          </cell>
          <cell r="C6151">
            <v>45.13</v>
          </cell>
        </row>
        <row r="6152">
          <cell r="B6152" t="str">
            <v>Raymond,William R</v>
          </cell>
          <cell r="C6152">
            <v>62.0503</v>
          </cell>
        </row>
        <row r="6153">
          <cell r="B6153" t="str">
            <v>Callis,Nova S</v>
          </cell>
          <cell r="C6153">
            <v>19.98</v>
          </cell>
        </row>
        <row r="6154">
          <cell r="B6154" t="str">
            <v>Martin,Bradley R</v>
          </cell>
          <cell r="C6154">
            <v>23.01</v>
          </cell>
        </row>
        <row r="6155">
          <cell r="B6155" t="str">
            <v>Bowe,Michael K</v>
          </cell>
          <cell r="C6155">
            <v>42.8</v>
          </cell>
        </row>
        <row r="6156">
          <cell r="B6156" t="str">
            <v>Carroll,Emerson L</v>
          </cell>
          <cell r="C6156">
            <v>20</v>
          </cell>
        </row>
        <row r="6157">
          <cell r="B6157" t="str">
            <v>Wood,James N</v>
          </cell>
          <cell r="C6157">
            <v>37.5</v>
          </cell>
        </row>
        <row r="6158">
          <cell r="B6158" t="str">
            <v>Weglein,John R</v>
          </cell>
          <cell r="C6158">
            <v>24.51</v>
          </cell>
        </row>
        <row r="6159">
          <cell r="B6159" t="str">
            <v>Abell,Richard A</v>
          </cell>
          <cell r="C6159">
            <v>21.65</v>
          </cell>
        </row>
        <row r="6160">
          <cell r="B6160" t="str">
            <v>Haner,William J</v>
          </cell>
          <cell r="C6160">
            <v>38.51</v>
          </cell>
        </row>
        <row r="6161">
          <cell r="B6161" t="str">
            <v>Jones,Shannon K</v>
          </cell>
          <cell r="C6161">
            <v>37.020000000000003</v>
          </cell>
        </row>
        <row r="6162">
          <cell r="B6162" t="str">
            <v>Egan,John C</v>
          </cell>
          <cell r="C6162">
            <v>33.840000000000003</v>
          </cell>
        </row>
        <row r="6163">
          <cell r="B6163" t="str">
            <v>El-Reedy,Amal M</v>
          </cell>
          <cell r="C6163">
            <v>45.35</v>
          </cell>
        </row>
        <row r="6164">
          <cell r="B6164" t="str">
            <v>Descamps,John W</v>
          </cell>
          <cell r="C6164">
            <v>41.296500000000002</v>
          </cell>
        </row>
        <row r="6165">
          <cell r="B6165" t="str">
            <v>Holton,Maurice J</v>
          </cell>
          <cell r="C6165">
            <v>19.12</v>
          </cell>
        </row>
        <row r="6166">
          <cell r="B6166" t="str">
            <v>Glasco,Herman D</v>
          </cell>
          <cell r="C6166">
            <v>24.15</v>
          </cell>
        </row>
        <row r="6167">
          <cell r="B6167" t="str">
            <v>Sondhi,Sushma</v>
          </cell>
          <cell r="C6167">
            <v>57.7</v>
          </cell>
        </row>
        <row r="6168">
          <cell r="B6168" t="str">
            <v>Hill,Raymond E</v>
          </cell>
          <cell r="C6168">
            <v>55.831699999999998</v>
          </cell>
        </row>
        <row r="6169">
          <cell r="B6169" t="str">
            <v>Thurman,Joe L</v>
          </cell>
          <cell r="C6169">
            <v>91.61</v>
          </cell>
        </row>
        <row r="6170">
          <cell r="B6170" t="str">
            <v>Newell,William L</v>
          </cell>
          <cell r="C6170">
            <v>67.524000000000001</v>
          </cell>
        </row>
        <row r="6171">
          <cell r="B6171" t="str">
            <v>Stanley,Marc W</v>
          </cell>
          <cell r="C6171">
            <v>44.24</v>
          </cell>
        </row>
        <row r="6172">
          <cell r="B6172" t="str">
            <v>Lopez,Leonides A</v>
          </cell>
          <cell r="C6172">
            <v>17</v>
          </cell>
        </row>
        <row r="6173">
          <cell r="B6173" t="str">
            <v>Penn,Peter A</v>
          </cell>
          <cell r="C6173">
            <v>76.804000000000002</v>
          </cell>
        </row>
        <row r="6174">
          <cell r="B6174" t="str">
            <v>Kimberlin,Craig L</v>
          </cell>
          <cell r="C6174">
            <v>78.956800000000001</v>
          </cell>
        </row>
        <row r="6175">
          <cell r="B6175" t="str">
            <v>Starr,Gary G</v>
          </cell>
          <cell r="C6175">
            <v>75.849999999999994</v>
          </cell>
        </row>
        <row r="6176">
          <cell r="B6176" t="str">
            <v>Ventura,Florita A</v>
          </cell>
          <cell r="C6176">
            <v>26.45</v>
          </cell>
        </row>
        <row r="6177">
          <cell r="B6177" t="str">
            <v>Gauntlett,Theodore A</v>
          </cell>
          <cell r="C6177">
            <v>20</v>
          </cell>
        </row>
        <row r="6178">
          <cell r="B6178" t="str">
            <v>Hychko,Gregory M</v>
          </cell>
          <cell r="C6178">
            <v>43.27</v>
          </cell>
        </row>
        <row r="6179">
          <cell r="B6179" t="str">
            <v>Fernandez,Jose E</v>
          </cell>
          <cell r="C6179">
            <v>20.88</v>
          </cell>
        </row>
        <row r="6180">
          <cell r="B6180" t="str">
            <v>Gerron,Billie K</v>
          </cell>
          <cell r="C6180">
            <v>43.622999999999998</v>
          </cell>
        </row>
        <row r="6181">
          <cell r="B6181" t="str">
            <v>Holmes,Danielle E</v>
          </cell>
          <cell r="C6181">
            <v>18.05</v>
          </cell>
        </row>
        <row r="6182">
          <cell r="B6182" t="str">
            <v>Fillmore,Leslie E</v>
          </cell>
          <cell r="C6182">
            <v>37.411499999999997</v>
          </cell>
        </row>
        <row r="6183">
          <cell r="B6183" t="str">
            <v>Giles,Scott A</v>
          </cell>
          <cell r="C6183">
            <v>29.203199999999999</v>
          </cell>
        </row>
        <row r="6184">
          <cell r="B6184" t="str">
            <v>Turner,Billy</v>
          </cell>
          <cell r="C6184">
            <v>33.075000000000003</v>
          </cell>
        </row>
        <row r="6185">
          <cell r="B6185" t="str">
            <v>Burrowes,Paul S</v>
          </cell>
          <cell r="C6185">
            <v>71.22</v>
          </cell>
        </row>
        <row r="6186">
          <cell r="B6186" t="str">
            <v>Marty,David E</v>
          </cell>
          <cell r="C6186">
            <v>42.63</v>
          </cell>
        </row>
        <row r="6187">
          <cell r="B6187" t="str">
            <v>Rosen III,Charles W</v>
          </cell>
          <cell r="C6187">
            <v>47.49</v>
          </cell>
        </row>
        <row r="6188">
          <cell r="B6188" t="str">
            <v>Rosado,Julian R</v>
          </cell>
          <cell r="C6188">
            <v>19.079999999999998</v>
          </cell>
        </row>
        <row r="6189">
          <cell r="B6189" t="str">
            <v>Becker,Elizabeth A</v>
          </cell>
          <cell r="C6189">
            <v>55</v>
          </cell>
        </row>
        <row r="6190">
          <cell r="B6190" t="str">
            <v>Meehan,Timothy B</v>
          </cell>
          <cell r="C6190">
            <v>65.930000000000007</v>
          </cell>
        </row>
        <row r="6191">
          <cell r="B6191" t="str">
            <v>Fletcher Jr.,David L</v>
          </cell>
          <cell r="C6191">
            <v>22.13</v>
          </cell>
        </row>
        <row r="6192">
          <cell r="B6192" t="str">
            <v>Blake,Kerry N</v>
          </cell>
          <cell r="C6192">
            <v>36.729999999999997</v>
          </cell>
        </row>
        <row r="6193">
          <cell r="B6193" t="str">
            <v>Harper,James T</v>
          </cell>
          <cell r="C6193">
            <v>50.5</v>
          </cell>
        </row>
        <row r="6194">
          <cell r="B6194" t="str">
            <v>Valentino,Francis P</v>
          </cell>
          <cell r="C6194">
            <v>66.733699999999999</v>
          </cell>
        </row>
        <row r="6195">
          <cell r="B6195" t="str">
            <v>Halbert,Robert M</v>
          </cell>
          <cell r="C6195">
            <v>46.58</v>
          </cell>
        </row>
        <row r="6196">
          <cell r="B6196" t="str">
            <v>Tisdail,Mark S</v>
          </cell>
          <cell r="C6196">
            <v>50.936399999999999</v>
          </cell>
        </row>
        <row r="6197">
          <cell r="B6197" t="str">
            <v>Davis,Amy S</v>
          </cell>
          <cell r="C6197">
            <v>28.09</v>
          </cell>
        </row>
        <row r="6198">
          <cell r="B6198" t="str">
            <v>Goodpasture,Richard L</v>
          </cell>
          <cell r="C6198">
            <v>64.127799999999993</v>
          </cell>
        </row>
        <row r="6199">
          <cell r="B6199" t="str">
            <v>Keleher,Beatrice P</v>
          </cell>
          <cell r="C6199">
            <v>31.73</v>
          </cell>
        </row>
        <row r="6200">
          <cell r="B6200" t="str">
            <v>Smith,Elizabeth M</v>
          </cell>
          <cell r="C6200">
            <v>42.393799999999999</v>
          </cell>
        </row>
        <row r="6201">
          <cell r="B6201" t="str">
            <v>De La Riva,Marcy M</v>
          </cell>
          <cell r="C6201">
            <v>38.557699999999997</v>
          </cell>
        </row>
        <row r="6202">
          <cell r="B6202" t="str">
            <v>Smith,Jimmy W</v>
          </cell>
          <cell r="C6202">
            <v>22.6</v>
          </cell>
        </row>
        <row r="6203">
          <cell r="B6203" t="str">
            <v>Guaring,Marcel B</v>
          </cell>
          <cell r="C6203">
            <v>22</v>
          </cell>
        </row>
        <row r="6204">
          <cell r="B6204" t="str">
            <v>Deener,Kenisha T</v>
          </cell>
          <cell r="C6204">
            <v>20.73</v>
          </cell>
        </row>
        <row r="6205">
          <cell r="B6205" t="str">
            <v>Rhodes,Yvette</v>
          </cell>
          <cell r="C6205">
            <v>26.5</v>
          </cell>
        </row>
        <row r="6206">
          <cell r="B6206" t="str">
            <v>Patel,Justin A</v>
          </cell>
          <cell r="C6206">
            <v>25.462499999999999</v>
          </cell>
        </row>
        <row r="6207">
          <cell r="B6207" t="str">
            <v>Canady,Christy M</v>
          </cell>
          <cell r="C6207">
            <v>23.68</v>
          </cell>
        </row>
        <row r="6208">
          <cell r="B6208" t="str">
            <v>Markus,Lolita</v>
          </cell>
          <cell r="C6208">
            <v>30.76</v>
          </cell>
        </row>
        <row r="6209">
          <cell r="B6209" t="str">
            <v>Herrera,Gisela R</v>
          </cell>
          <cell r="C6209">
            <v>28.29</v>
          </cell>
        </row>
        <row r="6210">
          <cell r="B6210" t="str">
            <v>Rhoads,Travis M</v>
          </cell>
          <cell r="C6210">
            <v>39</v>
          </cell>
        </row>
        <row r="6211">
          <cell r="B6211" t="str">
            <v>Fincher,Kennon F</v>
          </cell>
          <cell r="C6211">
            <v>64.59</v>
          </cell>
        </row>
        <row r="6212">
          <cell r="B6212" t="str">
            <v>Duvall,Romella M</v>
          </cell>
          <cell r="C6212">
            <v>32.22</v>
          </cell>
        </row>
        <row r="6213">
          <cell r="B6213" t="str">
            <v>Cain,Gordon R</v>
          </cell>
          <cell r="C6213">
            <v>46.12</v>
          </cell>
        </row>
        <row r="6214">
          <cell r="B6214" t="str">
            <v>Linder Jr.,Ronald M</v>
          </cell>
          <cell r="C6214">
            <v>21.007999999999999</v>
          </cell>
        </row>
        <row r="6215">
          <cell r="B6215" t="str">
            <v>Riquelme,Juan C</v>
          </cell>
          <cell r="C6215">
            <v>37.1387</v>
          </cell>
        </row>
        <row r="6216">
          <cell r="B6216" t="str">
            <v>Ewing,Anthony P</v>
          </cell>
          <cell r="C6216">
            <v>43.94</v>
          </cell>
        </row>
        <row r="6217">
          <cell r="B6217" t="str">
            <v>Kirby,Eric M</v>
          </cell>
          <cell r="C6217">
            <v>26.245200000000001</v>
          </cell>
        </row>
        <row r="6218">
          <cell r="B6218" t="str">
            <v>Denton,Joseph C</v>
          </cell>
          <cell r="C6218">
            <v>20.76</v>
          </cell>
        </row>
        <row r="6219">
          <cell r="B6219" t="str">
            <v>Watson,Crystal C</v>
          </cell>
          <cell r="C6219">
            <v>37.39</v>
          </cell>
        </row>
        <row r="6220">
          <cell r="B6220" t="str">
            <v>Cruz,Wilfredo V</v>
          </cell>
          <cell r="C6220">
            <v>53.295000000000002</v>
          </cell>
        </row>
        <row r="6221">
          <cell r="B6221" t="str">
            <v>He,Yulong</v>
          </cell>
          <cell r="C6221">
            <v>43</v>
          </cell>
        </row>
        <row r="6222">
          <cell r="B6222" t="str">
            <v>Heffner,Richard W.</v>
          </cell>
          <cell r="C6222">
            <v>33.07</v>
          </cell>
        </row>
        <row r="6223">
          <cell r="B6223" t="str">
            <v>Bell,Antonio L</v>
          </cell>
          <cell r="C6223">
            <v>19.170000000000002</v>
          </cell>
        </row>
        <row r="6224">
          <cell r="B6224" t="str">
            <v>Guajardo Jr.,Joe</v>
          </cell>
          <cell r="C6224">
            <v>21.75</v>
          </cell>
        </row>
        <row r="6225">
          <cell r="B6225" t="str">
            <v>Jones,Jason C</v>
          </cell>
          <cell r="C6225">
            <v>20.32</v>
          </cell>
        </row>
        <row r="6226">
          <cell r="B6226" t="str">
            <v>Blossom,Jonathan</v>
          </cell>
          <cell r="C6226">
            <v>30.47</v>
          </cell>
        </row>
        <row r="6227">
          <cell r="B6227" t="str">
            <v>Parker,Robin J</v>
          </cell>
          <cell r="C6227">
            <v>19.23</v>
          </cell>
        </row>
        <row r="6228">
          <cell r="B6228" t="str">
            <v>Dreiling,Joseph S</v>
          </cell>
          <cell r="C6228">
            <v>42.04</v>
          </cell>
        </row>
        <row r="6229">
          <cell r="B6229" t="str">
            <v>Lara Jr.,Benito</v>
          </cell>
          <cell r="C6229">
            <v>21.7</v>
          </cell>
        </row>
        <row r="6230">
          <cell r="B6230" t="str">
            <v>Mallin,Erica A</v>
          </cell>
          <cell r="C6230">
            <v>43.8</v>
          </cell>
        </row>
        <row r="6231">
          <cell r="B6231" t="str">
            <v>Tewksbury,Justin E</v>
          </cell>
          <cell r="C6231">
            <v>37.1</v>
          </cell>
        </row>
        <row r="6232">
          <cell r="B6232" t="str">
            <v>Tran,Lynda</v>
          </cell>
          <cell r="C6232">
            <v>34.619999999999997</v>
          </cell>
        </row>
        <row r="6233">
          <cell r="B6233" t="str">
            <v>Walker,Amy J</v>
          </cell>
          <cell r="C6233">
            <v>16.5</v>
          </cell>
        </row>
        <row r="6234">
          <cell r="B6234" t="str">
            <v>Sheets,Jason C</v>
          </cell>
          <cell r="C6234">
            <v>29</v>
          </cell>
        </row>
        <row r="6235">
          <cell r="B6235" t="str">
            <v>Sitter,Dirk A</v>
          </cell>
          <cell r="C6235">
            <v>19.45</v>
          </cell>
        </row>
        <row r="6236">
          <cell r="B6236" t="str">
            <v>Burrell,Jeffrey S</v>
          </cell>
          <cell r="C6236">
            <v>45</v>
          </cell>
        </row>
        <row r="6237">
          <cell r="B6237" t="str">
            <v>Laycock,Debra A</v>
          </cell>
          <cell r="C6237">
            <v>42.61</v>
          </cell>
        </row>
        <row r="6238">
          <cell r="B6238" t="str">
            <v>Wolfe,Kristopher A</v>
          </cell>
          <cell r="C6238">
            <v>20.5</v>
          </cell>
        </row>
        <row r="6239">
          <cell r="B6239" t="str">
            <v>Landau Jr.,Guy W</v>
          </cell>
          <cell r="C6239">
            <v>31.43</v>
          </cell>
        </row>
        <row r="6240">
          <cell r="B6240" t="str">
            <v>Ferry,Charles</v>
          </cell>
          <cell r="C6240">
            <v>20.2</v>
          </cell>
        </row>
        <row r="6241">
          <cell r="B6241" t="str">
            <v>Matteson,James R</v>
          </cell>
          <cell r="C6241">
            <v>21.99</v>
          </cell>
        </row>
        <row r="6242">
          <cell r="B6242" t="str">
            <v>Clark,Ronald L</v>
          </cell>
          <cell r="C6242">
            <v>52.4</v>
          </cell>
        </row>
        <row r="6243">
          <cell r="B6243" t="str">
            <v>Vaden,Courtney L</v>
          </cell>
          <cell r="C6243">
            <v>17.309999999999999</v>
          </cell>
        </row>
        <row r="6244">
          <cell r="B6244" t="str">
            <v>Kelley,Bill S</v>
          </cell>
          <cell r="C6244">
            <v>74.206500000000005</v>
          </cell>
        </row>
        <row r="6245">
          <cell r="B6245" t="str">
            <v>Guthrie,Baswrick M</v>
          </cell>
          <cell r="C6245">
            <v>19.75</v>
          </cell>
        </row>
        <row r="6246">
          <cell r="B6246" t="str">
            <v>Brosius,Thomas P</v>
          </cell>
          <cell r="C6246">
            <v>84.106999999999999</v>
          </cell>
        </row>
        <row r="6247">
          <cell r="B6247" t="str">
            <v>Gomez Cordova,Araceli</v>
          </cell>
          <cell r="C6247">
            <v>29.5</v>
          </cell>
        </row>
        <row r="6248">
          <cell r="B6248" t="str">
            <v>Rivera,Jose R</v>
          </cell>
          <cell r="C6248">
            <v>45.61</v>
          </cell>
        </row>
        <row r="6249">
          <cell r="B6249" t="str">
            <v>Saeed,Athar</v>
          </cell>
          <cell r="C6249">
            <v>61.586399999999998</v>
          </cell>
        </row>
        <row r="6250">
          <cell r="B6250" t="str">
            <v>Harmeyer,Bradley J</v>
          </cell>
          <cell r="C6250">
            <v>47.153399999999998</v>
          </cell>
        </row>
        <row r="6251">
          <cell r="B6251" t="str">
            <v>Wood,Jerry A</v>
          </cell>
          <cell r="C6251">
            <v>16.02</v>
          </cell>
        </row>
        <row r="6252">
          <cell r="B6252" t="str">
            <v>Mead,Gary R</v>
          </cell>
          <cell r="C6252">
            <v>19.63</v>
          </cell>
        </row>
        <row r="6253">
          <cell r="B6253" t="str">
            <v>Frank,Glenn W</v>
          </cell>
          <cell r="C6253">
            <v>22.75</v>
          </cell>
        </row>
        <row r="6254">
          <cell r="B6254" t="str">
            <v>Moriarity,George M</v>
          </cell>
          <cell r="C6254">
            <v>23.36</v>
          </cell>
        </row>
        <row r="6255">
          <cell r="B6255" t="str">
            <v>Jackson,Lisa F</v>
          </cell>
          <cell r="C6255">
            <v>19.170000000000002</v>
          </cell>
        </row>
        <row r="6256">
          <cell r="B6256" t="str">
            <v>Berntsen,Gary</v>
          </cell>
          <cell r="C6256">
            <v>200</v>
          </cell>
        </row>
        <row r="6257">
          <cell r="B6257" t="str">
            <v>Pinckney,Tracey L</v>
          </cell>
          <cell r="C6257">
            <v>32.211599999999997</v>
          </cell>
        </row>
        <row r="6258">
          <cell r="B6258" t="str">
            <v>Johnson,Rodney</v>
          </cell>
          <cell r="C6258">
            <v>18.2</v>
          </cell>
        </row>
        <row r="6259">
          <cell r="B6259" t="str">
            <v>Haines,Malcolm C</v>
          </cell>
          <cell r="C6259">
            <v>20</v>
          </cell>
        </row>
        <row r="6260">
          <cell r="B6260" t="str">
            <v>Samuel,Robin C</v>
          </cell>
          <cell r="C6260">
            <v>31.67</v>
          </cell>
        </row>
        <row r="6261">
          <cell r="B6261" t="str">
            <v>Hartman,David L</v>
          </cell>
          <cell r="C6261">
            <v>49.04</v>
          </cell>
        </row>
        <row r="6262">
          <cell r="B6262" t="str">
            <v>Deaver,Henrieta</v>
          </cell>
          <cell r="C6262">
            <v>24.04</v>
          </cell>
        </row>
        <row r="6263">
          <cell r="B6263" t="str">
            <v>Miller,Aswan D</v>
          </cell>
          <cell r="C6263">
            <v>35.1</v>
          </cell>
        </row>
        <row r="6264">
          <cell r="B6264" t="str">
            <v>Parker,Lynn A</v>
          </cell>
          <cell r="C6264">
            <v>29.8</v>
          </cell>
        </row>
        <row r="6265">
          <cell r="B6265" t="str">
            <v>Butler Jr.,Willie D</v>
          </cell>
          <cell r="C6265">
            <v>19.32</v>
          </cell>
        </row>
        <row r="6266">
          <cell r="B6266" t="str">
            <v>Tarad,Barbara P</v>
          </cell>
          <cell r="C6266">
            <v>48.21</v>
          </cell>
        </row>
        <row r="6267">
          <cell r="B6267" t="str">
            <v>Humphries III,JD</v>
          </cell>
          <cell r="C6267">
            <v>26.47</v>
          </cell>
        </row>
        <row r="6268">
          <cell r="B6268" t="str">
            <v>Major,Rodney L</v>
          </cell>
          <cell r="C6268">
            <v>19.5</v>
          </cell>
        </row>
        <row r="6269">
          <cell r="B6269" t="str">
            <v>Davila,Velma N</v>
          </cell>
          <cell r="C6269">
            <v>26.5</v>
          </cell>
        </row>
        <row r="6270">
          <cell r="B6270" t="str">
            <v>Wald,Larry K</v>
          </cell>
          <cell r="C6270">
            <v>19.75</v>
          </cell>
        </row>
        <row r="6271">
          <cell r="B6271" t="str">
            <v>Smith,James B</v>
          </cell>
          <cell r="C6271">
            <v>92.55</v>
          </cell>
        </row>
        <row r="6272">
          <cell r="B6272" t="str">
            <v>Bonaparte,James R</v>
          </cell>
          <cell r="C6272">
            <v>62.720999999999997</v>
          </cell>
        </row>
        <row r="6273">
          <cell r="B6273" t="str">
            <v>McConnell IV,John S</v>
          </cell>
          <cell r="C6273">
            <v>19.75</v>
          </cell>
        </row>
        <row r="6274">
          <cell r="B6274" t="str">
            <v>Holliday,Cyrus E</v>
          </cell>
          <cell r="C6274">
            <v>50.82</v>
          </cell>
        </row>
        <row r="6275">
          <cell r="B6275" t="str">
            <v>Fincham,Richard L</v>
          </cell>
          <cell r="C6275">
            <v>37.270000000000003</v>
          </cell>
        </row>
        <row r="6276">
          <cell r="B6276" t="str">
            <v>Krider,Johnathan F</v>
          </cell>
          <cell r="C6276">
            <v>28.95</v>
          </cell>
        </row>
        <row r="6277">
          <cell r="B6277" t="str">
            <v>Stearns,Daniel P</v>
          </cell>
          <cell r="C6277">
            <v>15.69</v>
          </cell>
        </row>
        <row r="6278">
          <cell r="B6278" t="str">
            <v>Knott,Robert D</v>
          </cell>
          <cell r="C6278">
            <v>21.43</v>
          </cell>
        </row>
        <row r="6279">
          <cell r="B6279" t="str">
            <v>Beagles,Jon J</v>
          </cell>
          <cell r="C6279">
            <v>41.02</v>
          </cell>
        </row>
        <row r="6280">
          <cell r="B6280" t="str">
            <v>Sparks,Amanda J</v>
          </cell>
          <cell r="C6280">
            <v>26.99</v>
          </cell>
        </row>
        <row r="6281">
          <cell r="B6281" t="str">
            <v>Larrivee,Stephen</v>
          </cell>
          <cell r="C6281">
            <v>35.799999999999997</v>
          </cell>
        </row>
        <row r="6282">
          <cell r="B6282" t="str">
            <v>Bullion,April</v>
          </cell>
          <cell r="C6282">
            <v>30.6</v>
          </cell>
        </row>
        <row r="6283">
          <cell r="B6283" t="str">
            <v>Felsen,Harry T</v>
          </cell>
          <cell r="C6283">
            <v>85</v>
          </cell>
        </row>
        <row r="6284">
          <cell r="B6284" t="str">
            <v>Hastings,Steve M</v>
          </cell>
          <cell r="C6284">
            <v>38.79</v>
          </cell>
        </row>
        <row r="6285">
          <cell r="B6285" t="str">
            <v>Guzi,Megan D</v>
          </cell>
          <cell r="C6285">
            <v>23.776</v>
          </cell>
        </row>
        <row r="6286">
          <cell r="B6286" t="str">
            <v>Phipps,Jason L</v>
          </cell>
          <cell r="C6286">
            <v>21.31</v>
          </cell>
        </row>
        <row r="6287">
          <cell r="B6287" t="str">
            <v>Shigley,Kassandra E</v>
          </cell>
          <cell r="C6287">
            <v>57.7</v>
          </cell>
        </row>
        <row r="6288">
          <cell r="B6288" t="str">
            <v>Moyett Jr.,Edilberto</v>
          </cell>
          <cell r="C6288">
            <v>45.26</v>
          </cell>
        </row>
        <row r="6289">
          <cell r="B6289" t="str">
            <v>Kennedy,Robert J</v>
          </cell>
          <cell r="C6289">
            <v>64.576999999999998</v>
          </cell>
        </row>
        <row r="6290">
          <cell r="B6290" t="str">
            <v>Henschel,Peggy A</v>
          </cell>
          <cell r="C6290">
            <v>48.157200000000003</v>
          </cell>
        </row>
        <row r="6291">
          <cell r="B6291" t="str">
            <v>Vosie,Karen L</v>
          </cell>
          <cell r="C6291">
            <v>30.87</v>
          </cell>
        </row>
        <row r="6292">
          <cell r="B6292" t="str">
            <v>Clinton,Curtis</v>
          </cell>
          <cell r="C6292">
            <v>21</v>
          </cell>
        </row>
        <row r="6293">
          <cell r="B6293" t="str">
            <v>VanDyke,Joseph A</v>
          </cell>
          <cell r="C6293">
            <v>68.831000000000003</v>
          </cell>
        </row>
        <row r="6294">
          <cell r="B6294" t="str">
            <v>Prather,Loris</v>
          </cell>
          <cell r="C6294">
            <v>17.899999999999999</v>
          </cell>
        </row>
        <row r="6295">
          <cell r="B6295" t="str">
            <v>Franko,Gary J</v>
          </cell>
          <cell r="C6295">
            <v>40.769100000000002</v>
          </cell>
        </row>
        <row r="6296">
          <cell r="B6296" t="str">
            <v>Bratcher,Beverly D</v>
          </cell>
          <cell r="C6296">
            <v>34.626399999999997</v>
          </cell>
        </row>
        <row r="6297">
          <cell r="B6297" t="str">
            <v>Partida,Abel</v>
          </cell>
          <cell r="C6297">
            <v>38.976399999999998</v>
          </cell>
        </row>
        <row r="6298">
          <cell r="B6298" t="str">
            <v>Presson,Vance</v>
          </cell>
          <cell r="C6298">
            <v>23.91</v>
          </cell>
        </row>
        <row r="6299">
          <cell r="B6299" t="str">
            <v>Fields,Raymond T</v>
          </cell>
          <cell r="C6299">
            <v>59.4527</v>
          </cell>
        </row>
        <row r="6300">
          <cell r="B6300" t="str">
            <v>Foster,Willie B</v>
          </cell>
          <cell r="C6300">
            <v>26.25</v>
          </cell>
        </row>
        <row r="6301">
          <cell r="B6301" t="str">
            <v>Pelaez Jr.,Richard E</v>
          </cell>
          <cell r="C6301">
            <v>18.25</v>
          </cell>
        </row>
        <row r="6302">
          <cell r="B6302" t="str">
            <v>Coe Jr.,Peter S</v>
          </cell>
          <cell r="C6302">
            <v>35.82</v>
          </cell>
        </row>
        <row r="6303">
          <cell r="B6303" t="str">
            <v>Robinson,Andre</v>
          </cell>
          <cell r="C6303">
            <v>19</v>
          </cell>
        </row>
        <row r="6304">
          <cell r="B6304" t="str">
            <v>Thomas,Tiwana N</v>
          </cell>
          <cell r="C6304">
            <v>32.89</v>
          </cell>
        </row>
        <row r="6305">
          <cell r="B6305" t="str">
            <v>Stillwagon,Jerome R</v>
          </cell>
          <cell r="C6305">
            <v>27.39</v>
          </cell>
        </row>
        <row r="6306">
          <cell r="B6306" t="str">
            <v>Nevin,Jeff W</v>
          </cell>
          <cell r="C6306">
            <v>46.7376</v>
          </cell>
        </row>
        <row r="6307">
          <cell r="B6307" t="str">
            <v>Gray,Kendall K</v>
          </cell>
          <cell r="C6307">
            <v>20.9</v>
          </cell>
        </row>
        <row r="6308">
          <cell r="B6308" t="str">
            <v>Dela Paz,Aaron</v>
          </cell>
          <cell r="C6308">
            <v>53.37</v>
          </cell>
        </row>
        <row r="6309">
          <cell r="B6309" t="str">
            <v>Burwell,Ernestina V</v>
          </cell>
          <cell r="C6309">
            <v>16.39</v>
          </cell>
        </row>
        <row r="6310">
          <cell r="B6310" t="str">
            <v>Cypress,Ronald T</v>
          </cell>
          <cell r="C6310">
            <v>18.02</v>
          </cell>
        </row>
        <row r="6311">
          <cell r="B6311" t="str">
            <v>Kennedy Jr.,Thomas W</v>
          </cell>
          <cell r="C6311">
            <v>38.26</v>
          </cell>
        </row>
        <row r="6312">
          <cell r="B6312" t="str">
            <v>Lopez,Manuel A</v>
          </cell>
          <cell r="C6312">
            <v>81.42</v>
          </cell>
        </row>
        <row r="6313">
          <cell r="B6313" t="str">
            <v>Wang,Chi M</v>
          </cell>
          <cell r="C6313">
            <v>27.961500000000001</v>
          </cell>
        </row>
        <row r="6314">
          <cell r="B6314" t="str">
            <v>Guilford,Daniel J</v>
          </cell>
          <cell r="C6314">
            <v>44.94</v>
          </cell>
        </row>
        <row r="6315">
          <cell r="B6315" t="str">
            <v>Clark,Sherry R</v>
          </cell>
          <cell r="C6315">
            <v>37.21</v>
          </cell>
        </row>
        <row r="6316">
          <cell r="B6316" t="str">
            <v>Gilbert,Patrick T</v>
          </cell>
          <cell r="C6316">
            <v>54.010899999999999</v>
          </cell>
        </row>
        <row r="6317">
          <cell r="B6317" t="str">
            <v>Morgan,Larry D</v>
          </cell>
          <cell r="C6317">
            <v>42.603999999999999</v>
          </cell>
        </row>
        <row r="6318">
          <cell r="B6318" t="str">
            <v>Anderson,Frank</v>
          </cell>
          <cell r="C6318">
            <v>37.285400000000003</v>
          </cell>
        </row>
        <row r="6319">
          <cell r="B6319" t="str">
            <v>Hyder,Jeffrey C</v>
          </cell>
          <cell r="C6319">
            <v>33.072000000000003</v>
          </cell>
        </row>
        <row r="6320">
          <cell r="B6320" t="str">
            <v>Gosh Jr.,John F.</v>
          </cell>
          <cell r="C6320">
            <v>31.5</v>
          </cell>
        </row>
        <row r="6321">
          <cell r="B6321" t="str">
            <v>Carpenter,Lisa A</v>
          </cell>
          <cell r="C6321">
            <v>18.95</v>
          </cell>
        </row>
        <row r="6322">
          <cell r="B6322" t="str">
            <v>Slate,Mark A</v>
          </cell>
          <cell r="C6322">
            <v>40.909999999999997</v>
          </cell>
        </row>
        <row r="6323">
          <cell r="B6323" t="str">
            <v>Jones,Lisa A</v>
          </cell>
          <cell r="C6323">
            <v>64.55</v>
          </cell>
        </row>
        <row r="6324">
          <cell r="B6324" t="str">
            <v>Wehner,Raymond K</v>
          </cell>
          <cell r="C6324">
            <v>50.04</v>
          </cell>
        </row>
        <row r="6325">
          <cell r="B6325" t="str">
            <v>Abad,Adelina A</v>
          </cell>
          <cell r="C6325">
            <v>30</v>
          </cell>
        </row>
        <row r="6326">
          <cell r="B6326" t="str">
            <v>Fauteux,Vanessa</v>
          </cell>
          <cell r="C6326">
            <v>15</v>
          </cell>
        </row>
        <row r="6327">
          <cell r="B6327" t="str">
            <v>Livingston,Craig D</v>
          </cell>
          <cell r="C6327">
            <v>26.5</v>
          </cell>
        </row>
        <row r="6328">
          <cell r="B6328" t="str">
            <v>Yohannes,Yonas</v>
          </cell>
          <cell r="C6328">
            <v>34.67</v>
          </cell>
        </row>
        <row r="6329">
          <cell r="B6329" t="str">
            <v>Davis,Jason D</v>
          </cell>
          <cell r="C6329">
            <v>21.43</v>
          </cell>
        </row>
        <row r="6330">
          <cell r="B6330" t="str">
            <v>Beasley,Jeff D</v>
          </cell>
          <cell r="C6330">
            <v>45.23</v>
          </cell>
        </row>
        <row r="6331">
          <cell r="B6331" t="str">
            <v>Tenley,Gretchen M</v>
          </cell>
          <cell r="C6331">
            <v>43</v>
          </cell>
        </row>
        <row r="6332">
          <cell r="B6332" t="str">
            <v>Smith,Nicole A</v>
          </cell>
          <cell r="C6332">
            <v>43.269300000000001</v>
          </cell>
        </row>
        <row r="6333">
          <cell r="B6333" t="str">
            <v>Campbell,Samantha S</v>
          </cell>
          <cell r="C6333">
            <v>30.05</v>
          </cell>
        </row>
        <row r="6334">
          <cell r="B6334" t="str">
            <v>Sea,Setefano S</v>
          </cell>
          <cell r="C6334">
            <v>22.65</v>
          </cell>
        </row>
        <row r="6335">
          <cell r="B6335" t="str">
            <v>Haynes,Shaunna A</v>
          </cell>
          <cell r="C6335">
            <v>31.75</v>
          </cell>
        </row>
        <row r="6336">
          <cell r="B6336" t="str">
            <v>Ballou,William H</v>
          </cell>
          <cell r="C6336">
            <v>20.5</v>
          </cell>
        </row>
        <row r="6337">
          <cell r="B6337" t="str">
            <v>Santiago,Perfecto</v>
          </cell>
          <cell r="C6337">
            <v>18.45</v>
          </cell>
        </row>
        <row r="6338">
          <cell r="B6338" t="str">
            <v>Allen Jr.,Gary L</v>
          </cell>
          <cell r="C6338">
            <v>44.21</v>
          </cell>
        </row>
        <row r="6339">
          <cell r="B6339" t="str">
            <v>Goth,Stephanie S</v>
          </cell>
          <cell r="C6339">
            <v>18.36</v>
          </cell>
        </row>
        <row r="6340">
          <cell r="B6340" t="str">
            <v>Glick,Gary L</v>
          </cell>
          <cell r="C6340">
            <v>62.122</v>
          </cell>
        </row>
        <row r="6341">
          <cell r="B6341" t="str">
            <v>Loomis,Patrick J</v>
          </cell>
          <cell r="C6341">
            <v>24</v>
          </cell>
        </row>
        <row r="6342">
          <cell r="B6342" t="str">
            <v>Matson,Kenneth R</v>
          </cell>
          <cell r="C6342">
            <v>23.91</v>
          </cell>
        </row>
        <row r="6343">
          <cell r="B6343" t="str">
            <v>Bullock,Maurice J</v>
          </cell>
          <cell r="C6343">
            <v>27.89</v>
          </cell>
        </row>
        <row r="6344">
          <cell r="B6344" t="str">
            <v>Souder,Darlene Y</v>
          </cell>
          <cell r="C6344">
            <v>28.01</v>
          </cell>
        </row>
        <row r="6345">
          <cell r="B6345" t="str">
            <v>Smith,Ricky P</v>
          </cell>
          <cell r="C6345">
            <v>20.309999999999999</v>
          </cell>
        </row>
        <row r="6346">
          <cell r="B6346" t="str">
            <v>Burns,David A</v>
          </cell>
          <cell r="C6346">
            <v>57.7</v>
          </cell>
        </row>
        <row r="6347">
          <cell r="B6347" t="str">
            <v>Calbick,John A</v>
          </cell>
          <cell r="C6347">
            <v>37.770000000000003</v>
          </cell>
        </row>
        <row r="6348">
          <cell r="B6348" t="str">
            <v>Tornatore,Josephine M</v>
          </cell>
          <cell r="C6348">
            <v>25.95</v>
          </cell>
        </row>
        <row r="6349">
          <cell r="B6349" t="str">
            <v>Milovidov,Ivan V</v>
          </cell>
          <cell r="C6349">
            <v>51.4</v>
          </cell>
        </row>
        <row r="6350">
          <cell r="B6350" t="str">
            <v>Morales,Jonathan M</v>
          </cell>
          <cell r="C6350">
            <v>34.380000000000003</v>
          </cell>
        </row>
        <row r="6351">
          <cell r="B6351" t="str">
            <v>Taylor,Steven G</v>
          </cell>
          <cell r="C6351">
            <v>57.043300000000002</v>
          </cell>
        </row>
        <row r="6352">
          <cell r="B6352" t="str">
            <v>Dow,Zara M</v>
          </cell>
          <cell r="C6352">
            <v>16.489999999999998</v>
          </cell>
        </row>
        <row r="6353">
          <cell r="B6353" t="str">
            <v>Pace,Vivian S</v>
          </cell>
          <cell r="C6353">
            <v>34.840000000000003</v>
          </cell>
        </row>
        <row r="6354">
          <cell r="B6354" t="str">
            <v>German,David L</v>
          </cell>
          <cell r="C6354">
            <v>20.89</v>
          </cell>
        </row>
        <row r="6355">
          <cell r="B6355" t="str">
            <v>Carr,Jessie R</v>
          </cell>
          <cell r="C6355">
            <v>18.25</v>
          </cell>
        </row>
        <row r="6356">
          <cell r="B6356" t="str">
            <v>Walsh,Dierdre L</v>
          </cell>
          <cell r="C6356">
            <v>36.0623</v>
          </cell>
        </row>
        <row r="6357">
          <cell r="B6357" t="str">
            <v>Cao,Dat</v>
          </cell>
          <cell r="C6357">
            <v>66.47</v>
          </cell>
        </row>
        <row r="6358">
          <cell r="B6358" t="str">
            <v>Loomis,Robert J</v>
          </cell>
          <cell r="C6358">
            <v>72.499899999999997</v>
          </cell>
        </row>
        <row r="6359">
          <cell r="B6359" t="str">
            <v>Benton,Alan W</v>
          </cell>
          <cell r="C6359">
            <v>49</v>
          </cell>
        </row>
        <row r="6360">
          <cell r="B6360" t="str">
            <v>Leschke,Timothy R</v>
          </cell>
          <cell r="C6360">
            <v>55.53</v>
          </cell>
        </row>
        <row r="6361">
          <cell r="B6361" t="str">
            <v>Lee,Davolo R</v>
          </cell>
          <cell r="C6361">
            <v>38.43</v>
          </cell>
        </row>
        <row r="6362">
          <cell r="B6362" t="str">
            <v>Ramos,Michael A</v>
          </cell>
          <cell r="C6362">
            <v>19.7</v>
          </cell>
        </row>
        <row r="6363">
          <cell r="B6363" t="str">
            <v>Englebert,David K</v>
          </cell>
          <cell r="C6363">
            <v>20.2</v>
          </cell>
        </row>
        <row r="6364">
          <cell r="B6364" t="str">
            <v>Wentt,Robin</v>
          </cell>
          <cell r="C6364">
            <v>21.49</v>
          </cell>
        </row>
        <row r="6365">
          <cell r="B6365" t="str">
            <v>Greer,Kevin L</v>
          </cell>
          <cell r="C6365">
            <v>18.149999999999999</v>
          </cell>
        </row>
        <row r="6366">
          <cell r="B6366" t="str">
            <v>Hughes,Daniel R</v>
          </cell>
          <cell r="C6366">
            <v>21.96</v>
          </cell>
        </row>
        <row r="6367">
          <cell r="B6367" t="str">
            <v>Collins,Kenneth S</v>
          </cell>
          <cell r="C6367">
            <v>21.28</v>
          </cell>
        </row>
        <row r="6368">
          <cell r="B6368" t="str">
            <v>Cox,Terry E</v>
          </cell>
          <cell r="C6368">
            <v>38.5</v>
          </cell>
        </row>
        <row r="6369">
          <cell r="B6369" t="str">
            <v>Corby III,John A</v>
          </cell>
          <cell r="C6369">
            <v>20.420000000000002</v>
          </cell>
        </row>
        <row r="6370">
          <cell r="B6370" t="str">
            <v>Beck,Joseph E</v>
          </cell>
          <cell r="C6370">
            <v>21</v>
          </cell>
        </row>
        <row r="6371">
          <cell r="B6371" t="str">
            <v>Johnson,Suzanne M</v>
          </cell>
          <cell r="C6371">
            <v>58.432499999999997</v>
          </cell>
        </row>
        <row r="6372">
          <cell r="B6372" t="str">
            <v>Kovalchik,William M</v>
          </cell>
          <cell r="C6372">
            <v>58.052799999999998</v>
          </cell>
        </row>
        <row r="6373">
          <cell r="B6373" t="str">
            <v>Erickson,Priscilla R</v>
          </cell>
          <cell r="C6373">
            <v>16.739999999999998</v>
          </cell>
        </row>
        <row r="6374">
          <cell r="B6374" t="str">
            <v>Dawson,Robert E</v>
          </cell>
          <cell r="C6374">
            <v>20.82</v>
          </cell>
        </row>
        <row r="6375">
          <cell r="B6375" t="str">
            <v>Jackson,Derrick B</v>
          </cell>
          <cell r="C6375">
            <v>19.48</v>
          </cell>
        </row>
        <row r="6376">
          <cell r="B6376" t="str">
            <v>Smith,Michael S</v>
          </cell>
          <cell r="C6376">
            <v>33.659999999999997</v>
          </cell>
        </row>
        <row r="6377">
          <cell r="B6377" t="str">
            <v>Pelto,Gerald J</v>
          </cell>
          <cell r="C6377">
            <v>29.46</v>
          </cell>
        </row>
        <row r="6378">
          <cell r="B6378" t="str">
            <v>Whitney,Shawn H</v>
          </cell>
          <cell r="C6378">
            <v>27.09</v>
          </cell>
        </row>
        <row r="6379">
          <cell r="B6379" t="str">
            <v>Whittenberg,Karl F</v>
          </cell>
          <cell r="C6379">
            <v>67.17</v>
          </cell>
        </row>
        <row r="6380">
          <cell r="B6380" t="str">
            <v>Cruz,Pelegrin</v>
          </cell>
          <cell r="C6380">
            <v>20.99</v>
          </cell>
        </row>
        <row r="6381">
          <cell r="B6381" t="str">
            <v>Smietanik,John D</v>
          </cell>
          <cell r="C6381">
            <v>22.36</v>
          </cell>
        </row>
        <row r="6382">
          <cell r="B6382" t="str">
            <v>Lee,Katrina N</v>
          </cell>
          <cell r="C6382">
            <v>23.57</v>
          </cell>
        </row>
        <row r="6383">
          <cell r="B6383" t="str">
            <v>Dasti,Abdullah K</v>
          </cell>
          <cell r="C6383">
            <v>53.82</v>
          </cell>
        </row>
        <row r="6384">
          <cell r="B6384" t="str">
            <v>Doucette,Jessica L</v>
          </cell>
          <cell r="C6384">
            <v>25.95</v>
          </cell>
        </row>
        <row r="6385">
          <cell r="B6385" t="str">
            <v>George,Alex R</v>
          </cell>
          <cell r="C6385">
            <v>63.9</v>
          </cell>
        </row>
        <row r="6386">
          <cell r="B6386" t="str">
            <v>Doughty,Bryce M</v>
          </cell>
          <cell r="C6386">
            <v>16</v>
          </cell>
        </row>
        <row r="6387">
          <cell r="B6387" t="str">
            <v>Montgomery,Erin R</v>
          </cell>
          <cell r="C6387">
            <v>21.5</v>
          </cell>
        </row>
        <row r="6388">
          <cell r="B6388" t="str">
            <v>James,Camron O</v>
          </cell>
          <cell r="C6388">
            <v>25</v>
          </cell>
        </row>
        <row r="6389">
          <cell r="B6389" t="str">
            <v>Thomas,Kenneth W</v>
          </cell>
          <cell r="C6389">
            <v>26</v>
          </cell>
        </row>
        <row r="6390">
          <cell r="B6390" t="str">
            <v>Spates,James F</v>
          </cell>
          <cell r="C6390">
            <v>24.35</v>
          </cell>
        </row>
        <row r="6391">
          <cell r="B6391" t="str">
            <v>Stoner,Tommy R</v>
          </cell>
          <cell r="C6391">
            <v>28.17</v>
          </cell>
        </row>
        <row r="6392">
          <cell r="B6392" t="str">
            <v>Bridenbaugh,Benjamin S</v>
          </cell>
          <cell r="C6392">
            <v>24.95</v>
          </cell>
        </row>
        <row r="6393">
          <cell r="B6393" t="str">
            <v>Bagdasarian,Rebecca K</v>
          </cell>
          <cell r="C6393">
            <v>55.29</v>
          </cell>
        </row>
        <row r="6394">
          <cell r="B6394" t="str">
            <v>Farthing,Carter J</v>
          </cell>
          <cell r="C6394">
            <v>28.88</v>
          </cell>
        </row>
        <row r="6395">
          <cell r="B6395" t="str">
            <v>Jordan,Sammie G</v>
          </cell>
          <cell r="C6395">
            <v>34.35</v>
          </cell>
        </row>
        <row r="6396">
          <cell r="B6396" t="str">
            <v>Polder,Kirk A</v>
          </cell>
          <cell r="C6396">
            <v>39.979999999999997</v>
          </cell>
        </row>
        <row r="6397">
          <cell r="B6397" t="str">
            <v>Leineke Jr.,Jerry B</v>
          </cell>
          <cell r="C6397">
            <v>21.5</v>
          </cell>
        </row>
        <row r="6398">
          <cell r="B6398" t="str">
            <v>Scrocca,James R</v>
          </cell>
          <cell r="C6398">
            <v>76.031499999999994</v>
          </cell>
        </row>
        <row r="6399">
          <cell r="B6399" t="str">
            <v>Marchesseault,George W</v>
          </cell>
          <cell r="C6399">
            <v>90.073999999999998</v>
          </cell>
        </row>
        <row r="6400">
          <cell r="B6400" t="str">
            <v>Robertson,Erica</v>
          </cell>
          <cell r="C6400">
            <v>77.63</v>
          </cell>
        </row>
        <row r="6401">
          <cell r="B6401" t="str">
            <v>Kleinbeck,Jesse M</v>
          </cell>
          <cell r="C6401">
            <v>20.12</v>
          </cell>
        </row>
        <row r="6402">
          <cell r="B6402" t="str">
            <v>Jones,Marcus S</v>
          </cell>
          <cell r="C6402">
            <v>19.75</v>
          </cell>
        </row>
        <row r="6403">
          <cell r="B6403" t="str">
            <v>Nenarella,Anthony R</v>
          </cell>
          <cell r="C6403">
            <v>36.700000000000003</v>
          </cell>
        </row>
        <row r="6404">
          <cell r="B6404" t="str">
            <v>Knox,James J</v>
          </cell>
          <cell r="C6404">
            <v>19.489999999999998</v>
          </cell>
        </row>
        <row r="6405">
          <cell r="B6405" t="str">
            <v>Geelhood,Bruce D</v>
          </cell>
          <cell r="C6405">
            <v>78.739999999999995</v>
          </cell>
        </row>
        <row r="6406">
          <cell r="B6406" t="str">
            <v>Guckin,Matthew J</v>
          </cell>
          <cell r="C6406">
            <v>37.81</v>
          </cell>
        </row>
        <row r="6407">
          <cell r="B6407" t="str">
            <v>McPherson,William H</v>
          </cell>
          <cell r="C6407">
            <v>30.19</v>
          </cell>
        </row>
        <row r="6408">
          <cell r="B6408" t="str">
            <v>Piner,Shin Lee</v>
          </cell>
          <cell r="C6408">
            <v>46.32</v>
          </cell>
        </row>
        <row r="6409">
          <cell r="B6409" t="str">
            <v>Dow,Everett E</v>
          </cell>
          <cell r="C6409">
            <v>23.98</v>
          </cell>
        </row>
        <row r="6410">
          <cell r="B6410" t="str">
            <v>Reyes,Matthew T</v>
          </cell>
          <cell r="C6410">
            <v>56.25</v>
          </cell>
        </row>
        <row r="6411">
          <cell r="B6411" t="str">
            <v>Weigle,Brian K</v>
          </cell>
          <cell r="C6411">
            <v>19.87</v>
          </cell>
        </row>
        <row r="6412">
          <cell r="B6412" t="str">
            <v>Hickey,Emily C</v>
          </cell>
          <cell r="C6412">
            <v>35.110599999999998</v>
          </cell>
        </row>
        <row r="6413">
          <cell r="B6413" t="str">
            <v>Gady,Michael R</v>
          </cell>
          <cell r="C6413">
            <v>48.08</v>
          </cell>
        </row>
        <row r="6414">
          <cell r="B6414" t="str">
            <v>Shore,Erica N</v>
          </cell>
          <cell r="C6414">
            <v>25.87</v>
          </cell>
        </row>
        <row r="6415">
          <cell r="B6415" t="str">
            <v>Jefferson,David L</v>
          </cell>
          <cell r="C6415">
            <v>68.25</v>
          </cell>
        </row>
        <row r="6416">
          <cell r="B6416" t="str">
            <v>Dillard,Gary C</v>
          </cell>
          <cell r="C6416">
            <v>39.119999999999997</v>
          </cell>
        </row>
        <row r="6417">
          <cell r="B6417" t="str">
            <v>Harris,Ralph</v>
          </cell>
          <cell r="C6417">
            <v>20.09</v>
          </cell>
        </row>
        <row r="6418">
          <cell r="B6418" t="str">
            <v>Ewings,Angela L</v>
          </cell>
          <cell r="C6418">
            <v>20.64</v>
          </cell>
        </row>
        <row r="6419">
          <cell r="B6419" t="str">
            <v>Dean,Kelly J</v>
          </cell>
          <cell r="C6419">
            <v>25.95</v>
          </cell>
        </row>
        <row r="6420">
          <cell r="B6420" t="str">
            <v>Valdyke,Christine M</v>
          </cell>
          <cell r="C6420">
            <v>21.685400000000001</v>
          </cell>
        </row>
        <row r="6421">
          <cell r="B6421" t="str">
            <v>LaFalce,Mark L</v>
          </cell>
          <cell r="C6421">
            <v>61.84</v>
          </cell>
        </row>
        <row r="6422">
          <cell r="B6422" t="str">
            <v>Agosto,Felix L</v>
          </cell>
          <cell r="C6422">
            <v>15.58</v>
          </cell>
        </row>
        <row r="6423">
          <cell r="B6423" t="str">
            <v>Mason,Gerald H</v>
          </cell>
          <cell r="C6423">
            <v>46.76</v>
          </cell>
        </row>
        <row r="6424">
          <cell r="B6424" t="str">
            <v>McCray,Harley L</v>
          </cell>
          <cell r="C6424">
            <v>60.77</v>
          </cell>
        </row>
        <row r="6425">
          <cell r="B6425" t="str">
            <v>Lasser,Alan J</v>
          </cell>
          <cell r="C6425">
            <v>30.15</v>
          </cell>
        </row>
        <row r="6426">
          <cell r="B6426" t="str">
            <v>Gupte,Arun C</v>
          </cell>
          <cell r="C6426">
            <v>51.87</v>
          </cell>
        </row>
        <row r="6427">
          <cell r="B6427" t="str">
            <v>Ablola,Alexander E</v>
          </cell>
          <cell r="C6427">
            <v>36.06</v>
          </cell>
        </row>
        <row r="6428">
          <cell r="B6428" t="str">
            <v>Billeaud Jr.,Robert L</v>
          </cell>
          <cell r="C6428">
            <v>71.16</v>
          </cell>
        </row>
        <row r="6429">
          <cell r="B6429" t="str">
            <v>O'Brian,Sam</v>
          </cell>
          <cell r="C6429">
            <v>19</v>
          </cell>
        </row>
        <row r="6430">
          <cell r="B6430" t="str">
            <v>Harper,Gerold M</v>
          </cell>
          <cell r="C6430">
            <v>20</v>
          </cell>
        </row>
        <row r="6431">
          <cell r="B6431" t="str">
            <v>Schaad,Timothy A</v>
          </cell>
          <cell r="C6431">
            <v>50.49</v>
          </cell>
        </row>
        <row r="6432">
          <cell r="B6432" t="str">
            <v>Lopez,Edmund E</v>
          </cell>
          <cell r="C6432">
            <v>28.85</v>
          </cell>
        </row>
        <row r="6433">
          <cell r="B6433" t="str">
            <v>Brucato,Elizabeth A</v>
          </cell>
          <cell r="C6433">
            <v>39.33</v>
          </cell>
        </row>
        <row r="6434">
          <cell r="B6434" t="str">
            <v>Kelley,Jonathan S</v>
          </cell>
          <cell r="C6434">
            <v>49.1</v>
          </cell>
        </row>
        <row r="6435">
          <cell r="B6435" t="str">
            <v>Szaraz,Gilbert T</v>
          </cell>
          <cell r="C6435">
            <v>44.95</v>
          </cell>
        </row>
        <row r="6436">
          <cell r="B6436" t="str">
            <v>Wertman,Carl A</v>
          </cell>
          <cell r="C6436">
            <v>43.61</v>
          </cell>
        </row>
        <row r="6437">
          <cell r="B6437" t="str">
            <v>Hossack,Belinda M</v>
          </cell>
          <cell r="C6437">
            <v>24</v>
          </cell>
        </row>
        <row r="6438">
          <cell r="B6438" t="str">
            <v>Hobden,David W</v>
          </cell>
          <cell r="C6438">
            <v>36.130000000000003</v>
          </cell>
        </row>
        <row r="6439">
          <cell r="B6439" t="str">
            <v>McDonald,Crystal R</v>
          </cell>
          <cell r="C6439">
            <v>16.54</v>
          </cell>
        </row>
        <row r="6440">
          <cell r="B6440" t="str">
            <v>Cottrill,Debra L</v>
          </cell>
          <cell r="C6440">
            <v>18.309999999999999</v>
          </cell>
        </row>
        <row r="6441">
          <cell r="B6441" t="str">
            <v>Hill,Willie B</v>
          </cell>
          <cell r="C6441">
            <v>19.940000000000001</v>
          </cell>
        </row>
        <row r="6442">
          <cell r="B6442" t="str">
            <v>Mc Kenzie III,Charles J</v>
          </cell>
          <cell r="C6442">
            <v>62.18</v>
          </cell>
        </row>
        <row r="6443">
          <cell r="B6443" t="str">
            <v>Johnson,Catherine D</v>
          </cell>
          <cell r="C6443">
            <v>13.8</v>
          </cell>
        </row>
        <row r="6444">
          <cell r="B6444" t="str">
            <v>Luna,Gerald D</v>
          </cell>
          <cell r="C6444">
            <v>21.39</v>
          </cell>
        </row>
        <row r="6445">
          <cell r="B6445" t="str">
            <v>Bergantz,Joseph L</v>
          </cell>
          <cell r="C6445">
            <v>105.5</v>
          </cell>
        </row>
        <row r="6446">
          <cell r="B6446" t="str">
            <v>Fouche,Timothy R</v>
          </cell>
          <cell r="C6446">
            <v>60.63</v>
          </cell>
        </row>
        <row r="6447">
          <cell r="B6447" t="str">
            <v>Stinson,Bruce E</v>
          </cell>
          <cell r="C6447">
            <v>22.36</v>
          </cell>
        </row>
        <row r="6448">
          <cell r="B6448" t="str">
            <v>Wright,Carolyn V</v>
          </cell>
          <cell r="C6448">
            <v>23</v>
          </cell>
        </row>
        <row r="6449">
          <cell r="B6449" t="str">
            <v>Reading,Robert E</v>
          </cell>
          <cell r="C6449">
            <v>28.557600000000001</v>
          </cell>
        </row>
        <row r="6450">
          <cell r="B6450" t="str">
            <v>Baillie III,John</v>
          </cell>
          <cell r="C6450">
            <v>62.5</v>
          </cell>
        </row>
        <row r="6451">
          <cell r="B6451" t="str">
            <v>Mims,Tashawn N</v>
          </cell>
          <cell r="C6451">
            <v>17.8</v>
          </cell>
        </row>
        <row r="6452">
          <cell r="B6452" t="str">
            <v>Ittenbach,James A</v>
          </cell>
          <cell r="C6452">
            <v>57.5</v>
          </cell>
        </row>
        <row r="6453">
          <cell r="B6453" t="str">
            <v>Carlson,Steven G</v>
          </cell>
          <cell r="C6453">
            <v>50.867600000000003</v>
          </cell>
        </row>
        <row r="6454">
          <cell r="B6454" t="str">
            <v>McAlpin Jr.,David F</v>
          </cell>
          <cell r="C6454">
            <v>21.166</v>
          </cell>
        </row>
        <row r="6455">
          <cell r="B6455" t="str">
            <v>Moore,Jeffrey A</v>
          </cell>
          <cell r="C6455">
            <v>48</v>
          </cell>
        </row>
        <row r="6456">
          <cell r="B6456" t="str">
            <v>Rivlin,Margaret M</v>
          </cell>
          <cell r="C6456">
            <v>42.295499999999997</v>
          </cell>
        </row>
        <row r="6457">
          <cell r="B6457" t="str">
            <v>O'Malley,John J</v>
          </cell>
          <cell r="C6457">
            <v>82.51</v>
          </cell>
        </row>
        <row r="6458">
          <cell r="B6458" t="str">
            <v>Maslyn,Jeffery P</v>
          </cell>
          <cell r="C6458">
            <v>19</v>
          </cell>
        </row>
        <row r="6459">
          <cell r="B6459" t="str">
            <v>Botkin,Daniel F</v>
          </cell>
          <cell r="C6459">
            <v>20.5</v>
          </cell>
        </row>
        <row r="6460">
          <cell r="B6460" t="str">
            <v>Mathess,Daniel D</v>
          </cell>
          <cell r="C6460">
            <v>37.32</v>
          </cell>
        </row>
        <row r="6461">
          <cell r="B6461" t="str">
            <v>Harich,David M</v>
          </cell>
          <cell r="C6461">
            <v>39.229999999999997</v>
          </cell>
        </row>
        <row r="6462">
          <cell r="B6462" t="str">
            <v>Salas,Melvin L.G.</v>
          </cell>
          <cell r="C6462">
            <v>23.25</v>
          </cell>
        </row>
        <row r="6463">
          <cell r="B6463" t="str">
            <v>Sobolewski,Jennifer E</v>
          </cell>
          <cell r="C6463">
            <v>31.29</v>
          </cell>
        </row>
        <row r="6464">
          <cell r="B6464" t="str">
            <v>Molina,Andrew F</v>
          </cell>
          <cell r="C6464">
            <v>30</v>
          </cell>
        </row>
        <row r="6465">
          <cell r="B6465" t="str">
            <v>Carretto,Joseph A</v>
          </cell>
          <cell r="C6465">
            <v>85.817499999999995</v>
          </cell>
        </row>
        <row r="6466">
          <cell r="B6466" t="str">
            <v>Carter,Marcia S</v>
          </cell>
          <cell r="C6466">
            <v>55.126899999999999</v>
          </cell>
        </row>
        <row r="6467">
          <cell r="B6467" t="str">
            <v>Nguyen,Emily M</v>
          </cell>
          <cell r="C6467">
            <v>47.73</v>
          </cell>
        </row>
        <row r="6468">
          <cell r="B6468" t="str">
            <v>Powers,Brian E</v>
          </cell>
          <cell r="C6468">
            <v>79.33</v>
          </cell>
        </row>
        <row r="6469">
          <cell r="B6469" t="str">
            <v>Richardson Jr.,Milton</v>
          </cell>
          <cell r="C6469">
            <v>38.425600000000003</v>
          </cell>
        </row>
        <row r="6470">
          <cell r="B6470" t="str">
            <v>Taylor,Kelly L</v>
          </cell>
          <cell r="C6470">
            <v>30.67</v>
          </cell>
        </row>
        <row r="6471">
          <cell r="B6471" t="str">
            <v>Bossio,Geoffrey R</v>
          </cell>
          <cell r="C6471">
            <v>43.269300000000001</v>
          </cell>
        </row>
        <row r="6472">
          <cell r="B6472" t="str">
            <v>Schwartz,William R</v>
          </cell>
          <cell r="C6472">
            <v>21</v>
          </cell>
        </row>
        <row r="6473">
          <cell r="B6473" t="str">
            <v>Vick,Sonya D</v>
          </cell>
          <cell r="C6473">
            <v>36.06</v>
          </cell>
        </row>
        <row r="6474">
          <cell r="B6474" t="str">
            <v>Sullivan,Clayton J</v>
          </cell>
          <cell r="C6474">
            <v>28.202300000000001</v>
          </cell>
        </row>
        <row r="6475">
          <cell r="B6475" t="str">
            <v>Robertson,Marvin P</v>
          </cell>
          <cell r="C6475">
            <v>16</v>
          </cell>
        </row>
        <row r="6476">
          <cell r="B6476" t="str">
            <v>Dixon,Pamela E</v>
          </cell>
          <cell r="C6476">
            <v>33.18</v>
          </cell>
        </row>
        <row r="6477">
          <cell r="B6477" t="str">
            <v>Vice,Andre D</v>
          </cell>
          <cell r="C6477">
            <v>40.08</v>
          </cell>
        </row>
        <row r="6478">
          <cell r="B6478" t="str">
            <v>Sullivan,Thomas A</v>
          </cell>
          <cell r="C6478">
            <v>28.99</v>
          </cell>
        </row>
        <row r="6479">
          <cell r="B6479" t="str">
            <v>Stout,Christine S</v>
          </cell>
          <cell r="C6479">
            <v>36.057699999999997</v>
          </cell>
        </row>
        <row r="6480">
          <cell r="B6480" t="str">
            <v>Chantz,Tamara</v>
          </cell>
          <cell r="C6480">
            <v>16.489999999999998</v>
          </cell>
        </row>
        <row r="6481">
          <cell r="B6481" t="str">
            <v>Cunningham,Frank</v>
          </cell>
          <cell r="C6481">
            <v>33.659999999999997</v>
          </cell>
        </row>
        <row r="6482">
          <cell r="B6482" t="str">
            <v>Corcoran,Kenneth W</v>
          </cell>
          <cell r="C6482">
            <v>22.49</v>
          </cell>
        </row>
        <row r="6483">
          <cell r="B6483" t="str">
            <v>Valenzuela,Jesse A</v>
          </cell>
          <cell r="C6483">
            <v>62.784799999999997</v>
          </cell>
        </row>
        <row r="6484">
          <cell r="B6484" t="str">
            <v>Clayborn Jr.,Timothy S</v>
          </cell>
          <cell r="C6484">
            <v>17.95</v>
          </cell>
        </row>
        <row r="6485">
          <cell r="B6485" t="str">
            <v>Grebetz,Mark A</v>
          </cell>
          <cell r="C6485">
            <v>30.65</v>
          </cell>
        </row>
        <row r="6486">
          <cell r="B6486" t="str">
            <v>Davis,Jacqueline</v>
          </cell>
          <cell r="C6486">
            <v>19.45</v>
          </cell>
        </row>
        <row r="6487">
          <cell r="B6487" t="str">
            <v>Strickland,Reginald E</v>
          </cell>
          <cell r="C6487">
            <v>21.18</v>
          </cell>
        </row>
        <row r="6488">
          <cell r="B6488" t="str">
            <v>Prush,Irene D</v>
          </cell>
          <cell r="C6488">
            <v>54.45</v>
          </cell>
        </row>
        <row r="6489">
          <cell r="B6489" t="str">
            <v>Cuffy,Claudina C</v>
          </cell>
          <cell r="C6489">
            <v>28</v>
          </cell>
        </row>
        <row r="6490">
          <cell r="B6490" t="str">
            <v>Orellana,Andrea A</v>
          </cell>
          <cell r="C6490">
            <v>50.480699999999999</v>
          </cell>
        </row>
        <row r="6491">
          <cell r="B6491" t="str">
            <v>Mere,Peter N</v>
          </cell>
          <cell r="C6491">
            <v>44.9</v>
          </cell>
        </row>
        <row r="6492">
          <cell r="B6492" t="str">
            <v>Reeser,Aradhana J</v>
          </cell>
          <cell r="C6492">
            <v>22.07</v>
          </cell>
        </row>
        <row r="6493">
          <cell r="B6493" t="str">
            <v>Florentine,Mariam L</v>
          </cell>
          <cell r="C6493">
            <v>45.692</v>
          </cell>
        </row>
        <row r="6494">
          <cell r="B6494" t="str">
            <v>Ray,Charles C</v>
          </cell>
          <cell r="C6494">
            <v>36.61</v>
          </cell>
        </row>
        <row r="6495">
          <cell r="B6495" t="str">
            <v>March,Irene J</v>
          </cell>
          <cell r="C6495">
            <v>42.12</v>
          </cell>
        </row>
        <row r="6496">
          <cell r="B6496" t="str">
            <v>Fraley,Matthew D</v>
          </cell>
          <cell r="C6496">
            <v>18.79</v>
          </cell>
        </row>
        <row r="6497">
          <cell r="B6497" t="str">
            <v>Dorsey,Kevin D</v>
          </cell>
          <cell r="C6497">
            <v>17.899999999999999</v>
          </cell>
        </row>
        <row r="6498">
          <cell r="B6498" t="str">
            <v>Beaumont,Gerald E</v>
          </cell>
          <cell r="C6498">
            <v>19.98</v>
          </cell>
        </row>
        <row r="6499">
          <cell r="B6499" t="str">
            <v>Childress,John Scott</v>
          </cell>
          <cell r="C6499">
            <v>31.26</v>
          </cell>
        </row>
        <row r="6500">
          <cell r="B6500" t="str">
            <v>Harrison,Robert P</v>
          </cell>
          <cell r="C6500">
            <v>20</v>
          </cell>
        </row>
        <row r="6501">
          <cell r="B6501" t="str">
            <v>Panyasithavong,Aienoy</v>
          </cell>
          <cell r="C6501">
            <v>19.230799999999999</v>
          </cell>
        </row>
        <row r="6502">
          <cell r="B6502" t="str">
            <v>McMorrow,Christian J</v>
          </cell>
          <cell r="C6502">
            <v>22.2</v>
          </cell>
        </row>
        <row r="6503">
          <cell r="B6503" t="str">
            <v>Grant,Gregory</v>
          </cell>
          <cell r="C6503">
            <v>18.87</v>
          </cell>
        </row>
        <row r="6504">
          <cell r="B6504" t="str">
            <v>Tramel,Michael C</v>
          </cell>
          <cell r="C6504">
            <v>19.34</v>
          </cell>
        </row>
        <row r="6505">
          <cell r="B6505" t="str">
            <v>Stone,James N</v>
          </cell>
          <cell r="C6505">
            <v>47.49</v>
          </cell>
        </row>
        <row r="6506">
          <cell r="B6506" t="str">
            <v>Prescott,James G</v>
          </cell>
          <cell r="C6506">
            <v>28.88</v>
          </cell>
        </row>
        <row r="6507">
          <cell r="B6507" t="str">
            <v>Sellers,Marc Y</v>
          </cell>
          <cell r="C6507">
            <v>20.09</v>
          </cell>
        </row>
        <row r="6508">
          <cell r="B6508" t="str">
            <v>Sauter,John A</v>
          </cell>
          <cell r="C6508">
            <v>36.229999999999997</v>
          </cell>
        </row>
        <row r="6509">
          <cell r="B6509" t="str">
            <v>Salamon,James J</v>
          </cell>
          <cell r="C6509">
            <v>31.73</v>
          </cell>
        </row>
        <row r="6510">
          <cell r="B6510" t="str">
            <v>Setser,Stacy A</v>
          </cell>
          <cell r="C6510">
            <v>31.99</v>
          </cell>
        </row>
        <row r="6511">
          <cell r="B6511" t="str">
            <v>Lee,Diane J</v>
          </cell>
          <cell r="C6511">
            <v>23.98</v>
          </cell>
        </row>
        <row r="6512">
          <cell r="B6512" t="str">
            <v>Hubbard,Chauntay M</v>
          </cell>
          <cell r="C6512">
            <v>22.26</v>
          </cell>
        </row>
        <row r="6513">
          <cell r="B6513" t="str">
            <v>Sharks,Dennis</v>
          </cell>
          <cell r="C6513">
            <v>23.37</v>
          </cell>
        </row>
        <row r="6514">
          <cell r="B6514" t="str">
            <v>Huang,Steven H</v>
          </cell>
          <cell r="C6514">
            <v>83.197000000000003</v>
          </cell>
        </row>
        <row r="6515">
          <cell r="B6515" t="str">
            <v>Morrison,Matthew D</v>
          </cell>
          <cell r="C6515">
            <v>38.299999999999997</v>
          </cell>
        </row>
        <row r="6516">
          <cell r="B6516" t="str">
            <v>Bredehoft,Belle D</v>
          </cell>
          <cell r="C6516">
            <v>22.74</v>
          </cell>
        </row>
        <row r="6517">
          <cell r="B6517" t="str">
            <v>Norlander,Krist D</v>
          </cell>
          <cell r="C6517">
            <v>58.23</v>
          </cell>
        </row>
        <row r="6518">
          <cell r="B6518" t="str">
            <v>Ward,Diana L</v>
          </cell>
          <cell r="C6518">
            <v>20.432700000000001</v>
          </cell>
        </row>
        <row r="6519">
          <cell r="B6519" t="str">
            <v>Barnwell,Frank</v>
          </cell>
          <cell r="C6519">
            <v>18.989999999999998</v>
          </cell>
        </row>
        <row r="6520">
          <cell r="B6520" t="str">
            <v>Norris,Rachel M</v>
          </cell>
          <cell r="C6520">
            <v>48.076999999999998</v>
          </cell>
        </row>
        <row r="6521">
          <cell r="B6521" t="str">
            <v>Kennedy,Marvin A</v>
          </cell>
          <cell r="C6521">
            <v>18.8</v>
          </cell>
        </row>
        <row r="6522">
          <cell r="B6522" t="str">
            <v>Copley,Brian W</v>
          </cell>
          <cell r="C6522">
            <v>63.12</v>
          </cell>
        </row>
        <row r="6523">
          <cell r="B6523" t="str">
            <v>Alamo,Elizabeth</v>
          </cell>
          <cell r="C6523">
            <v>16.489999999999998</v>
          </cell>
        </row>
        <row r="6524">
          <cell r="B6524" t="str">
            <v>Bui,Khanh B</v>
          </cell>
          <cell r="C6524">
            <v>49.52</v>
          </cell>
        </row>
        <row r="6525">
          <cell r="B6525" t="str">
            <v>Stringham,Deborah Y</v>
          </cell>
          <cell r="C6525">
            <v>30.15</v>
          </cell>
        </row>
        <row r="6526">
          <cell r="B6526" t="str">
            <v>Rekowski,Warren P</v>
          </cell>
          <cell r="C6526">
            <v>47.16</v>
          </cell>
        </row>
        <row r="6527">
          <cell r="B6527" t="str">
            <v>Sullivan,Barbara K</v>
          </cell>
          <cell r="C6527">
            <v>93.37</v>
          </cell>
        </row>
        <row r="6528">
          <cell r="B6528" t="str">
            <v>Saengnopakunsri,Pongsak</v>
          </cell>
          <cell r="C6528">
            <v>27.56</v>
          </cell>
        </row>
        <row r="6529">
          <cell r="B6529" t="str">
            <v>Capurro,Jorge L</v>
          </cell>
          <cell r="C6529">
            <v>33.53</v>
          </cell>
        </row>
        <row r="6530">
          <cell r="B6530" t="str">
            <v>Lyons,James S</v>
          </cell>
          <cell r="C6530">
            <v>22</v>
          </cell>
        </row>
        <row r="6531">
          <cell r="B6531" t="str">
            <v>Hatten,Chad J</v>
          </cell>
          <cell r="C6531">
            <v>21.43</v>
          </cell>
        </row>
        <row r="6532">
          <cell r="B6532" t="str">
            <v>Hearn,Jessica R</v>
          </cell>
          <cell r="C6532">
            <v>27.23</v>
          </cell>
        </row>
        <row r="6533">
          <cell r="B6533" t="str">
            <v>Mendoza,Joshua</v>
          </cell>
          <cell r="C6533">
            <v>18.95</v>
          </cell>
        </row>
        <row r="6534">
          <cell r="B6534" t="str">
            <v>Nipper,Brandon W</v>
          </cell>
          <cell r="C6534">
            <v>25.36</v>
          </cell>
        </row>
        <row r="6535">
          <cell r="B6535" t="str">
            <v>McLemore,Jared L</v>
          </cell>
          <cell r="C6535">
            <v>37.119999999999997</v>
          </cell>
        </row>
        <row r="6536">
          <cell r="B6536" t="str">
            <v>Trinidad,Victor M</v>
          </cell>
          <cell r="C6536">
            <v>24.81</v>
          </cell>
        </row>
        <row r="6537">
          <cell r="B6537" t="str">
            <v>Baltunado,John R</v>
          </cell>
          <cell r="C6537">
            <v>27.95</v>
          </cell>
        </row>
        <row r="6538">
          <cell r="B6538" t="str">
            <v>Howard,Wayne H</v>
          </cell>
          <cell r="C6538">
            <v>24.79</v>
          </cell>
        </row>
        <row r="6539">
          <cell r="B6539" t="str">
            <v>Lane,Peter R</v>
          </cell>
          <cell r="C6539">
            <v>70.569999999999993</v>
          </cell>
        </row>
        <row r="6540">
          <cell r="B6540" t="str">
            <v>Adams,Leo C</v>
          </cell>
          <cell r="C6540">
            <v>47.33</v>
          </cell>
        </row>
        <row r="6541">
          <cell r="B6541" t="str">
            <v>Gillespie,Scott G</v>
          </cell>
          <cell r="C6541">
            <v>57.692</v>
          </cell>
        </row>
        <row r="6542">
          <cell r="B6542" t="str">
            <v>Frey,Sheila D</v>
          </cell>
          <cell r="C6542">
            <v>39.9039</v>
          </cell>
        </row>
        <row r="6543">
          <cell r="B6543" t="str">
            <v>DuPont,Andrew T</v>
          </cell>
          <cell r="C6543">
            <v>19.75</v>
          </cell>
        </row>
        <row r="6544">
          <cell r="B6544" t="str">
            <v>Guzman,Eli D</v>
          </cell>
          <cell r="C6544">
            <v>21</v>
          </cell>
        </row>
        <row r="6545">
          <cell r="B6545" t="str">
            <v>Bryce,Daniel</v>
          </cell>
          <cell r="C6545">
            <v>46.82</v>
          </cell>
        </row>
        <row r="6546">
          <cell r="B6546" t="str">
            <v>Mijares Jr.,Vicente R</v>
          </cell>
          <cell r="C6546">
            <v>19.5</v>
          </cell>
        </row>
        <row r="6547">
          <cell r="B6547" t="str">
            <v>Mamika,Anatoly</v>
          </cell>
          <cell r="C6547">
            <v>28.965199999999999</v>
          </cell>
        </row>
        <row r="6548">
          <cell r="B6548" t="str">
            <v>Allen,Julia E</v>
          </cell>
          <cell r="C6548">
            <v>31.802900000000001</v>
          </cell>
        </row>
        <row r="6549">
          <cell r="B6549" t="str">
            <v>Nolan,Lora L</v>
          </cell>
          <cell r="C6549">
            <v>18.5</v>
          </cell>
        </row>
        <row r="6550">
          <cell r="B6550" t="str">
            <v>Melcolm,William K</v>
          </cell>
          <cell r="C6550">
            <v>35.58</v>
          </cell>
        </row>
        <row r="6551">
          <cell r="B6551" t="str">
            <v>Dash,Emanuel</v>
          </cell>
          <cell r="C6551">
            <v>40.630000000000003</v>
          </cell>
        </row>
        <row r="6552">
          <cell r="B6552" t="str">
            <v>Appleby,Jerry L</v>
          </cell>
          <cell r="C6552">
            <v>25.95</v>
          </cell>
        </row>
        <row r="6553">
          <cell r="B6553" t="str">
            <v>Sandhu,Peter S</v>
          </cell>
          <cell r="C6553">
            <v>93.389799999999994</v>
          </cell>
        </row>
        <row r="6554">
          <cell r="B6554" t="str">
            <v>Lopez,Albert F</v>
          </cell>
          <cell r="C6554">
            <v>56.29</v>
          </cell>
        </row>
        <row r="6555">
          <cell r="B6555" t="str">
            <v>Harrell,Donna N</v>
          </cell>
          <cell r="C6555">
            <v>17.78</v>
          </cell>
        </row>
        <row r="6556">
          <cell r="B6556" t="str">
            <v>Tregre,Grant M</v>
          </cell>
          <cell r="C6556">
            <v>49.710500000000003</v>
          </cell>
        </row>
        <row r="6557">
          <cell r="B6557" t="str">
            <v>Kitchen,Antoinette L</v>
          </cell>
          <cell r="C6557">
            <v>32.409999999999997</v>
          </cell>
        </row>
        <row r="6558">
          <cell r="B6558" t="str">
            <v>Wynne,Timothy F</v>
          </cell>
          <cell r="C6558">
            <v>48.09</v>
          </cell>
        </row>
        <row r="6559">
          <cell r="B6559" t="str">
            <v>Colby,Gary L</v>
          </cell>
          <cell r="C6559">
            <v>21.64</v>
          </cell>
        </row>
        <row r="6560">
          <cell r="B6560" t="str">
            <v>Yebba,Abby D</v>
          </cell>
          <cell r="C6560">
            <v>26.92</v>
          </cell>
        </row>
        <row r="6561">
          <cell r="B6561" t="str">
            <v>Brown,James D</v>
          </cell>
          <cell r="C6561">
            <v>25.480799999999999</v>
          </cell>
        </row>
        <row r="6562">
          <cell r="B6562" t="str">
            <v>Gore,Takeyta M</v>
          </cell>
          <cell r="C6562">
            <v>21.64</v>
          </cell>
        </row>
        <row r="6563">
          <cell r="B6563" t="str">
            <v>Dettor,Michele D</v>
          </cell>
          <cell r="C6563">
            <v>27.04</v>
          </cell>
        </row>
        <row r="6564">
          <cell r="B6564" t="str">
            <v>Anca,Sonia D</v>
          </cell>
          <cell r="C6564">
            <v>50.32</v>
          </cell>
        </row>
        <row r="6565">
          <cell r="B6565" t="str">
            <v>Waite,Joshua M</v>
          </cell>
          <cell r="C6565">
            <v>19.010000000000002</v>
          </cell>
        </row>
        <row r="6566">
          <cell r="B6566" t="str">
            <v>Taylor,Gary J</v>
          </cell>
          <cell r="C6566">
            <v>54.33</v>
          </cell>
        </row>
        <row r="6567">
          <cell r="B6567" t="str">
            <v>Harper,Frederick L</v>
          </cell>
          <cell r="C6567">
            <v>19.5</v>
          </cell>
        </row>
        <row r="6568">
          <cell r="B6568" t="str">
            <v>Smith,Glenn H</v>
          </cell>
          <cell r="C6568">
            <v>34.159999999999997</v>
          </cell>
        </row>
        <row r="6569">
          <cell r="B6569" t="str">
            <v>Bender,Lora L</v>
          </cell>
          <cell r="C6569">
            <v>21.97</v>
          </cell>
        </row>
        <row r="6570">
          <cell r="B6570" t="str">
            <v>Suarez,Joseph D</v>
          </cell>
          <cell r="C6570">
            <v>64.91</v>
          </cell>
        </row>
        <row r="6571">
          <cell r="B6571" t="str">
            <v>Donellan,Cathleen</v>
          </cell>
          <cell r="C6571">
            <v>34.619999999999997</v>
          </cell>
        </row>
        <row r="6572">
          <cell r="B6572" t="str">
            <v>Walker,Jennifer M</v>
          </cell>
          <cell r="C6572">
            <v>49.52</v>
          </cell>
        </row>
        <row r="6573">
          <cell r="B6573" t="str">
            <v>Olmos,Jorge A</v>
          </cell>
          <cell r="C6573">
            <v>27.12</v>
          </cell>
        </row>
        <row r="6574">
          <cell r="B6574" t="str">
            <v>Forbes,Nadine P</v>
          </cell>
          <cell r="C6574">
            <v>21.92</v>
          </cell>
        </row>
        <row r="6575">
          <cell r="B6575" t="str">
            <v>Kelly,Michael G</v>
          </cell>
          <cell r="C6575">
            <v>56.9</v>
          </cell>
        </row>
        <row r="6576">
          <cell r="B6576" t="str">
            <v>Subia,Jose</v>
          </cell>
          <cell r="C6576">
            <v>36.159999999999997</v>
          </cell>
        </row>
        <row r="6577">
          <cell r="B6577" t="str">
            <v>Hernandez Jr.,Pablo G</v>
          </cell>
          <cell r="C6577">
            <v>25.78</v>
          </cell>
        </row>
        <row r="6578">
          <cell r="B6578" t="str">
            <v>Whaley,Scott E</v>
          </cell>
          <cell r="C6578">
            <v>34.130000000000003</v>
          </cell>
        </row>
        <row r="6579">
          <cell r="B6579" t="str">
            <v>Stutz,William D</v>
          </cell>
          <cell r="C6579">
            <v>40.865385000000003</v>
          </cell>
        </row>
        <row r="6580">
          <cell r="B6580" t="str">
            <v>Corley,Anthony M</v>
          </cell>
          <cell r="C6580">
            <v>18.25</v>
          </cell>
        </row>
        <row r="6581">
          <cell r="B6581" t="str">
            <v>Stine,Leon L</v>
          </cell>
          <cell r="C6581">
            <v>67.31</v>
          </cell>
        </row>
        <row r="6582">
          <cell r="B6582" t="str">
            <v>Zellars,Mark</v>
          </cell>
          <cell r="C6582">
            <v>30</v>
          </cell>
        </row>
        <row r="6583">
          <cell r="B6583" t="str">
            <v>Taylor,Victoria E</v>
          </cell>
          <cell r="C6583">
            <v>24</v>
          </cell>
        </row>
        <row r="6584">
          <cell r="B6584" t="str">
            <v>Serafino,Anthony J</v>
          </cell>
          <cell r="C6584">
            <v>25.961600000000001</v>
          </cell>
        </row>
        <row r="6585">
          <cell r="B6585" t="str">
            <v>Bush,Tanisha A</v>
          </cell>
          <cell r="C6585">
            <v>16.489999999999998</v>
          </cell>
        </row>
        <row r="6586">
          <cell r="B6586" t="str">
            <v>Jackson,Herb A</v>
          </cell>
          <cell r="C6586">
            <v>15.94</v>
          </cell>
        </row>
        <row r="6587">
          <cell r="B6587" t="str">
            <v>Selby,Tameka G</v>
          </cell>
          <cell r="C6587">
            <v>36.06</v>
          </cell>
        </row>
        <row r="6588">
          <cell r="B6588" t="str">
            <v>Canter,Charles O</v>
          </cell>
          <cell r="C6588">
            <v>20.5</v>
          </cell>
        </row>
        <row r="6589">
          <cell r="B6589" t="str">
            <v>Hamoy Jr.,Michael P</v>
          </cell>
          <cell r="C6589">
            <v>22.83</v>
          </cell>
        </row>
        <row r="6590">
          <cell r="B6590" t="str">
            <v>Mendez,Wilbert O</v>
          </cell>
          <cell r="C6590">
            <v>18.32</v>
          </cell>
        </row>
        <row r="6591">
          <cell r="B6591" t="str">
            <v>Wilkerson,Karrie A</v>
          </cell>
          <cell r="C6591">
            <v>16.09</v>
          </cell>
        </row>
        <row r="6592">
          <cell r="B6592" t="str">
            <v>Williams,Emily</v>
          </cell>
          <cell r="C6592">
            <v>15.16</v>
          </cell>
        </row>
        <row r="6593">
          <cell r="B6593" t="str">
            <v>Simpson,Jared P</v>
          </cell>
          <cell r="C6593">
            <v>40.15</v>
          </cell>
        </row>
        <row r="6594">
          <cell r="B6594" t="str">
            <v>Smith,Tyshell L</v>
          </cell>
          <cell r="C6594">
            <v>48.56</v>
          </cell>
        </row>
        <row r="6595">
          <cell r="B6595" t="str">
            <v>Hartman,Neill S</v>
          </cell>
          <cell r="C6595">
            <v>53.37</v>
          </cell>
        </row>
        <row r="6596">
          <cell r="B6596" t="str">
            <v>Mead,Lorraine</v>
          </cell>
          <cell r="C6596">
            <v>51.2</v>
          </cell>
        </row>
        <row r="6597">
          <cell r="B6597" t="str">
            <v>Miller,Rodney B</v>
          </cell>
          <cell r="C6597">
            <v>82.531729999999996</v>
          </cell>
        </row>
        <row r="6598">
          <cell r="B6598" t="str">
            <v>Reynolds,Robert E</v>
          </cell>
          <cell r="C6598">
            <v>19.25</v>
          </cell>
        </row>
        <row r="6599">
          <cell r="B6599" t="str">
            <v>Martin,Tommy W</v>
          </cell>
          <cell r="C6599">
            <v>19</v>
          </cell>
        </row>
        <row r="6600">
          <cell r="B6600" t="str">
            <v>Graves,Tiffany D</v>
          </cell>
          <cell r="C6600">
            <v>24.52</v>
          </cell>
        </row>
        <row r="6601">
          <cell r="B6601" t="str">
            <v>Thomas,Michael L</v>
          </cell>
          <cell r="C6601">
            <v>16</v>
          </cell>
        </row>
        <row r="6602">
          <cell r="B6602" t="str">
            <v>Nguyen,Thanh</v>
          </cell>
          <cell r="C6602">
            <v>30.47</v>
          </cell>
        </row>
        <row r="6603">
          <cell r="B6603" t="str">
            <v>Bechtel,Leroy J</v>
          </cell>
          <cell r="C6603">
            <v>46.645099999999999</v>
          </cell>
        </row>
        <row r="6604">
          <cell r="B6604" t="str">
            <v>Wegrich,Alecia D</v>
          </cell>
          <cell r="C6604">
            <v>29</v>
          </cell>
        </row>
        <row r="6605">
          <cell r="B6605" t="str">
            <v>Wilson,Sean I</v>
          </cell>
          <cell r="C6605">
            <v>35.340000000000003</v>
          </cell>
        </row>
        <row r="6606">
          <cell r="B6606" t="str">
            <v>Harris,Jeremie D</v>
          </cell>
          <cell r="C6606">
            <v>25.83</v>
          </cell>
        </row>
        <row r="6607">
          <cell r="B6607" t="str">
            <v>Reyes,Ivan</v>
          </cell>
          <cell r="C6607">
            <v>17.7</v>
          </cell>
        </row>
        <row r="6608">
          <cell r="B6608" t="str">
            <v>Owens,Anna M</v>
          </cell>
          <cell r="C6608">
            <v>17.66</v>
          </cell>
        </row>
        <row r="6609">
          <cell r="B6609" t="str">
            <v>Broca,Devinderjeet</v>
          </cell>
          <cell r="C6609">
            <v>34.57</v>
          </cell>
        </row>
        <row r="6610">
          <cell r="B6610" t="str">
            <v>Nwidag,Barisua E</v>
          </cell>
          <cell r="C6610">
            <v>36.54</v>
          </cell>
        </row>
        <row r="6611">
          <cell r="B6611" t="str">
            <v>Plair,Samuel M</v>
          </cell>
          <cell r="C6611">
            <v>43.09</v>
          </cell>
        </row>
        <row r="6612">
          <cell r="B6612" t="str">
            <v>Cincotta,Stephan M</v>
          </cell>
          <cell r="C6612">
            <v>41.54</v>
          </cell>
        </row>
        <row r="6613">
          <cell r="B6613" t="str">
            <v>Duan,Niu</v>
          </cell>
          <cell r="C6613">
            <v>71.06</v>
          </cell>
        </row>
        <row r="6614">
          <cell r="B6614" t="str">
            <v>Bergen,Shawn R</v>
          </cell>
          <cell r="C6614">
            <v>34.26</v>
          </cell>
        </row>
        <row r="6615">
          <cell r="B6615" t="str">
            <v>Collier,Jane Ann</v>
          </cell>
          <cell r="C6615">
            <v>43.36</v>
          </cell>
        </row>
        <row r="6616">
          <cell r="B6616" t="str">
            <v>Mitchell,Austin R</v>
          </cell>
          <cell r="C6616">
            <v>21.64</v>
          </cell>
        </row>
        <row r="6617">
          <cell r="B6617" t="str">
            <v>Pozner,Jennifer H</v>
          </cell>
          <cell r="C6617">
            <v>20</v>
          </cell>
        </row>
        <row r="6618">
          <cell r="B6618" t="str">
            <v>Jensen,Robert B</v>
          </cell>
          <cell r="C6618">
            <v>28.18</v>
          </cell>
        </row>
        <row r="6619">
          <cell r="B6619" t="str">
            <v>Nelson,Olin J</v>
          </cell>
          <cell r="C6619">
            <v>19.149999999999999</v>
          </cell>
        </row>
        <row r="6620">
          <cell r="B6620" t="str">
            <v>Heimer,Leslie</v>
          </cell>
          <cell r="C6620">
            <v>20.2</v>
          </cell>
        </row>
        <row r="6621">
          <cell r="B6621" t="str">
            <v>Smith,Romeo</v>
          </cell>
          <cell r="C6621">
            <v>36.06</v>
          </cell>
        </row>
        <row r="6622">
          <cell r="B6622" t="str">
            <v>Duray,Louis J</v>
          </cell>
          <cell r="C6622">
            <v>55.3</v>
          </cell>
        </row>
        <row r="6623">
          <cell r="B6623" t="str">
            <v>Schaeffer,Lyle D</v>
          </cell>
          <cell r="C6623">
            <v>48.21</v>
          </cell>
        </row>
        <row r="6624">
          <cell r="B6624" t="str">
            <v>Lama,Juan-Carlos</v>
          </cell>
          <cell r="C6624">
            <v>67.78</v>
          </cell>
        </row>
        <row r="6625">
          <cell r="B6625" t="str">
            <v>Pitsenbarger,Heather L</v>
          </cell>
          <cell r="C6625">
            <v>31.25</v>
          </cell>
        </row>
        <row r="6626">
          <cell r="B6626" t="str">
            <v>Towers IV,James W</v>
          </cell>
          <cell r="C6626">
            <v>24</v>
          </cell>
        </row>
        <row r="6627">
          <cell r="B6627" t="str">
            <v>Newkirk,Kerman</v>
          </cell>
          <cell r="C6627">
            <v>18.87</v>
          </cell>
        </row>
        <row r="6628">
          <cell r="B6628" t="str">
            <v>Lozano,Hope M</v>
          </cell>
          <cell r="C6628">
            <v>21.78</v>
          </cell>
        </row>
        <row r="6629">
          <cell r="B6629" t="str">
            <v>Casper,Nancy E</v>
          </cell>
          <cell r="C6629">
            <v>75.290000000000006</v>
          </cell>
        </row>
        <row r="6630">
          <cell r="B6630" t="str">
            <v>Newman,Hilton L</v>
          </cell>
          <cell r="C6630">
            <v>23.38</v>
          </cell>
        </row>
        <row r="6631">
          <cell r="B6631" t="str">
            <v>Daniel,Marian I</v>
          </cell>
          <cell r="C6631">
            <v>19.29</v>
          </cell>
        </row>
        <row r="6632">
          <cell r="B6632" t="str">
            <v>Wallen,Brian E</v>
          </cell>
          <cell r="C6632">
            <v>41.75</v>
          </cell>
        </row>
        <row r="6633">
          <cell r="B6633" t="str">
            <v>Gampper IV,Frederick K</v>
          </cell>
          <cell r="C6633">
            <v>41.07</v>
          </cell>
        </row>
        <row r="6634">
          <cell r="B6634" t="str">
            <v>Kolla,Padma B</v>
          </cell>
          <cell r="C6634">
            <v>45.68</v>
          </cell>
        </row>
        <row r="6635">
          <cell r="B6635" t="str">
            <v>Mathena,Chad R</v>
          </cell>
          <cell r="C6635">
            <v>22.4</v>
          </cell>
        </row>
        <row r="6636">
          <cell r="B6636" t="str">
            <v>Lindberg,Paul A</v>
          </cell>
          <cell r="C6636">
            <v>19.32</v>
          </cell>
        </row>
        <row r="6637">
          <cell r="B6637" t="str">
            <v>Aguon,David P</v>
          </cell>
          <cell r="C6637">
            <v>20.99</v>
          </cell>
        </row>
        <row r="6638">
          <cell r="B6638" t="str">
            <v>Rudge,Travis W</v>
          </cell>
          <cell r="C6638">
            <v>38.56</v>
          </cell>
        </row>
        <row r="6639">
          <cell r="B6639" t="str">
            <v>Galvis,Jose FL</v>
          </cell>
          <cell r="C6639">
            <v>14.13</v>
          </cell>
        </row>
        <row r="6640">
          <cell r="B6640" t="str">
            <v>Randall,Derek R</v>
          </cell>
          <cell r="C6640">
            <v>50.49</v>
          </cell>
        </row>
        <row r="6641">
          <cell r="B6641" t="str">
            <v>Scrivner,Dewayne D</v>
          </cell>
          <cell r="C6641">
            <v>19.75</v>
          </cell>
        </row>
        <row r="6642">
          <cell r="B6642" t="str">
            <v>Reed,Shawn K</v>
          </cell>
          <cell r="C6642">
            <v>21</v>
          </cell>
        </row>
        <row r="6643">
          <cell r="B6643" t="str">
            <v>Perches,Amelie A</v>
          </cell>
          <cell r="C6643">
            <v>57.7</v>
          </cell>
        </row>
        <row r="6644">
          <cell r="B6644" t="str">
            <v>Kirk,Joyce M</v>
          </cell>
          <cell r="C6644">
            <v>41.62</v>
          </cell>
        </row>
        <row r="6645">
          <cell r="B6645" t="str">
            <v>Gomes,Luciano S</v>
          </cell>
          <cell r="C6645">
            <v>31.25</v>
          </cell>
        </row>
        <row r="6646">
          <cell r="B6646" t="str">
            <v>Brown,Mark P</v>
          </cell>
          <cell r="C6646">
            <v>67.84</v>
          </cell>
        </row>
        <row r="6647">
          <cell r="B6647" t="str">
            <v>Clinton,Michele M</v>
          </cell>
          <cell r="C6647">
            <v>26.4438</v>
          </cell>
        </row>
        <row r="6648">
          <cell r="B6648" t="str">
            <v>Welch,Matthew W</v>
          </cell>
          <cell r="C6648">
            <v>39.01</v>
          </cell>
        </row>
        <row r="6649">
          <cell r="B6649" t="str">
            <v>Hatch,Michael E</v>
          </cell>
          <cell r="C6649">
            <v>76.808300000000003</v>
          </cell>
        </row>
        <row r="6650">
          <cell r="B6650" t="str">
            <v>Hancock,Kevin N</v>
          </cell>
          <cell r="C6650">
            <v>46.991599999999998</v>
          </cell>
        </row>
        <row r="6651">
          <cell r="B6651" t="str">
            <v>Twitty,Christopher</v>
          </cell>
          <cell r="C6651">
            <v>20.94</v>
          </cell>
        </row>
        <row r="6652">
          <cell r="B6652" t="str">
            <v>Kissel,Laurie L</v>
          </cell>
          <cell r="C6652">
            <v>21.63</v>
          </cell>
        </row>
        <row r="6653">
          <cell r="B6653" t="str">
            <v>Mack,David A</v>
          </cell>
          <cell r="C6653">
            <v>64.91</v>
          </cell>
        </row>
        <row r="6654">
          <cell r="B6654" t="str">
            <v>Moore,Patrick R</v>
          </cell>
          <cell r="C6654">
            <v>19.73</v>
          </cell>
        </row>
        <row r="6655">
          <cell r="B6655" t="str">
            <v>Philburn,Christopher S</v>
          </cell>
          <cell r="C6655">
            <v>44.67</v>
          </cell>
        </row>
        <row r="6656">
          <cell r="B6656" t="str">
            <v>Hurter,Laura K</v>
          </cell>
          <cell r="C6656">
            <v>17.71</v>
          </cell>
        </row>
        <row r="6657">
          <cell r="B6657" t="str">
            <v>Zamora,Lee M</v>
          </cell>
          <cell r="C6657">
            <v>40.590000000000003</v>
          </cell>
        </row>
        <row r="6658">
          <cell r="B6658" t="str">
            <v>Gray,Patrick L</v>
          </cell>
          <cell r="C6658">
            <v>33</v>
          </cell>
        </row>
        <row r="6659">
          <cell r="B6659" t="str">
            <v>Harvey,Christopher M</v>
          </cell>
          <cell r="C6659">
            <v>22</v>
          </cell>
        </row>
        <row r="6660">
          <cell r="B6660" t="str">
            <v>Marshall,Terry S</v>
          </cell>
          <cell r="C6660">
            <v>19</v>
          </cell>
        </row>
        <row r="6661">
          <cell r="B6661" t="str">
            <v>Fripp,Hank</v>
          </cell>
          <cell r="C6661">
            <v>20.5</v>
          </cell>
        </row>
        <row r="6662">
          <cell r="B6662" t="str">
            <v>Boonstra,Karen A</v>
          </cell>
          <cell r="C6662">
            <v>24.16</v>
          </cell>
        </row>
        <row r="6663">
          <cell r="B6663" t="str">
            <v>Slater,Jeremy</v>
          </cell>
          <cell r="C6663">
            <v>18.899999999999999</v>
          </cell>
        </row>
        <row r="6664">
          <cell r="B6664" t="str">
            <v>Edman,Michael C</v>
          </cell>
          <cell r="C6664">
            <v>19.8</v>
          </cell>
        </row>
        <row r="6665">
          <cell r="B6665" t="str">
            <v>Harding Jr.,James F</v>
          </cell>
          <cell r="C6665">
            <v>25.14</v>
          </cell>
        </row>
        <row r="6666">
          <cell r="B6666" t="str">
            <v>Garcia,Maria D</v>
          </cell>
          <cell r="C6666">
            <v>15.66</v>
          </cell>
        </row>
        <row r="6667">
          <cell r="B6667" t="str">
            <v>Barr,Elizabeth</v>
          </cell>
          <cell r="C6667">
            <v>84.45</v>
          </cell>
        </row>
        <row r="6668">
          <cell r="B6668" t="str">
            <v>Woodward,Scotty L</v>
          </cell>
          <cell r="C6668">
            <v>44.32</v>
          </cell>
        </row>
        <row r="6669">
          <cell r="B6669" t="str">
            <v>Dorna,Luke C</v>
          </cell>
          <cell r="C6669">
            <v>31.9543</v>
          </cell>
        </row>
        <row r="6670">
          <cell r="B6670" t="str">
            <v>Orakwue,Enuma V</v>
          </cell>
          <cell r="C6670">
            <v>46.17</v>
          </cell>
        </row>
        <row r="6671">
          <cell r="B6671" t="str">
            <v>Johnson,Mark A</v>
          </cell>
          <cell r="C6671">
            <v>20.52</v>
          </cell>
        </row>
        <row r="6672">
          <cell r="B6672" t="str">
            <v>Nicolson,Ronald M</v>
          </cell>
          <cell r="C6672">
            <v>16.96</v>
          </cell>
        </row>
        <row r="6673">
          <cell r="B6673" t="str">
            <v>Langford II,Neil W</v>
          </cell>
          <cell r="C6673">
            <v>39</v>
          </cell>
        </row>
        <row r="6674">
          <cell r="B6674" t="str">
            <v>Alba,Austin J</v>
          </cell>
          <cell r="C6674">
            <v>20.32</v>
          </cell>
        </row>
        <row r="6675">
          <cell r="B6675" t="str">
            <v>Balk,Kyle J</v>
          </cell>
          <cell r="C6675">
            <v>20.07</v>
          </cell>
        </row>
        <row r="6676">
          <cell r="B6676" t="str">
            <v>Loane,Robert J</v>
          </cell>
          <cell r="C6676">
            <v>40.192399999999999</v>
          </cell>
        </row>
        <row r="6677">
          <cell r="B6677" t="str">
            <v>Mejia,Carol V</v>
          </cell>
          <cell r="C6677">
            <v>22.12</v>
          </cell>
        </row>
        <row r="6678">
          <cell r="B6678" t="str">
            <v>Rippe,Dustin E</v>
          </cell>
          <cell r="C6678">
            <v>22.52</v>
          </cell>
        </row>
        <row r="6679">
          <cell r="B6679" t="str">
            <v>James,Jessica L</v>
          </cell>
          <cell r="C6679">
            <v>38.47</v>
          </cell>
        </row>
        <row r="6680">
          <cell r="B6680" t="str">
            <v>Langley II,Stephen J</v>
          </cell>
          <cell r="C6680">
            <v>30</v>
          </cell>
        </row>
        <row r="6681">
          <cell r="B6681" t="str">
            <v>Ottley-Powell,Nikeisha A</v>
          </cell>
          <cell r="C6681">
            <v>20.46</v>
          </cell>
        </row>
        <row r="6682">
          <cell r="B6682" t="str">
            <v>Frick,Thomas A</v>
          </cell>
          <cell r="C6682">
            <v>19</v>
          </cell>
        </row>
        <row r="6683">
          <cell r="B6683" t="str">
            <v>Eason,Regina M</v>
          </cell>
          <cell r="C6683">
            <v>26.445</v>
          </cell>
        </row>
        <row r="6684">
          <cell r="B6684" t="str">
            <v>Larry,Dawn R</v>
          </cell>
          <cell r="C6684">
            <v>18.5</v>
          </cell>
        </row>
        <row r="6685">
          <cell r="B6685" t="str">
            <v>Forney,Lauren N</v>
          </cell>
          <cell r="C6685">
            <v>18</v>
          </cell>
        </row>
        <row r="6686">
          <cell r="B6686" t="str">
            <v>Keller,Curtis L</v>
          </cell>
          <cell r="C6686">
            <v>49.04</v>
          </cell>
        </row>
        <row r="6687">
          <cell r="B6687" t="str">
            <v>Martin,Charles E</v>
          </cell>
          <cell r="C6687">
            <v>39.06</v>
          </cell>
        </row>
        <row r="6688">
          <cell r="B6688" t="str">
            <v>Davis,Winston L</v>
          </cell>
          <cell r="C6688">
            <v>67.84</v>
          </cell>
        </row>
        <row r="6689">
          <cell r="B6689" t="str">
            <v>Wright,Richard T</v>
          </cell>
          <cell r="C6689">
            <v>19.649999999999999</v>
          </cell>
        </row>
        <row r="6690">
          <cell r="B6690" t="str">
            <v>Homan,Susan J</v>
          </cell>
          <cell r="C6690">
            <v>37.29</v>
          </cell>
        </row>
        <row r="6691">
          <cell r="B6691" t="str">
            <v>Wright,Vincent K</v>
          </cell>
          <cell r="C6691">
            <v>9.8000000000000007</v>
          </cell>
        </row>
        <row r="6692">
          <cell r="B6692" t="str">
            <v>Miller,Rayland</v>
          </cell>
          <cell r="C6692">
            <v>22.58</v>
          </cell>
        </row>
        <row r="6693">
          <cell r="B6693" t="str">
            <v>Brall,Aron</v>
          </cell>
          <cell r="C6693">
            <v>65.383899999999997</v>
          </cell>
        </row>
        <row r="6694">
          <cell r="B6694" t="str">
            <v>Woodberry,Dethra L</v>
          </cell>
          <cell r="C6694">
            <v>15.94</v>
          </cell>
        </row>
        <row r="6695">
          <cell r="B6695" t="str">
            <v>Barnes,Carol L</v>
          </cell>
          <cell r="C6695">
            <v>21.73</v>
          </cell>
        </row>
        <row r="6696">
          <cell r="B6696" t="str">
            <v>Hatfield,Tiffany L</v>
          </cell>
          <cell r="C6696">
            <v>19.62</v>
          </cell>
        </row>
        <row r="6697">
          <cell r="B6697" t="str">
            <v>Wirfs,Bruce D</v>
          </cell>
          <cell r="C6697">
            <v>17.98</v>
          </cell>
        </row>
        <row r="6698">
          <cell r="B6698" t="str">
            <v>Abel,Mark E</v>
          </cell>
          <cell r="C6698">
            <v>110.58</v>
          </cell>
        </row>
        <row r="6699">
          <cell r="B6699" t="str">
            <v>Donahoe,Gerald J</v>
          </cell>
          <cell r="C6699">
            <v>77.86</v>
          </cell>
        </row>
        <row r="6700">
          <cell r="B6700" t="str">
            <v>Aynes,David C D</v>
          </cell>
          <cell r="C6700">
            <v>28.28</v>
          </cell>
        </row>
        <row r="6701">
          <cell r="B6701" t="str">
            <v>Spaar,Jonathan G</v>
          </cell>
          <cell r="C6701">
            <v>52.89</v>
          </cell>
        </row>
        <row r="6702">
          <cell r="B6702" t="str">
            <v>Glessman,Michael J</v>
          </cell>
          <cell r="C6702">
            <v>22.46</v>
          </cell>
        </row>
        <row r="6703">
          <cell r="B6703" t="str">
            <v>Snider,John R</v>
          </cell>
          <cell r="C6703">
            <v>17.28</v>
          </cell>
        </row>
        <row r="6704">
          <cell r="B6704" t="str">
            <v>Korb,David R</v>
          </cell>
          <cell r="C6704">
            <v>16.98</v>
          </cell>
        </row>
        <row r="6705">
          <cell r="B6705" t="str">
            <v>Garcia Jr.,Manuel H</v>
          </cell>
          <cell r="C6705">
            <v>50.48</v>
          </cell>
        </row>
        <row r="6706">
          <cell r="B6706" t="str">
            <v>Barlow,Ryan J</v>
          </cell>
          <cell r="C6706">
            <v>42.307699999999997</v>
          </cell>
        </row>
        <row r="6707">
          <cell r="B6707" t="str">
            <v>Ramos,Juan A</v>
          </cell>
          <cell r="C6707">
            <v>26</v>
          </cell>
        </row>
        <row r="6708">
          <cell r="B6708" t="str">
            <v>Ortiz,Patrick</v>
          </cell>
          <cell r="C6708">
            <v>49.15</v>
          </cell>
        </row>
        <row r="6709">
          <cell r="B6709" t="str">
            <v>Frazier,Mel R</v>
          </cell>
          <cell r="C6709">
            <v>48.71</v>
          </cell>
        </row>
        <row r="6710">
          <cell r="B6710" t="str">
            <v>Bradley,Jessica R</v>
          </cell>
          <cell r="C6710">
            <v>52</v>
          </cell>
        </row>
        <row r="6711">
          <cell r="B6711" t="str">
            <v>Dely Jr.,Larry</v>
          </cell>
          <cell r="C6711">
            <v>26.15</v>
          </cell>
        </row>
        <row r="6712">
          <cell r="B6712" t="str">
            <v>Cade,Brandon R</v>
          </cell>
          <cell r="C6712">
            <v>15.67</v>
          </cell>
        </row>
        <row r="6713">
          <cell r="B6713" t="str">
            <v>Causey,Chad C</v>
          </cell>
          <cell r="C6713">
            <v>73.17</v>
          </cell>
        </row>
        <row r="6714">
          <cell r="B6714" t="str">
            <v>Flores,Victor J</v>
          </cell>
          <cell r="C6714">
            <v>19.98</v>
          </cell>
        </row>
        <row r="6715">
          <cell r="B6715" t="str">
            <v>Schneider,Jeffrey G</v>
          </cell>
          <cell r="C6715">
            <v>20.41</v>
          </cell>
        </row>
        <row r="6716">
          <cell r="B6716" t="str">
            <v>Knapp,Charles B</v>
          </cell>
          <cell r="C6716">
            <v>52.884599999999999</v>
          </cell>
        </row>
        <row r="6717">
          <cell r="B6717" t="str">
            <v>Escobar,Benjamin</v>
          </cell>
          <cell r="C6717">
            <v>19</v>
          </cell>
        </row>
        <row r="6718">
          <cell r="B6718" t="str">
            <v>White,Daniel E</v>
          </cell>
          <cell r="C6718">
            <v>51.45</v>
          </cell>
        </row>
        <row r="6719">
          <cell r="B6719" t="str">
            <v>Sommer,Mark D</v>
          </cell>
          <cell r="C6719">
            <v>60.01</v>
          </cell>
        </row>
        <row r="6720">
          <cell r="B6720" t="str">
            <v>O'Neill,Terry D</v>
          </cell>
          <cell r="C6720">
            <v>47.08</v>
          </cell>
        </row>
        <row r="6721">
          <cell r="B6721" t="str">
            <v>Markiewicz,Jonathan A</v>
          </cell>
          <cell r="C6721">
            <v>42.6</v>
          </cell>
        </row>
        <row r="6722">
          <cell r="B6722" t="str">
            <v>Michou,James M</v>
          </cell>
          <cell r="C6722">
            <v>23</v>
          </cell>
        </row>
        <row r="6723">
          <cell r="B6723" t="str">
            <v>Rodriguez,Manuel</v>
          </cell>
          <cell r="C6723">
            <v>38.229999999999997</v>
          </cell>
        </row>
        <row r="6724">
          <cell r="B6724" t="str">
            <v>Johnson,Matina L</v>
          </cell>
          <cell r="C6724">
            <v>33.32</v>
          </cell>
        </row>
        <row r="6725">
          <cell r="B6725" t="str">
            <v>Grieser,Norman J</v>
          </cell>
          <cell r="C6725">
            <v>17.25</v>
          </cell>
        </row>
        <row r="6726">
          <cell r="B6726" t="str">
            <v>Koon,Randall D</v>
          </cell>
          <cell r="C6726">
            <v>22</v>
          </cell>
        </row>
        <row r="6727">
          <cell r="B6727" t="str">
            <v>Gossett,Gary</v>
          </cell>
          <cell r="C6727">
            <v>43</v>
          </cell>
        </row>
        <row r="6728">
          <cell r="B6728" t="str">
            <v>Wunder,Matthew D</v>
          </cell>
          <cell r="C6728">
            <v>34.11</v>
          </cell>
        </row>
        <row r="6729">
          <cell r="B6729" t="str">
            <v>Kapinos,Steven D</v>
          </cell>
          <cell r="C6729">
            <v>52.89</v>
          </cell>
        </row>
        <row r="6730">
          <cell r="B6730" t="str">
            <v>Haskins Sr.,Cardell B</v>
          </cell>
          <cell r="C6730">
            <v>20</v>
          </cell>
        </row>
        <row r="6731">
          <cell r="B6731" t="str">
            <v>Martin,Debra GW</v>
          </cell>
          <cell r="C6731">
            <v>18.5</v>
          </cell>
        </row>
        <row r="6732">
          <cell r="B6732" t="str">
            <v>Smith,Jacqueline D</v>
          </cell>
          <cell r="C6732">
            <v>22.36</v>
          </cell>
        </row>
        <row r="6733">
          <cell r="B6733" t="str">
            <v>Maldonado,Martin</v>
          </cell>
          <cell r="C6733">
            <v>31.25</v>
          </cell>
        </row>
        <row r="6734">
          <cell r="B6734" t="str">
            <v>Melendez,Jerolyn R</v>
          </cell>
          <cell r="C6734">
            <v>19.399999999999999</v>
          </cell>
        </row>
        <row r="6735">
          <cell r="B6735" t="str">
            <v>Adams,Maurice D</v>
          </cell>
          <cell r="C6735">
            <v>15.33</v>
          </cell>
        </row>
        <row r="6736">
          <cell r="B6736" t="str">
            <v>Valdez Jr.,J C</v>
          </cell>
          <cell r="C6736">
            <v>13.3</v>
          </cell>
        </row>
        <row r="6737">
          <cell r="B6737" t="str">
            <v>Aziz,Raouf I</v>
          </cell>
          <cell r="C6737">
            <v>45.35</v>
          </cell>
        </row>
        <row r="6738">
          <cell r="B6738" t="str">
            <v>Bloch,Maxwell P</v>
          </cell>
          <cell r="C6738">
            <v>16.28</v>
          </cell>
        </row>
        <row r="6739">
          <cell r="B6739" t="str">
            <v>Diaz,Alfredo A</v>
          </cell>
          <cell r="C6739">
            <v>21.9</v>
          </cell>
        </row>
        <row r="6740">
          <cell r="B6740" t="str">
            <v>Hubbard,Sherry L</v>
          </cell>
          <cell r="C6740">
            <v>17.8</v>
          </cell>
        </row>
        <row r="6741">
          <cell r="B6741" t="str">
            <v>Woodside IV,Robert J</v>
          </cell>
          <cell r="C6741">
            <v>30.76</v>
          </cell>
        </row>
        <row r="6742">
          <cell r="B6742" t="str">
            <v>Mercer,Kirstin M</v>
          </cell>
          <cell r="C6742">
            <v>48.08</v>
          </cell>
        </row>
        <row r="6743">
          <cell r="B6743" t="str">
            <v>Massey,Abram Mark</v>
          </cell>
          <cell r="C6743">
            <v>49.49</v>
          </cell>
        </row>
        <row r="6744">
          <cell r="B6744" t="str">
            <v>Kennemore,Lewis S</v>
          </cell>
          <cell r="C6744">
            <v>20.5</v>
          </cell>
        </row>
        <row r="6745">
          <cell r="B6745" t="str">
            <v>Clarke,Steven J</v>
          </cell>
          <cell r="C6745">
            <v>19</v>
          </cell>
        </row>
        <row r="6746">
          <cell r="B6746" t="str">
            <v>Burger,Jessica</v>
          </cell>
          <cell r="C6746">
            <v>18</v>
          </cell>
        </row>
        <row r="6747">
          <cell r="B6747" t="str">
            <v>Dolan,Michael A</v>
          </cell>
          <cell r="C6747">
            <v>19.5</v>
          </cell>
        </row>
        <row r="6748">
          <cell r="B6748" t="str">
            <v>Shoultz,Michcell L</v>
          </cell>
          <cell r="C6748">
            <v>33.21</v>
          </cell>
        </row>
        <row r="6749">
          <cell r="B6749" t="str">
            <v>Berastain,Rafael A</v>
          </cell>
          <cell r="C6749">
            <v>17.25</v>
          </cell>
        </row>
        <row r="6750">
          <cell r="B6750" t="str">
            <v>Tickner,Lucas S</v>
          </cell>
          <cell r="C6750">
            <v>50.4</v>
          </cell>
        </row>
        <row r="6751">
          <cell r="B6751" t="str">
            <v>Aliaga,Alejandro R</v>
          </cell>
          <cell r="C6751">
            <v>20.68</v>
          </cell>
        </row>
        <row r="6752">
          <cell r="B6752" t="str">
            <v>Abeyta,Anthony</v>
          </cell>
          <cell r="C6752">
            <v>20.75</v>
          </cell>
        </row>
        <row r="6753">
          <cell r="B6753" t="str">
            <v>Cortes,Marcelino</v>
          </cell>
          <cell r="C6753">
            <v>21.77</v>
          </cell>
        </row>
        <row r="6754">
          <cell r="B6754" t="str">
            <v>Harvey,Danico W</v>
          </cell>
          <cell r="C6754">
            <v>47.6</v>
          </cell>
        </row>
        <row r="6755">
          <cell r="B6755" t="str">
            <v>Mayo,Joseph W</v>
          </cell>
          <cell r="C6755">
            <v>84.14</v>
          </cell>
        </row>
        <row r="6756">
          <cell r="B6756" t="str">
            <v>Johnson,Cassandra L</v>
          </cell>
          <cell r="C6756">
            <v>37.5</v>
          </cell>
        </row>
        <row r="6757">
          <cell r="B6757" t="str">
            <v>Gilbert,Noelle M</v>
          </cell>
          <cell r="C6757">
            <v>42.31</v>
          </cell>
        </row>
        <row r="6758">
          <cell r="B6758" t="str">
            <v>Messersmith,Ktae E</v>
          </cell>
          <cell r="C6758">
            <v>30.41</v>
          </cell>
        </row>
        <row r="6759">
          <cell r="B6759" t="str">
            <v>Weber,Gayle K</v>
          </cell>
          <cell r="C6759">
            <v>43.27</v>
          </cell>
        </row>
        <row r="6760">
          <cell r="B6760" t="str">
            <v>Toler Jr.,Arnold G</v>
          </cell>
          <cell r="C6760">
            <v>21.05</v>
          </cell>
        </row>
        <row r="6761">
          <cell r="B6761" t="str">
            <v>Harbot,Matthew E</v>
          </cell>
          <cell r="C6761">
            <v>22.5</v>
          </cell>
        </row>
        <row r="6762">
          <cell r="B6762" t="str">
            <v>Libert,John N</v>
          </cell>
          <cell r="C6762">
            <v>49.01</v>
          </cell>
        </row>
        <row r="6763">
          <cell r="B6763" t="str">
            <v>Dismuke,Sylvester M</v>
          </cell>
          <cell r="C6763">
            <v>22</v>
          </cell>
        </row>
        <row r="6764">
          <cell r="B6764" t="str">
            <v>Burns,Jeffrey S</v>
          </cell>
          <cell r="C6764">
            <v>34</v>
          </cell>
        </row>
        <row r="6765">
          <cell r="B6765" t="str">
            <v>Hagger,Kenneth E</v>
          </cell>
          <cell r="C6765">
            <v>15.67</v>
          </cell>
        </row>
        <row r="6766">
          <cell r="B6766" t="str">
            <v>Childress,Marcus</v>
          </cell>
          <cell r="C6766">
            <v>17.5</v>
          </cell>
        </row>
        <row r="6767">
          <cell r="B6767" t="str">
            <v>Kebede,Araya</v>
          </cell>
          <cell r="C6767">
            <v>61.4</v>
          </cell>
        </row>
        <row r="6768">
          <cell r="B6768" t="str">
            <v>Baldwin,Christopher E</v>
          </cell>
          <cell r="C6768">
            <v>26.93</v>
          </cell>
        </row>
        <row r="6769">
          <cell r="B6769" t="str">
            <v>McCollum,Charles</v>
          </cell>
          <cell r="C6769">
            <v>52.9</v>
          </cell>
        </row>
        <row r="6770">
          <cell r="B6770" t="str">
            <v>Mundy,Douglas A</v>
          </cell>
          <cell r="C6770">
            <v>25</v>
          </cell>
        </row>
        <row r="6771">
          <cell r="B6771" t="str">
            <v>Craig,John R</v>
          </cell>
          <cell r="C6771">
            <v>21.5</v>
          </cell>
        </row>
        <row r="6772">
          <cell r="B6772" t="str">
            <v>Miller,Keith A</v>
          </cell>
          <cell r="C6772">
            <v>22</v>
          </cell>
        </row>
        <row r="6773">
          <cell r="B6773" t="str">
            <v>Malhotra,Rishab</v>
          </cell>
          <cell r="C6773">
            <v>32.67</v>
          </cell>
        </row>
        <row r="6774">
          <cell r="B6774" t="str">
            <v>Burger,Don E</v>
          </cell>
          <cell r="C6774">
            <v>21.49</v>
          </cell>
        </row>
        <row r="6775">
          <cell r="B6775" t="str">
            <v>Thompson,Daniel P</v>
          </cell>
          <cell r="C6775">
            <v>36.06</v>
          </cell>
        </row>
        <row r="6776">
          <cell r="B6776" t="str">
            <v>Oberg,Joshua A</v>
          </cell>
          <cell r="C6776">
            <v>21.35</v>
          </cell>
        </row>
        <row r="6777">
          <cell r="B6777" t="str">
            <v>Budnik,Rachel M</v>
          </cell>
          <cell r="C6777">
            <v>28.85</v>
          </cell>
        </row>
        <row r="6778">
          <cell r="B6778" t="str">
            <v>Piche,Michael J</v>
          </cell>
          <cell r="C6778">
            <v>20.66</v>
          </cell>
        </row>
        <row r="6779">
          <cell r="B6779" t="str">
            <v>Keaty,Kevin S</v>
          </cell>
          <cell r="C6779">
            <v>48.076999999999998</v>
          </cell>
        </row>
        <row r="6780">
          <cell r="B6780" t="str">
            <v>Taylor,Lori L</v>
          </cell>
          <cell r="C6780">
            <v>16.399999999999999</v>
          </cell>
        </row>
        <row r="6781">
          <cell r="B6781" t="str">
            <v>Brightwell,Scotty M</v>
          </cell>
          <cell r="C6781">
            <v>34</v>
          </cell>
        </row>
        <row r="6782">
          <cell r="B6782" t="str">
            <v>McPeters,Darryl L</v>
          </cell>
          <cell r="C6782">
            <v>17.52</v>
          </cell>
        </row>
        <row r="6783">
          <cell r="B6783" t="str">
            <v>Fishbone,Justin A</v>
          </cell>
          <cell r="C6783">
            <v>30.25</v>
          </cell>
        </row>
        <row r="6784">
          <cell r="B6784" t="str">
            <v>Ewers,Jacob L</v>
          </cell>
          <cell r="C6784">
            <v>17</v>
          </cell>
        </row>
        <row r="6785">
          <cell r="B6785" t="str">
            <v>Tomko,Van T</v>
          </cell>
          <cell r="C6785">
            <v>17.87</v>
          </cell>
        </row>
        <row r="6786">
          <cell r="B6786" t="str">
            <v>Taylor,Robert B</v>
          </cell>
          <cell r="C6786">
            <v>25</v>
          </cell>
        </row>
        <row r="6787">
          <cell r="B6787" t="str">
            <v>Fleming,Kevin A</v>
          </cell>
          <cell r="C6787">
            <v>22</v>
          </cell>
        </row>
        <row r="6788">
          <cell r="B6788" t="str">
            <v>Grate,Rochelle D</v>
          </cell>
          <cell r="C6788">
            <v>63.29</v>
          </cell>
        </row>
        <row r="6789">
          <cell r="B6789" t="str">
            <v>Nicastro,Kyle N</v>
          </cell>
          <cell r="C6789">
            <v>18</v>
          </cell>
        </row>
        <row r="6790">
          <cell r="B6790" t="str">
            <v>Taylor,Peter J</v>
          </cell>
          <cell r="C6790">
            <v>51.923099999999998</v>
          </cell>
        </row>
        <row r="6791">
          <cell r="B6791" t="str">
            <v>Hilbert,Kristin</v>
          </cell>
          <cell r="C6791">
            <v>67.31</v>
          </cell>
        </row>
        <row r="6792">
          <cell r="B6792" t="str">
            <v>Adams,William P</v>
          </cell>
          <cell r="C6792">
            <v>22.5</v>
          </cell>
        </row>
        <row r="6793">
          <cell r="B6793" t="str">
            <v>Porter,Christopher T</v>
          </cell>
          <cell r="C6793">
            <v>25.22</v>
          </cell>
        </row>
        <row r="6794">
          <cell r="B6794" t="str">
            <v>Harrison,Oscar L</v>
          </cell>
          <cell r="C6794">
            <v>19</v>
          </cell>
        </row>
        <row r="6795">
          <cell r="B6795" t="str">
            <v>Bell,Cynthia J</v>
          </cell>
          <cell r="C6795">
            <v>26.922999999999998</v>
          </cell>
        </row>
        <row r="6796">
          <cell r="B6796" t="str">
            <v>Schlabach,Michael A</v>
          </cell>
          <cell r="C6796">
            <v>64.903899999999993</v>
          </cell>
        </row>
        <row r="6797">
          <cell r="B6797" t="str">
            <v>Smith,Michael J</v>
          </cell>
          <cell r="C6797">
            <v>24</v>
          </cell>
        </row>
        <row r="6798">
          <cell r="B6798" t="str">
            <v>Fox,Kevin M</v>
          </cell>
          <cell r="C6798">
            <v>19</v>
          </cell>
        </row>
        <row r="6799">
          <cell r="B6799" t="str">
            <v>Meketa,Michael P</v>
          </cell>
          <cell r="C6799">
            <v>20.66</v>
          </cell>
        </row>
        <row r="6800">
          <cell r="B6800" t="str">
            <v>Gilbert,Gregory A</v>
          </cell>
          <cell r="C6800">
            <v>30.44</v>
          </cell>
        </row>
        <row r="6801">
          <cell r="B6801" t="str">
            <v>Borohovski,Michael</v>
          </cell>
          <cell r="C6801">
            <v>44.48</v>
          </cell>
        </row>
        <row r="6802">
          <cell r="B6802" t="str">
            <v>Floresmalave,Rafael</v>
          </cell>
          <cell r="C6802">
            <v>19.260000000000002</v>
          </cell>
        </row>
        <row r="6803">
          <cell r="B6803" t="str">
            <v>Coutain,Jason E</v>
          </cell>
          <cell r="C6803">
            <v>16</v>
          </cell>
        </row>
        <row r="6804">
          <cell r="B6804" t="str">
            <v>Maiden,Alden</v>
          </cell>
          <cell r="C6804">
            <v>20.34</v>
          </cell>
        </row>
        <row r="6805">
          <cell r="B6805" t="str">
            <v>Brignoni-Boddy,Maria M</v>
          </cell>
          <cell r="C6805">
            <v>16.690000000000001</v>
          </cell>
        </row>
        <row r="6806">
          <cell r="B6806" t="str">
            <v>Draper,William D</v>
          </cell>
          <cell r="C6806">
            <v>64.459999999999994</v>
          </cell>
        </row>
        <row r="6807">
          <cell r="B6807" t="str">
            <v>Gates,Tiffanny L</v>
          </cell>
          <cell r="C6807">
            <v>110.35</v>
          </cell>
        </row>
        <row r="6808">
          <cell r="B6808" t="str">
            <v>Gibson,Nicole R</v>
          </cell>
          <cell r="C6808">
            <v>37.270000000000003</v>
          </cell>
        </row>
        <row r="6809">
          <cell r="B6809" t="str">
            <v>Komatz,Kevin P</v>
          </cell>
          <cell r="C6809">
            <v>43.85</v>
          </cell>
        </row>
        <row r="6810">
          <cell r="B6810" t="str">
            <v>Sarver,Rachael A</v>
          </cell>
          <cell r="C6810">
            <v>18.899999999999999</v>
          </cell>
        </row>
        <row r="6811">
          <cell r="B6811" t="str">
            <v>Hailey,Martin L</v>
          </cell>
          <cell r="C6811">
            <v>45.673000000000002</v>
          </cell>
        </row>
        <row r="6812">
          <cell r="B6812" t="str">
            <v>Smith,Shelby</v>
          </cell>
          <cell r="C6812">
            <v>15.16</v>
          </cell>
        </row>
        <row r="6813">
          <cell r="B6813" t="str">
            <v>Swaggerty,Susan</v>
          </cell>
          <cell r="C6813">
            <v>32.340000000000003</v>
          </cell>
        </row>
        <row r="6814">
          <cell r="B6814" t="str">
            <v>Maddox,Shane L</v>
          </cell>
          <cell r="C6814">
            <v>21</v>
          </cell>
        </row>
        <row r="6815">
          <cell r="B6815" t="str">
            <v>Baker,Guy E</v>
          </cell>
          <cell r="C6815">
            <v>22.51</v>
          </cell>
        </row>
        <row r="6816">
          <cell r="B6816" t="str">
            <v>Fernandez,Jose R</v>
          </cell>
          <cell r="C6816">
            <v>19.04</v>
          </cell>
        </row>
        <row r="6817">
          <cell r="B6817" t="str">
            <v>Castillo,Carlos M</v>
          </cell>
          <cell r="C6817">
            <v>49.396599999999999</v>
          </cell>
        </row>
        <row r="6818">
          <cell r="B6818" t="str">
            <v>Mitnik,Tammy J</v>
          </cell>
          <cell r="C6818">
            <v>57.875999999999998</v>
          </cell>
        </row>
        <row r="6819">
          <cell r="B6819" t="str">
            <v>Rodwell,Eric J</v>
          </cell>
          <cell r="C6819">
            <v>19.48</v>
          </cell>
        </row>
        <row r="6820">
          <cell r="B6820" t="str">
            <v>Davis,Paula A</v>
          </cell>
          <cell r="C6820">
            <v>21</v>
          </cell>
        </row>
        <row r="6821">
          <cell r="B6821" t="str">
            <v>Calhoun,Cynthia B</v>
          </cell>
          <cell r="C6821">
            <v>18.14</v>
          </cell>
        </row>
        <row r="6822">
          <cell r="B6822" t="str">
            <v>Schrock,Daniel A</v>
          </cell>
          <cell r="C6822">
            <v>17.68</v>
          </cell>
        </row>
        <row r="6823">
          <cell r="B6823" t="str">
            <v>Kennedy,Jacqueline</v>
          </cell>
          <cell r="C6823">
            <v>15.63</v>
          </cell>
        </row>
        <row r="6824">
          <cell r="B6824" t="str">
            <v>Strang,Gregory W</v>
          </cell>
          <cell r="C6824">
            <v>22.93</v>
          </cell>
        </row>
        <row r="6825">
          <cell r="B6825" t="str">
            <v>Appleton,Anita</v>
          </cell>
          <cell r="C6825">
            <v>11</v>
          </cell>
        </row>
        <row r="6826">
          <cell r="B6826" t="str">
            <v>Hess,Paul J</v>
          </cell>
          <cell r="C6826">
            <v>46.538499999999999</v>
          </cell>
        </row>
        <row r="6827">
          <cell r="B6827" t="str">
            <v>Lunn,James A</v>
          </cell>
          <cell r="C6827">
            <v>41.83</v>
          </cell>
        </row>
        <row r="6828">
          <cell r="B6828" t="str">
            <v>Benson,Duane C</v>
          </cell>
          <cell r="C6828">
            <v>14.43</v>
          </cell>
        </row>
        <row r="6829">
          <cell r="B6829" t="str">
            <v>Ellis,Jerry B</v>
          </cell>
          <cell r="C6829">
            <v>60</v>
          </cell>
        </row>
        <row r="6830">
          <cell r="B6830" t="str">
            <v>Jennings,Karen D</v>
          </cell>
          <cell r="C6830">
            <v>22.3</v>
          </cell>
        </row>
        <row r="6831">
          <cell r="B6831" t="str">
            <v>Charbonneau,Julie A</v>
          </cell>
          <cell r="C6831">
            <v>44.44</v>
          </cell>
        </row>
        <row r="6832">
          <cell r="B6832" t="str">
            <v>Montiel,Robert L</v>
          </cell>
          <cell r="C6832">
            <v>27.04</v>
          </cell>
        </row>
        <row r="6833">
          <cell r="B6833" t="str">
            <v>Kesterson,Jonathan H</v>
          </cell>
          <cell r="C6833">
            <v>27</v>
          </cell>
        </row>
        <row r="6834">
          <cell r="B6834" t="str">
            <v>Oliveira,Dennis S</v>
          </cell>
          <cell r="C6834">
            <v>40</v>
          </cell>
        </row>
        <row r="6835">
          <cell r="B6835" t="str">
            <v>Black,Glendon M</v>
          </cell>
          <cell r="C6835">
            <v>19.55</v>
          </cell>
        </row>
        <row r="6836">
          <cell r="B6836" t="str">
            <v>Zamora,Joshua P</v>
          </cell>
          <cell r="C6836">
            <v>10.35</v>
          </cell>
        </row>
        <row r="6837">
          <cell r="B6837" t="str">
            <v>Jackson,John P</v>
          </cell>
          <cell r="C6837">
            <v>22.9</v>
          </cell>
        </row>
        <row r="6838">
          <cell r="B6838" t="str">
            <v>Meredith,Heather</v>
          </cell>
          <cell r="C6838">
            <v>39.19</v>
          </cell>
        </row>
        <row r="6839">
          <cell r="B6839" t="str">
            <v>Otto,Marvin K</v>
          </cell>
          <cell r="C6839">
            <v>34.33</v>
          </cell>
        </row>
        <row r="6840">
          <cell r="B6840" t="str">
            <v>Panighetti,Karen L</v>
          </cell>
          <cell r="C6840">
            <v>21.76</v>
          </cell>
        </row>
        <row r="6841">
          <cell r="B6841" t="str">
            <v>Campbell,Scott T</v>
          </cell>
          <cell r="C6841">
            <v>43.6</v>
          </cell>
        </row>
        <row r="6842">
          <cell r="B6842" t="str">
            <v>Moraga,Pamela J</v>
          </cell>
          <cell r="C6842">
            <v>86.54</v>
          </cell>
        </row>
        <row r="6843">
          <cell r="B6843" t="str">
            <v>Austin,Tracy J</v>
          </cell>
          <cell r="C6843">
            <v>46.16</v>
          </cell>
        </row>
        <row r="6844">
          <cell r="B6844" t="str">
            <v>Eranio,Carl D</v>
          </cell>
          <cell r="C6844">
            <v>22</v>
          </cell>
        </row>
        <row r="6845">
          <cell r="B6845" t="str">
            <v>Laganosky,Gregory J</v>
          </cell>
          <cell r="C6845">
            <v>22.5061</v>
          </cell>
        </row>
        <row r="6846">
          <cell r="B6846" t="str">
            <v>Goff Jr.,Barney B</v>
          </cell>
          <cell r="C6846">
            <v>20.399999999999999</v>
          </cell>
        </row>
        <row r="6847">
          <cell r="B6847" t="str">
            <v>Bell,Rashida A</v>
          </cell>
          <cell r="C6847">
            <v>18.5</v>
          </cell>
        </row>
        <row r="6848">
          <cell r="B6848" t="str">
            <v>Domikis,Richard R</v>
          </cell>
          <cell r="C6848">
            <v>84.19</v>
          </cell>
        </row>
        <row r="6849">
          <cell r="B6849" t="str">
            <v>Bettwy,Bob J</v>
          </cell>
          <cell r="C6849">
            <v>88.762</v>
          </cell>
        </row>
        <row r="6850">
          <cell r="B6850" t="str">
            <v>Craft,Jennifer R</v>
          </cell>
          <cell r="C6850">
            <v>23.8</v>
          </cell>
        </row>
        <row r="6851">
          <cell r="B6851" t="str">
            <v>Kulakowski,Christopher E</v>
          </cell>
          <cell r="C6851">
            <v>24.57</v>
          </cell>
        </row>
        <row r="6852">
          <cell r="B6852" t="str">
            <v>Shaffer,Jeffrey E</v>
          </cell>
          <cell r="C6852">
            <v>38.461599999999997</v>
          </cell>
        </row>
        <row r="6853">
          <cell r="B6853" t="str">
            <v>Pimentel,Robert A</v>
          </cell>
          <cell r="C6853">
            <v>42.31</v>
          </cell>
        </row>
        <row r="6854">
          <cell r="B6854" t="str">
            <v>Miller Sr.,Andrew G</v>
          </cell>
          <cell r="C6854">
            <v>40.869999999999997</v>
          </cell>
        </row>
        <row r="6855">
          <cell r="B6855" t="str">
            <v>Dunnigan,Shaun A</v>
          </cell>
          <cell r="C6855">
            <v>19.899999999999999</v>
          </cell>
        </row>
        <row r="6856">
          <cell r="B6856" t="str">
            <v>Pierson-Lassiter,Charlene A</v>
          </cell>
          <cell r="C6856">
            <v>32.799999999999997</v>
          </cell>
        </row>
        <row r="6857">
          <cell r="B6857" t="str">
            <v>Swinney,Michael H</v>
          </cell>
          <cell r="C6857">
            <v>40.159999999999997</v>
          </cell>
        </row>
        <row r="6858">
          <cell r="B6858" t="str">
            <v>Lao,Debra C</v>
          </cell>
          <cell r="C6858">
            <v>38.369999999999997</v>
          </cell>
        </row>
        <row r="6859">
          <cell r="B6859" t="str">
            <v>Feliciano,Marquita S</v>
          </cell>
          <cell r="C6859">
            <v>15.13</v>
          </cell>
        </row>
        <row r="6860">
          <cell r="B6860" t="str">
            <v>Diaz-Soto,Ivan R</v>
          </cell>
          <cell r="C6860">
            <v>17.62</v>
          </cell>
        </row>
        <row r="6861">
          <cell r="B6861" t="str">
            <v>TeBrake,Jesse A</v>
          </cell>
          <cell r="C6861">
            <v>20.440000000000001</v>
          </cell>
        </row>
        <row r="6862">
          <cell r="B6862" t="str">
            <v>O'Brien,Ronald S</v>
          </cell>
          <cell r="C6862">
            <v>60.1</v>
          </cell>
        </row>
        <row r="6863">
          <cell r="B6863" t="str">
            <v>Nazam,Aisha</v>
          </cell>
          <cell r="C6863">
            <v>20.43</v>
          </cell>
        </row>
        <row r="6864">
          <cell r="B6864" t="str">
            <v>Schumacher,Jack A</v>
          </cell>
          <cell r="C6864">
            <v>34.86</v>
          </cell>
        </row>
        <row r="6865">
          <cell r="B6865" t="str">
            <v>Baker,Sheron J</v>
          </cell>
          <cell r="C6865">
            <v>16.739999999999998</v>
          </cell>
        </row>
        <row r="6866">
          <cell r="B6866" t="str">
            <v>Brown,Andre B</v>
          </cell>
          <cell r="C6866">
            <v>21.25</v>
          </cell>
        </row>
        <row r="6867">
          <cell r="B6867" t="str">
            <v>Gibbons,Kalet M</v>
          </cell>
          <cell r="C6867">
            <v>38.5</v>
          </cell>
        </row>
        <row r="6868">
          <cell r="B6868" t="str">
            <v>Cosme,Carlos</v>
          </cell>
          <cell r="C6868">
            <v>15.84</v>
          </cell>
        </row>
        <row r="6869">
          <cell r="B6869" t="str">
            <v>McJunkins,Eric J</v>
          </cell>
          <cell r="C6869">
            <v>20.55</v>
          </cell>
        </row>
        <row r="6870">
          <cell r="B6870" t="str">
            <v>Bohnenberger,Keith E</v>
          </cell>
          <cell r="C6870">
            <v>71.06</v>
          </cell>
        </row>
        <row r="6871">
          <cell r="B6871" t="str">
            <v>Hunt Jr.,Clifford C</v>
          </cell>
          <cell r="C6871">
            <v>18.41</v>
          </cell>
        </row>
        <row r="6872">
          <cell r="B6872" t="str">
            <v>Garcia,Stacy K</v>
          </cell>
          <cell r="C6872">
            <v>31.15</v>
          </cell>
        </row>
        <row r="6873">
          <cell r="B6873" t="str">
            <v>Hipps,Joseph L</v>
          </cell>
          <cell r="C6873">
            <v>21.36</v>
          </cell>
        </row>
        <row r="6874">
          <cell r="B6874" t="str">
            <v>Gerwitz,Laura M</v>
          </cell>
          <cell r="C6874">
            <v>24.36</v>
          </cell>
        </row>
        <row r="6875">
          <cell r="B6875" t="str">
            <v>Rivera,Israel P</v>
          </cell>
          <cell r="C6875">
            <v>16.489999999999998</v>
          </cell>
        </row>
        <row r="6876">
          <cell r="B6876" t="str">
            <v>Schwabe,John G</v>
          </cell>
          <cell r="C6876">
            <v>84.882000000000005</v>
          </cell>
        </row>
        <row r="6877">
          <cell r="B6877" t="str">
            <v>Black,Tara L</v>
          </cell>
          <cell r="C6877">
            <v>23.08</v>
          </cell>
        </row>
        <row r="6878">
          <cell r="B6878" t="str">
            <v>Harris Sr.,Don E</v>
          </cell>
          <cell r="C6878">
            <v>64.95</v>
          </cell>
        </row>
        <row r="6879">
          <cell r="B6879" t="str">
            <v>Urbanczyk,Joseph M</v>
          </cell>
          <cell r="C6879">
            <v>38.82</v>
          </cell>
        </row>
        <row r="6880">
          <cell r="B6880" t="str">
            <v>Flores,Wallace P</v>
          </cell>
          <cell r="C6880">
            <v>19</v>
          </cell>
        </row>
        <row r="6881">
          <cell r="B6881" t="str">
            <v>Bernabe,Daniel T</v>
          </cell>
          <cell r="C6881">
            <v>26.5</v>
          </cell>
        </row>
        <row r="6882">
          <cell r="B6882" t="str">
            <v>Kilgore,John R</v>
          </cell>
          <cell r="C6882">
            <v>33.384900000000002</v>
          </cell>
        </row>
        <row r="6883">
          <cell r="B6883" t="str">
            <v>Sutton,Willie J</v>
          </cell>
          <cell r="C6883">
            <v>18.38</v>
          </cell>
        </row>
        <row r="6884">
          <cell r="B6884" t="str">
            <v>Willis,Amy L</v>
          </cell>
          <cell r="C6884">
            <v>32</v>
          </cell>
        </row>
        <row r="6885">
          <cell r="B6885" t="str">
            <v>Overton-Miller,James H</v>
          </cell>
          <cell r="C6885">
            <v>37.591999999999999</v>
          </cell>
        </row>
        <row r="6886">
          <cell r="B6886" t="str">
            <v>Harris,Jeremy P</v>
          </cell>
          <cell r="C6886">
            <v>36.79</v>
          </cell>
        </row>
        <row r="6887">
          <cell r="B6887" t="str">
            <v>Dixon,Johnetta A</v>
          </cell>
          <cell r="C6887">
            <v>13.86</v>
          </cell>
        </row>
        <row r="6888">
          <cell r="B6888" t="str">
            <v>Ridenhour,Dustin A</v>
          </cell>
          <cell r="C6888">
            <v>20</v>
          </cell>
        </row>
        <row r="6889">
          <cell r="B6889" t="str">
            <v>Springer,Charles C</v>
          </cell>
          <cell r="C6889">
            <v>57.7</v>
          </cell>
        </row>
        <row r="6890">
          <cell r="B6890" t="str">
            <v>Schaad,Mark A</v>
          </cell>
          <cell r="C6890">
            <v>68.75</v>
          </cell>
        </row>
        <row r="6891">
          <cell r="B6891" t="str">
            <v>Edwards,Michelle L</v>
          </cell>
          <cell r="C6891">
            <v>38.46</v>
          </cell>
        </row>
        <row r="6892">
          <cell r="B6892" t="str">
            <v>Readinger,John P</v>
          </cell>
          <cell r="C6892">
            <v>56.8</v>
          </cell>
        </row>
        <row r="6893">
          <cell r="B6893" t="str">
            <v>Duke,Jodie L</v>
          </cell>
          <cell r="C6893">
            <v>15.42</v>
          </cell>
        </row>
        <row r="6894">
          <cell r="B6894" t="str">
            <v>Schodowski,Jade M</v>
          </cell>
          <cell r="C6894">
            <v>20</v>
          </cell>
        </row>
        <row r="6895">
          <cell r="B6895" t="str">
            <v>Aubert,Frank D</v>
          </cell>
          <cell r="C6895">
            <v>38.455199999999998</v>
          </cell>
        </row>
        <row r="6896">
          <cell r="B6896" t="str">
            <v>Simmons,Lindsay M</v>
          </cell>
          <cell r="C6896">
            <v>27.18</v>
          </cell>
        </row>
        <row r="6897">
          <cell r="B6897" t="str">
            <v>Rivera,Justino</v>
          </cell>
          <cell r="C6897">
            <v>79.33</v>
          </cell>
        </row>
        <row r="6898">
          <cell r="B6898" t="str">
            <v>Boone,Angela N</v>
          </cell>
          <cell r="C6898">
            <v>26.444299999999998</v>
          </cell>
        </row>
        <row r="6899">
          <cell r="B6899" t="str">
            <v>Yardley II,Mickey P</v>
          </cell>
          <cell r="C6899">
            <v>19.37</v>
          </cell>
        </row>
        <row r="6900">
          <cell r="B6900" t="str">
            <v>Perkins,Benny</v>
          </cell>
          <cell r="C6900">
            <v>22.92</v>
          </cell>
        </row>
        <row r="6901">
          <cell r="B6901" t="str">
            <v>Tongue,Nicole J</v>
          </cell>
          <cell r="C6901">
            <v>23.08</v>
          </cell>
        </row>
        <row r="6902">
          <cell r="B6902" t="str">
            <v>Russell Jr.,LaSalle</v>
          </cell>
          <cell r="C6902">
            <v>18.5</v>
          </cell>
        </row>
        <row r="6903">
          <cell r="B6903" t="str">
            <v>Flynn,Amy M</v>
          </cell>
          <cell r="C6903">
            <v>42.2821</v>
          </cell>
        </row>
        <row r="6904">
          <cell r="B6904" t="str">
            <v>Roach,Travis K</v>
          </cell>
          <cell r="C6904">
            <v>58.13</v>
          </cell>
        </row>
        <row r="6905">
          <cell r="B6905" t="str">
            <v>Sanetrik,Robert M</v>
          </cell>
          <cell r="C6905">
            <v>65.3</v>
          </cell>
        </row>
        <row r="6906">
          <cell r="B6906" t="str">
            <v>Gonsoulin,Darren B</v>
          </cell>
          <cell r="C6906">
            <v>20.03</v>
          </cell>
        </row>
        <row r="6907">
          <cell r="B6907" t="str">
            <v>Colmes,Mary C</v>
          </cell>
          <cell r="C6907">
            <v>42.34</v>
          </cell>
        </row>
        <row r="6908">
          <cell r="B6908" t="str">
            <v>Dillon,Jonathan G</v>
          </cell>
          <cell r="C6908">
            <v>22.46</v>
          </cell>
        </row>
        <row r="6909">
          <cell r="B6909" t="str">
            <v>Michaelsen,Jennifer J</v>
          </cell>
          <cell r="C6909">
            <v>21.35</v>
          </cell>
        </row>
        <row r="6910">
          <cell r="B6910" t="str">
            <v>Butler Jr.,Reginald W</v>
          </cell>
          <cell r="C6910">
            <v>45.67</v>
          </cell>
        </row>
        <row r="6911">
          <cell r="B6911" t="str">
            <v>Johnson Jr.,Arthur L</v>
          </cell>
          <cell r="C6911">
            <v>19.149999999999999</v>
          </cell>
        </row>
        <row r="6912">
          <cell r="B6912" t="str">
            <v>Ayala,Theresa</v>
          </cell>
          <cell r="C6912">
            <v>16.100000000000001</v>
          </cell>
        </row>
        <row r="6913">
          <cell r="B6913" t="str">
            <v>Gordon,Cameron S</v>
          </cell>
          <cell r="C6913">
            <v>17.260000000000002</v>
          </cell>
        </row>
        <row r="6914">
          <cell r="B6914" t="str">
            <v>Collazo,Ennius</v>
          </cell>
          <cell r="C6914">
            <v>21</v>
          </cell>
        </row>
        <row r="6915">
          <cell r="B6915" t="str">
            <v>Bright Jr,Herman L</v>
          </cell>
          <cell r="C6915">
            <v>39</v>
          </cell>
        </row>
        <row r="6916">
          <cell r="B6916" t="str">
            <v>Darnall,Richard C</v>
          </cell>
          <cell r="C6916">
            <v>20.25</v>
          </cell>
        </row>
        <row r="6917">
          <cell r="B6917" t="str">
            <v>Lacot,Gregory J</v>
          </cell>
          <cell r="C6917">
            <v>23.42</v>
          </cell>
        </row>
        <row r="6918">
          <cell r="B6918" t="str">
            <v>Baker,Christopher P</v>
          </cell>
          <cell r="C6918">
            <v>15</v>
          </cell>
        </row>
        <row r="6919">
          <cell r="B6919" t="str">
            <v>Brewer,Reginald</v>
          </cell>
          <cell r="C6919">
            <v>18.059999999999999</v>
          </cell>
        </row>
        <row r="6920">
          <cell r="B6920" t="str">
            <v>Capers,Claya J</v>
          </cell>
          <cell r="C6920">
            <v>16.09</v>
          </cell>
        </row>
        <row r="6921">
          <cell r="B6921" t="str">
            <v>Cole,Daniel F</v>
          </cell>
          <cell r="C6921">
            <v>26.75</v>
          </cell>
        </row>
        <row r="6922">
          <cell r="B6922" t="str">
            <v>Fye,Royel L</v>
          </cell>
          <cell r="C6922">
            <v>19.149999999999999</v>
          </cell>
        </row>
        <row r="6923">
          <cell r="B6923" t="str">
            <v>Louden,Kimberly D</v>
          </cell>
          <cell r="C6923">
            <v>20.91</v>
          </cell>
        </row>
        <row r="6924">
          <cell r="B6924" t="str">
            <v>Kelley,Kevin L</v>
          </cell>
          <cell r="C6924">
            <v>63.461500000000001</v>
          </cell>
        </row>
        <row r="6925">
          <cell r="B6925" t="str">
            <v>Richards,Arnulfo G</v>
          </cell>
          <cell r="C6925">
            <v>21.5</v>
          </cell>
        </row>
        <row r="6926">
          <cell r="B6926" t="str">
            <v>Baldwin,Joseph A</v>
          </cell>
          <cell r="C6926">
            <v>16.829999999999998</v>
          </cell>
        </row>
        <row r="6927">
          <cell r="B6927" t="str">
            <v>Dalo,Sabrina A</v>
          </cell>
          <cell r="C6927">
            <v>25.961600000000001</v>
          </cell>
        </row>
        <row r="6928">
          <cell r="B6928" t="str">
            <v>Gale,Jamie R</v>
          </cell>
          <cell r="C6928">
            <v>23.077000000000002</v>
          </cell>
        </row>
        <row r="6929">
          <cell r="B6929" t="str">
            <v>Nguyen,Linda T</v>
          </cell>
          <cell r="C6929">
            <v>57.7</v>
          </cell>
        </row>
        <row r="6930">
          <cell r="B6930" t="str">
            <v>Malave,Israel V</v>
          </cell>
          <cell r="C6930">
            <v>22</v>
          </cell>
        </row>
        <row r="6931">
          <cell r="B6931" t="str">
            <v>Martinez,Richard H</v>
          </cell>
          <cell r="C6931">
            <v>20</v>
          </cell>
        </row>
        <row r="6932">
          <cell r="B6932" t="str">
            <v>Pittman,Davey</v>
          </cell>
          <cell r="C6932">
            <v>19</v>
          </cell>
        </row>
        <row r="6933">
          <cell r="B6933" t="str">
            <v>Singleton,David W</v>
          </cell>
          <cell r="C6933">
            <v>48.48</v>
          </cell>
        </row>
        <row r="6934">
          <cell r="B6934" t="str">
            <v>Higgins,Darwin J</v>
          </cell>
          <cell r="C6934">
            <v>34.270000000000003</v>
          </cell>
        </row>
        <row r="6935">
          <cell r="B6935" t="str">
            <v>Inman,Charles</v>
          </cell>
          <cell r="C6935">
            <v>22.68</v>
          </cell>
        </row>
        <row r="6936">
          <cell r="B6936" t="str">
            <v>Griegel,Stephen</v>
          </cell>
          <cell r="C6936">
            <v>38.47</v>
          </cell>
        </row>
        <row r="6937">
          <cell r="B6937" t="str">
            <v>Rebelo,Sandra G</v>
          </cell>
          <cell r="C6937">
            <v>44.95</v>
          </cell>
        </row>
        <row r="6938">
          <cell r="B6938" t="str">
            <v>Jones,Corey L</v>
          </cell>
          <cell r="C6938">
            <v>25</v>
          </cell>
        </row>
        <row r="6939">
          <cell r="B6939" t="str">
            <v>Crawley,Terence L</v>
          </cell>
          <cell r="C6939">
            <v>61.06</v>
          </cell>
        </row>
        <row r="6940">
          <cell r="B6940" t="str">
            <v>Roth,Susan A</v>
          </cell>
          <cell r="C6940">
            <v>19.899999999999999</v>
          </cell>
        </row>
        <row r="6941">
          <cell r="B6941" t="str">
            <v>Nateghian,Siavash</v>
          </cell>
          <cell r="C6941">
            <v>17.16</v>
          </cell>
        </row>
        <row r="6942">
          <cell r="B6942" t="str">
            <v>Jodoin Jr.,Albert R</v>
          </cell>
          <cell r="C6942">
            <v>24</v>
          </cell>
        </row>
        <row r="6943">
          <cell r="B6943" t="str">
            <v>Bryan,Irby W</v>
          </cell>
          <cell r="C6943">
            <v>62.5</v>
          </cell>
        </row>
        <row r="6944">
          <cell r="B6944" t="str">
            <v>Colon,Daniel L</v>
          </cell>
          <cell r="C6944">
            <v>45.673099999999998</v>
          </cell>
        </row>
        <row r="6945">
          <cell r="B6945" t="str">
            <v>Solomon,Tammie P</v>
          </cell>
          <cell r="C6945">
            <v>16.489999999999998</v>
          </cell>
        </row>
        <row r="6946">
          <cell r="B6946" t="str">
            <v>Rice,Robin P</v>
          </cell>
          <cell r="C6946">
            <v>71.16</v>
          </cell>
        </row>
        <row r="6947">
          <cell r="B6947" t="str">
            <v>Hawkins,Calvin D</v>
          </cell>
          <cell r="C6947">
            <v>42.84</v>
          </cell>
        </row>
        <row r="6948">
          <cell r="B6948" t="str">
            <v>Gutierrez,Thomas</v>
          </cell>
          <cell r="C6948">
            <v>20.16</v>
          </cell>
        </row>
        <row r="6949">
          <cell r="B6949" t="str">
            <v>Fields,John H</v>
          </cell>
          <cell r="C6949">
            <v>23.57</v>
          </cell>
        </row>
        <row r="6950">
          <cell r="B6950" t="str">
            <v>Blackwell,Roger D</v>
          </cell>
          <cell r="C6950">
            <v>22.09</v>
          </cell>
        </row>
        <row r="6951">
          <cell r="B6951" t="str">
            <v>Gould,Joshua A</v>
          </cell>
          <cell r="C6951">
            <v>22.27</v>
          </cell>
        </row>
        <row r="6952">
          <cell r="B6952" t="str">
            <v>Bacon,Daniel A</v>
          </cell>
          <cell r="C6952">
            <v>32</v>
          </cell>
        </row>
        <row r="6953">
          <cell r="B6953" t="str">
            <v>Demko,Joseph R</v>
          </cell>
          <cell r="C6953">
            <v>40</v>
          </cell>
        </row>
        <row r="6954">
          <cell r="B6954" t="str">
            <v>Evans,Ronald L</v>
          </cell>
          <cell r="C6954">
            <v>43.27</v>
          </cell>
        </row>
        <row r="6955">
          <cell r="B6955" t="str">
            <v>Lajeen,Shleemon I</v>
          </cell>
          <cell r="C6955">
            <v>35.590000000000003</v>
          </cell>
        </row>
        <row r="6956">
          <cell r="B6956" t="str">
            <v>Montes,Ramon A</v>
          </cell>
          <cell r="C6956">
            <v>33</v>
          </cell>
        </row>
        <row r="6957">
          <cell r="B6957" t="str">
            <v>Taylor,Annie M</v>
          </cell>
          <cell r="C6957">
            <v>32.729999999999997</v>
          </cell>
        </row>
        <row r="6958">
          <cell r="B6958" t="str">
            <v>Wallace,Laura A</v>
          </cell>
          <cell r="C6958">
            <v>18.89</v>
          </cell>
        </row>
        <row r="6959">
          <cell r="B6959" t="str">
            <v>Faust,Hugh H</v>
          </cell>
          <cell r="C6959">
            <v>73.73</v>
          </cell>
        </row>
        <row r="6960">
          <cell r="B6960" t="str">
            <v>Acosta,Nabetse X</v>
          </cell>
          <cell r="C6960">
            <v>22</v>
          </cell>
        </row>
        <row r="6961">
          <cell r="B6961" t="str">
            <v>Lockhart,Mark A</v>
          </cell>
          <cell r="C6961">
            <v>35.450000000000003</v>
          </cell>
        </row>
        <row r="6962">
          <cell r="B6962" t="str">
            <v>Balcom,Glenn R</v>
          </cell>
          <cell r="C6962">
            <v>21.15</v>
          </cell>
        </row>
        <row r="6963">
          <cell r="B6963" t="str">
            <v>Camp,Neil Damon</v>
          </cell>
          <cell r="C6963">
            <v>50.27</v>
          </cell>
        </row>
        <row r="6964">
          <cell r="B6964" t="str">
            <v>Jones,Francine R</v>
          </cell>
          <cell r="C6964">
            <v>39.909999999999997</v>
          </cell>
        </row>
        <row r="6965">
          <cell r="B6965" t="str">
            <v>Gullo,Thomas C</v>
          </cell>
          <cell r="C6965">
            <v>55.85</v>
          </cell>
        </row>
        <row r="6966">
          <cell r="B6966" t="str">
            <v>Hill,Everett</v>
          </cell>
          <cell r="C6966">
            <v>16.489999999999998</v>
          </cell>
        </row>
        <row r="6967">
          <cell r="B6967" t="str">
            <v>Jones,Julie M</v>
          </cell>
          <cell r="C6967">
            <v>19.239999999999998</v>
          </cell>
        </row>
        <row r="6968">
          <cell r="B6968" t="str">
            <v>Smith,Tina</v>
          </cell>
          <cell r="C6968">
            <v>38.46</v>
          </cell>
        </row>
        <row r="6969">
          <cell r="B6969" t="str">
            <v>Pace,Theopolis L</v>
          </cell>
          <cell r="C6969">
            <v>19.809999999999999</v>
          </cell>
        </row>
        <row r="6970">
          <cell r="B6970" t="str">
            <v>Colby,Jennifer</v>
          </cell>
          <cell r="C6970">
            <v>33.82</v>
          </cell>
        </row>
        <row r="6971">
          <cell r="B6971" t="str">
            <v>Anderson,Arron T</v>
          </cell>
          <cell r="C6971">
            <v>20.74</v>
          </cell>
        </row>
        <row r="6972">
          <cell r="B6972" t="str">
            <v>Byrne,Andrew R</v>
          </cell>
          <cell r="C6972">
            <v>21.64</v>
          </cell>
        </row>
        <row r="6973">
          <cell r="B6973" t="str">
            <v>Nuernberg,Michael K</v>
          </cell>
          <cell r="C6973">
            <v>26.48</v>
          </cell>
        </row>
        <row r="6974">
          <cell r="B6974" t="str">
            <v>Schandorf,Casely O</v>
          </cell>
          <cell r="C6974">
            <v>48.08</v>
          </cell>
        </row>
        <row r="6975">
          <cell r="B6975" t="str">
            <v>Allard,Michael W</v>
          </cell>
          <cell r="C6975">
            <v>70.2</v>
          </cell>
        </row>
        <row r="6976">
          <cell r="B6976" t="str">
            <v>Guiffre,James A</v>
          </cell>
          <cell r="C6976">
            <v>72.12</v>
          </cell>
        </row>
        <row r="6977">
          <cell r="B6977" t="str">
            <v>Norris,Brian L</v>
          </cell>
          <cell r="C6977">
            <v>25</v>
          </cell>
        </row>
        <row r="6978">
          <cell r="B6978" t="str">
            <v>Harris,Raymond E</v>
          </cell>
          <cell r="C6978">
            <v>57.35</v>
          </cell>
        </row>
        <row r="6979">
          <cell r="B6979" t="str">
            <v>Lundgren,Scott</v>
          </cell>
          <cell r="C6979">
            <v>64.91</v>
          </cell>
        </row>
        <row r="6980">
          <cell r="B6980" t="str">
            <v>Elliott,Jedediah D</v>
          </cell>
          <cell r="C6980">
            <v>18.5</v>
          </cell>
        </row>
        <row r="6981">
          <cell r="B6981" t="str">
            <v>Scheffel,Sabrina J</v>
          </cell>
          <cell r="C6981">
            <v>20.97</v>
          </cell>
        </row>
        <row r="6982">
          <cell r="B6982" t="str">
            <v>Bowman,Branka</v>
          </cell>
          <cell r="C6982">
            <v>43.37</v>
          </cell>
        </row>
        <row r="6983">
          <cell r="B6983" t="str">
            <v>Baker,Kristin K</v>
          </cell>
          <cell r="C6983">
            <v>32.81</v>
          </cell>
        </row>
        <row r="6984">
          <cell r="B6984" t="str">
            <v>Desmond,Lindsay M</v>
          </cell>
          <cell r="C6984">
            <v>37.26</v>
          </cell>
        </row>
        <row r="6985">
          <cell r="B6985" t="str">
            <v>Ribble,Barry</v>
          </cell>
          <cell r="C6985">
            <v>36.06</v>
          </cell>
        </row>
        <row r="6986">
          <cell r="B6986" t="str">
            <v>Roach,Eric J</v>
          </cell>
          <cell r="C6986">
            <v>23</v>
          </cell>
        </row>
        <row r="6987">
          <cell r="B6987" t="str">
            <v>Scarborough,Nancy J</v>
          </cell>
          <cell r="C6987">
            <v>19.55</v>
          </cell>
        </row>
        <row r="6988">
          <cell r="B6988" t="str">
            <v>Jackson,Reginald G</v>
          </cell>
          <cell r="C6988">
            <v>21</v>
          </cell>
        </row>
        <row r="6989">
          <cell r="B6989" t="str">
            <v>Norris,Patricia L</v>
          </cell>
          <cell r="C6989">
            <v>25.95</v>
          </cell>
        </row>
        <row r="6990">
          <cell r="B6990" t="str">
            <v>Zachary,Andy L</v>
          </cell>
          <cell r="C6990">
            <v>22</v>
          </cell>
        </row>
        <row r="6991">
          <cell r="B6991" t="str">
            <v>Degg,Jason C</v>
          </cell>
          <cell r="C6991">
            <v>19.38</v>
          </cell>
        </row>
        <row r="6992">
          <cell r="B6992" t="str">
            <v>Lunsford,John P</v>
          </cell>
          <cell r="C6992">
            <v>21.64</v>
          </cell>
        </row>
        <row r="6993">
          <cell r="B6993" t="str">
            <v>Williams,Eric V</v>
          </cell>
          <cell r="C6993">
            <v>18.75</v>
          </cell>
        </row>
        <row r="6994">
          <cell r="B6994" t="str">
            <v>Brown,Randy C</v>
          </cell>
          <cell r="C6994">
            <v>26.33</v>
          </cell>
        </row>
        <row r="6995">
          <cell r="B6995" t="str">
            <v>Peterson,Joseph J</v>
          </cell>
          <cell r="C6995">
            <v>24.04</v>
          </cell>
        </row>
        <row r="6996">
          <cell r="B6996" t="str">
            <v>Dillon,Leo C</v>
          </cell>
          <cell r="C6996">
            <v>20.89</v>
          </cell>
        </row>
        <row r="6997">
          <cell r="B6997" t="str">
            <v>Elaffas,Afaf</v>
          </cell>
          <cell r="C6997">
            <v>50.32</v>
          </cell>
        </row>
        <row r="6998">
          <cell r="B6998" t="str">
            <v>Miller,Ledon K</v>
          </cell>
          <cell r="C6998">
            <v>50.49</v>
          </cell>
        </row>
        <row r="6999">
          <cell r="B6999" t="str">
            <v>Boyd,Kevin M</v>
          </cell>
          <cell r="C6999">
            <v>18</v>
          </cell>
        </row>
        <row r="7000">
          <cell r="B7000" t="str">
            <v>Miller,Amy L</v>
          </cell>
          <cell r="C7000">
            <v>18.649999999999999</v>
          </cell>
        </row>
        <row r="7001">
          <cell r="B7001" t="str">
            <v>Young,Stacie</v>
          </cell>
          <cell r="C7001">
            <v>41.97</v>
          </cell>
        </row>
        <row r="7002">
          <cell r="B7002" t="str">
            <v>Hoffman,Kyle A</v>
          </cell>
          <cell r="C7002">
            <v>16.75</v>
          </cell>
        </row>
        <row r="7003">
          <cell r="B7003" t="str">
            <v>Andrzejewski,Brian C</v>
          </cell>
          <cell r="C7003">
            <v>33.659999999999997</v>
          </cell>
        </row>
        <row r="7004">
          <cell r="B7004" t="str">
            <v>Hakes,Roy M</v>
          </cell>
          <cell r="C7004">
            <v>65.682692000000003</v>
          </cell>
        </row>
        <row r="7005">
          <cell r="B7005" t="str">
            <v>Kirkland,John F</v>
          </cell>
          <cell r="C7005">
            <v>13.51</v>
          </cell>
        </row>
        <row r="7006">
          <cell r="B7006" t="str">
            <v>Anzalone,Joseph M</v>
          </cell>
          <cell r="C7006">
            <v>25.99</v>
          </cell>
        </row>
        <row r="7007">
          <cell r="B7007" t="str">
            <v>Hayes,Phyllis M</v>
          </cell>
          <cell r="C7007">
            <v>20.079999999999998</v>
          </cell>
        </row>
        <row r="7008">
          <cell r="B7008" t="str">
            <v>Moon,Katherine L</v>
          </cell>
          <cell r="C7008">
            <v>34.42</v>
          </cell>
        </row>
        <row r="7009">
          <cell r="B7009" t="str">
            <v>Dempsey,Kyle E</v>
          </cell>
          <cell r="C7009">
            <v>40.9</v>
          </cell>
        </row>
        <row r="7010">
          <cell r="B7010" t="str">
            <v>Mager,Elizabeth A</v>
          </cell>
          <cell r="C7010">
            <v>23.99</v>
          </cell>
        </row>
        <row r="7011">
          <cell r="B7011" t="str">
            <v>Hutchins,Diane M</v>
          </cell>
          <cell r="C7011">
            <v>36.76</v>
          </cell>
        </row>
        <row r="7012">
          <cell r="B7012" t="str">
            <v>Canada,Jennifer C</v>
          </cell>
          <cell r="C7012">
            <v>19.91</v>
          </cell>
        </row>
        <row r="7013">
          <cell r="B7013" t="str">
            <v>Timberman,Roy L</v>
          </cell>
          <cell r="C7013">
            <v>45.29</v>
          </cell>
        </row>
        <row r="7014">
          <cell r="B7014" t="str">
            <v>Feltes,Vesna</v>
          </cell>
          <cell r="C7014">
            <v>30.05</v>
          </cell>
        </row>
        <row r="7015">
          <cell r="B7015" t="str">
            <v>Fife,Katie</v>
          </cell>
          <cell r="C7015">
            <v>24</v>
          </cell>
        </row>
        <row r="7016">
          <cell r="B7016" t="str">
            <v>Singletary,Alberta M</v>
          </cell>
          <cell r="C7016">
            <v>33.659999999999997</v>
          </cell>
        </row>
        <row r="7017">
          <cell r="B7017" t="str">
            <v>Chu,Jenny</v>
          </cell>
          <cell r="C7017">
            <v>23.35</v>
          </cell>
        </row>
        <row r="7018">
          <cell r="B7018" t="str">
            <v>Plunkett,William C</v>
          </cell>
          <cell r="C7018">
            <v>84.2</v>
          </cell>
        </row>
        <row r="7019">
          <cell r="B7019" t="str">
            <v>Angelica,Brian</v>
          </cell>
          <cell r="C7019">
            <v>30.29</v>
          </cell>
        </row>
        <row r="7020">
          <cell r="B7020" t="str">
            <v>Martinez,Gilbert D</v>
          </cell>
          <cell r="C7020">
            <v>20.75</v>
          </cell>
        </row>
        <row r="7021">
          <cell r="B7021" t="str">
            <v>Sellitto,Michael</v>
          </cell>
          <cell r="C7021">
            <v>44.1</v>
          </cell>
        </row>
        <row r="7022">
          <cell r="B7022" t="str">
            <v>Hackney,Debra A</v>
          </cell>
          <cell r="C7022">
            <v>20.29</v>
          </cell>
        </row>
        <row r="7023">
          <cell r="B7023" t="str">
            <v>Wilson,Kelly M</v>
          </cell>
          <cell r="C7023">
            <v>22.93</v>
          </cell>
        </row>
        <row r="7024">
          <cell r="B7024" t="str">
            <v>Vaissenberg,Mikhail G</v>
          </cell>
          <cell r="C7024">
            <v>26.23</v>
          </cell>
        </row>
        <row r="7025">
          <cell r="B7025" t="str">
            <v>Ho,Minh N</v>
          </cell>
          <cell r="C7025">
            <v>48.08</v>
          </cell>
        </row>
        <row r="7026">
          <cell r="B7026" t="str">
            <v>Calhoun,Jerome M</v>
          </cell>
          <cell r="C7026">
            <v>19.68</v>
          </cell>
        </row>
        <row r="7027">
          <cell r="B7027" t="str">
            <v>Simpson,Patrick B</v>
          </cell>
          <cell r="C7027">
            <v>63.92</v>
          </cell>
        </row>
        <row r="7028">
          <cell r="B7028" t="str">
            <v>Holmes,Jyounkee</v>
          </cell>
          <cell r="C7028">
            <v>39.909999999999997</v>
          </cell>
        </row>
        <row r="7029">
          <cell r="B7029" t="str">
            <v>Tibbs II,Billy Wayne</v>
          </cell>
          <cell r="C7029">
            <v>43.75</v>
          </cell>
        </row>
        <row r="7030">
          <cell r="B7030" t="str">
            <v>Demar,Jeremy D</v>
          </cell>
          <cell r="C7030">
            <v>49</v>
          </cell>
        </row>
        <row r="7031">
          <cell r="B7031" t="str">
            <v>Carr,Christopher D</v>
          </cell>
          <cell r="C7031">
            <v>19</v>
          </cell>
        </row>
        <row r="7032">
          <cell r="B7032" t="str">
            <v>McDaniel,Charles</v>
          </cell>
          <cell r="C7032">
            <v>21.43</v>
          </cell>
        </row>
        <row r="7033">
          <cell r="B7033" t="str">
            <v>Ferfolia,Joseph P</v>
          </cell>
          <cell r="C7033">
            <v>55.29</v>
          </cell>
        </row>
        <row r="7034">
          <cell r="B7034" t="str">
            <v>Shropshire,Tony G</v>
          </cell>
          <cell r="C7034">
            <v>21</v>
          </cell>
        </row>
        <row r="7035">
          <cell r="B7035" t="str">
            <v>Reyes,Richard C</v>
          </cell>
          <cell r="C7035">
            <v>25</v>
          </cell>
        </row>
        <row r="7036">
          <cell r="B7036" t="str">
            <v>Jones,Melvin L</v>
          </cell>
          <cell r="C7036">
            <v>42.72</v>
          </cell>
        </row>
        <row r="7037">
          <cell r="B7037" t="str">
            <v>Saplan,Ana M</v>
          </cell>
          <cell r="C7037">
            <v>59.168799999999997</v>
          </cell>
        </row>
        <row r="7038">
          <cell r="B7038" t="str">
            <v>Alexander Jr.,John E</v>
          </cell>
          <cell r="C7038">
            <v>24.44</v>
          </cell>
        </row>
        <row r="7039">
          <cell r="B7039" t="str">
            <v>Yates,Scott M</v>
          </cell>
          <cell r="C7039">
            <v>71.28</v>
          </cell>
        </row>
        <row r="7040">
          <cell r="B7040" t="str">
            <v>Stearns,Thomas P</v>
          </cell>
          <cell r="C7040">
            <v>37.28</v>
          </cell>
        </row>
        <row r="7041">
          <cell r="B7041" t="str">
            <v>Mitchell,Daniel S</v>
          </cell>
          <cell r="C7041">
            <v>52.89</v>
          </cell>
        </row>
        <row r="7042">
          <cell r="B7042" t="str">
            <v>Barinowski,Robert J</v>
          </cell>
          <cell r="C7042">
            <v>36.06</v>
          </cell>
        </row>
        <row r="7043">
          <cell r="B7043" t="str">
            <v>Brown,Lee M</v>
          </cell>
          <cell r="C7043">
            <v>33</v>
          </cell>
        </row>
        <row r="7044">
          <cell r="B7044" t="str">
            <v>Greenwood,Robert G</v>
          </cell>
          <cell r="C7044">
            <v>27.4</v>
          </cell>
        </row>
        <row r="7045">
          <cell r="B7045" t="str">
            <v>Wiles,Mark E</v>
          </cell>
          <cell r="C7045">
            <v>24.5</v>
          </cell>
        </row>
        <row r="7046">
          <cell r="B7046" t="str">
            <v>Grimaldi,Stephen A</v>
          </cell>
          <cell r="C7046">
            <v>43.27</v>
          </cell>
        </row>
        <row r="7047">
          <cell r="B7047" t="str">
            <v>Bouton,Danny</v>
          </cell>
          <cell r="C7047">
            <v>21</v>
          </cell>
        </row>
        <row r="7048">
          <cell r="B7048" t="str">
            <v>Castillo,Jane</v>
          </cell>
          <cell r="C7048">
            <v>20.99</v>
          </cell>
        </row>
        <row r="7049">
          <cell r="B7049" t="str">
            <v>Foster,Trent E</v>
          </cell>
          <cell r="C7049">
            <v>50.01</v>
          </cell>
        </row>
        <row r="7050">
          <cell r="B7050" t="str">
            <v>Blake,Laurie S</v>
          </cell>
          <cell r="C7050">
            <v>21.15</v>
          </cell>
        </row>
        <row r="7051">
          <cell r="B7051" t="str">
            <v>Witter,Timothy A</v>
          </cell>
          <cell r="C7051">
            <v>38.47</v>
          </cell>
        </row>
        <row r="7052">
          <cell r="B7052" t="str">
            <v>Wanat,John N</v>
          </cell>
          <cell r="C7052">
            <v>65.625</v>
          </cell>
        </row>
        <row r="7053">
          <cell r="B7053" t="str">
            <v>Ericson,Lars M</v>
          </cell>
          <cell r="C7053">
            <v>57.94</v>
          </cell>
        </row>
        <row r="7054">
          <cell r="B7054" t="str">
            <v>Dildine,Frederick M</v>
          </cell>
          <cell r="C7054">
            <v>32.590000000000003</v>
          </cell>
        </row>
        <row r="7055">
          <cell r="B7055" t="str">
            <v>Vuolo,Tammy S</v>
          </cell>
          <cell r="C7055">
            <v>39.43</v>
          </cell>
        </row>
        <row r="7056">
          <cell r="B7056" t="str">
            <v>Hagie,Glenda A</v>
          </cell>
          <cell r="C7056">
            <v>17</v>
          </cell>
        </row>
        <row r="7057">
          <cell r="B7057" t="str">
            <v>Davidson,Amanda K</v>
          </cell>
          <cell r="C7057">
            <v>19.48</v>
          </cell>
        </row>
        <row r="7058">
          <cell r="B7058" t="str">
            <v>Quinn,Damon M</v>
          </cell>
          <cell r="C7058">
            <v>19.14</v>
          </cell>
        </row>
        <row r="7059">
          <cell r="B7059" t="str">
            <v>Turley,Tomeka J</v>
          </cell>
          <cell r="C7059">
            <v>31.74</v>
          </cell>
        </row>
        <row r="7060">
          <cell r="B7060" t="str">
            <v>Vargas Morales,Edith</v>
          </cell>
          <cell r="C7060">
            <v>14.13</v>
          </cell>
        </row>
        <row r="7061">
          <cell r="B7061" t="str">
            <v>Miller,Michael D</v>
          </cell>
          <cell r="C7061">
            <v>32.5</v>
          </cell>
        </row>
        <row r="7062">
          <cell r="B7062" t="str">
            <v>Salvatore,Michael A</v>
          </cell>
          <cell r="C7062">
            <v>57.22</v>
          </cell>
        </row>
        <row r="7063">
          <cell r="B7063" t="str">
            <v>Flowers,Michael A</v>
          </cell>
          <cell r="C7063">
            <v>21</v>
          </cell>
        </row>
        <row r="7064">
          <cell r="B7064" t="str">
            <v>Tan,Yee-Da</v>
          </cell>
          <cell r="C7064">
            <v>67.31</v>
          </cell>
        </row>
        <row r="7065">
          <cell r="B7065" t="str">
            <v>Ravenell,Veronica</v>
          </cell>
          <cell r="C7065">
            <v>49.77</v>
          </cell>
        </row>
        <row r="7066">
          <cell r="B7066" t="str">
            <v>Wilson Jr.,Wendell J</v>
          </cell>
          <cell r="C7066">
            <v>47</v>
          </cell>
        </row>
        <row r="7067">
          <cell r="B7067" t="str">
            <v>Harper,Marques A</v>
          </cell>
          <cell r="C7067">
            <v>18</v>
          </cell>
        </row>
        <row r="7068">
          <cell r="B7068" t="str">
            <v>Moore,Tia A</v>
          </cell>
          <cell r="C7068">
            <v>19.649999999999999</v>
          </cell>
        </row>
        <row r="7069">
          <cell r="B7069" t="str">
            <v>Kuhn,Richard R</v>
          </cell>
          <cell r="C7069">
            <v>46.2</v>
          </cell>
        </row>
        <row r="7070">
          <cell r="B7070" t="str">
            <v>Leblanc,Michael F</v>
          </cell>
          <cell r="C7070">
            <v>24</v>
          </cell>
        </row>
        <row r="7071">
          <cell r="B7071" t="str">
            <v>Fox,Seth</v>
          </cell>
          <cell r="C7071">
            <v>22</v>
          </cell>
        </row>
        <row r="7072">
          <cell r="B7072" t="str">
            <v>Stebbins,Melissa</v>
          </cell>
          <cell r="C7072">
            <v>24.76</v>
          </cell>
        </row>
        <row r="7073">
          <cell r="B7073" t="str">
            <v>Rogers,Gary L</v>
          </cell>
          <cell r="C7073">
            <v>21</v>
          </cell>
        </row>
        <row r="7074">
          <cell r="B7074" t="str">
            <v>Huie,Kenneth L</v>
          </cell>
          <cell r="C7074">
            <v>52.97</v>
          </cell>
        </row>
        <row r="7075">
          <cell r="B7075" t="str">
            <v>Nguyen,Tuan A</v>
          </cell>
          <cell r="C7075">
            <v>37.92</v>
          </cell>
        </row>
        <row r="7076">
          <cell r="B7076" t="str">
            <v>Pisani,Christopher D</v>
          </cell>
          <cell r="C7076">
            <v>21.43</v>
          </cell>
        </row>
        <row r="7077">
          <cell r="B7077" t="str">
            <v>Anderson,Evelyn M</v>
          </cell>
          <cell r="C7077">
            <v>17.899999999999999</v>
          </cell>
        </row>
        <row r="7078">
          <cell r="B7078" t="str">
            <v>Worth,Gayle E</v>
          </cell>
          <cell r="C7078">
            <v>25.95</v>
          </cell>
        </row>
        <row r="7079">
          <cell r="B7079" t="str">
            <v>McCollum,West H</v>
          </cell>
          <cell r="C7079">
            <v>41.35</v>
          </cell>
        </row>
        <row r="7080">
          <cell r="B7080" t="str">
            <v>Diallo,Siaka</v>
          </cell>
          <cell r="C7080">
            <v>22.04</v>
          </cell>
        </row>
        <row r="7081">
          <cell r="B7081" t="str">
            <v>Manus,Jason R</v>
          </cell>
          <cell r="C7081">
            <v>20.6</v>
          </cell>
        </row>
        <row r="7082">
          <cell r="B7082" t="str">
            <v>Aholelei,Anthony</v>
          </cell>
          <cell r="C7082">
            <v>22.99</v>
          </cell>
        </row>
        <row r="7083">
          <cell r="B7083" t="str">
            <v>Cousin,Adam T</v>
          </cell>
          <cell r="C7083">
            <v>22</v>
          </cell>
        </row>
        <row r="7084">
          <cell r="B7084" t="str">
            <v>Cleek II,Edward J</v>
          </cell>
          <cell r="C7084">
            <v>66.8</v>
          </cell>
        </row>
        <row r="7085">
          <cell r="B7085" t="str">
            <v>Amato,Peter D</v>
          </cell>
          <cell r="C7085">
            <v>33.659999999999997</v>
          </cell>
        </row>
        <row r="7086">
          <cell r="B7086" t="str">
            <v>Masuy,Michelle R</v>
          </cell>
          <cell r="C7086">
            <v>33.659999999999997</v>
          </cell>
        </row>
        <row r="7087">
          <cell r="B7087" t="str">
            <v>Cunningham,Francis W</v>
          </cell>
          <cell r="C7087">
            <v>19.18</v>
          </cell>
        </row>
        <row r="7088">
          <cell r="B7088" t="str">
            <v>Cecil Jr.,David A</v>
          </cell>
          <cell r="C7088">
            <v>44.24</v>
          </cell>
        </row>
        <row r="7089">
          <cell r="B7089" t="str">
            <v>Cole,Arthur</v>
          </cell>
          <cell r="C7089">
            <v>33.659999999999997</v>
          </cell>
        </row>
        <row r="7090">
          <cell r="B7090" t="str">
            <v>Caldwell,Bianca</v>
          </cell>
          <cell r="C7090">
            <v>28.85</v>
          </cell>
        </row>
        <row r="7091">
          <cell r="B7091" t="str">
            <v>Nance,Martin D</v>
          </cell>
          <cell r="C7091">
            <v>19.5</v>
          </cell>
        </row>
        <row r="7092">
          <cell r="B7092" t="str">
            <v>Tiede,Robert J</v>
          </cell>
          <cell r="C7092">
            <v>19</v>
          </cell>
        </row>
        <row r="7093">
          <cell r="B7093" t="str">
            <v>Coats,Steven A</v>
          </cell>
          <cell r="C7093">
            <v>42.21</v>
          </cell>
        </row>
        <row r="7094">
          <cell r="B7094" t="str">
            <v>Pitts,Jonathon K</v>
          </cell>
          <cell r="C7094">
            <v>21.75</v>
          </cell>
        </row>
        <row r="7095">
          <cell r="B7095" t="str">
            <v>Solano,Timothy Jay D</v>
          </cell>
          <cell r="C7095">
            <v>33.659999999999997</v>
          </cell>
        </row>
        <row r="7096">
          <cell r="B7096" t="str">
            <v>Shevchik,David W</v>
          </cell>
          <cell r="C7096">
            <v>48.08</v>
          </cell>
        </row>
        <row r="7097">
          <cell r="B7097" t="str">
            <v>Michalsky,Louis E</v>
          </cell>
          <cell r="C7097">
            <v>34.950000000000003</v>
          </cell>
        </row>
        <row r="7098">
          <cell r="B7098" t="str">
            <v>Callaham,Michael L</v>
          </cell>
          <cell r="C7098">
            <v>20.12</v>
          </cell>
        </row>
        <row r="7099">
          <cell r="B7099" t="str">
            <v>VanZant,Ryan L</v>
          </cell>
          <cell r="C7099">
            <v>19</v>
          </cell>
        </row>
        <row r="7100">
          <cell r="B7100" t="str">
            <v>Peeples,Christina N</v>
          </cell>
          <cell r="C7100">
            <v>20.2</v>
          </cell>
        </row>
        <row r="7101">
          <cell r="B7101" t="str">
            <v>Boudreau,Jason R</v>
          </cell>
          <cell r="C7101">
            <v>21.64</v>
          </cell>
        </row>
        <row r="7102">
          <cell r="B7102" t="str">
            <v>Jefferson Jr.,Bobby</v>
          </cell>
          <cell r="C7102">
            <v>20.77</v>
          </cell>
        </row>
        <row r="7103">
          <cell r="B7103" t="str">
            <v>Dorsey,Douglas R</v>
          </cell>
          <cell r="C7103">
            <v>32.700000000000003</v>
          </cell>
        </row>
        <row r="7104">
          <cell r="B7104" t="str">
            <v>George,Risha</v>
          </cell>
          <cell r="C7104">
            <v>49.900700000000001</v>
          </cell>
        </row>
        <row r="7105">
          <cell r="B7105" t="str">
            <v>Allen,Jason T</v>
          </cell>
          <cell r="C7105">
            <v>37.840000000000003</v>
          </cell>
        </row>
        <row r="7106">
          <cell r="B7106" t="str">
            <v>Meyer,Marty G</v>
          </cell>
          <cell r="C7106">
            <v>60.095999999999997</v>
          </cell>
        </row>
        <row r="7107">
          <cell r="B7107" t="str">
            <v>Ngai,Edward</v>
          </cell>
          <cell r="C7107">
            <v>23</v>
          </cell>
        </row>
        <row r="7108">
          <cell r="B7108" t="str">
            <v>Albert,Douglas E</v>
          </cell>
          <cell r="C7108">
            <v>17.850000000000001</v>
          </cell>
        </row>
        <row r="7109">
          <cell r="B7109" t="str">
            <v>Laird,Robert P</v>
          </cell>
          <cell r="C7109">
            <v>24.5</v>
          </cell>
        </row>
        <row r="7110">
          <cell r="B7110" t="str">
            <v>Carlstrom,Garry W</v>
          </cell>
          <cell r="C7110">
            <v>15.95</v>
          </cell>
        </row>
        <row r="7111">
          <cell r="B7111" t="str">
            <v>Johnson,Jeffrey L</v>
          </cell>
          <cell r="C7111">
            <v>24</v>
          </cell>
        </row>
        <row r="7112">
          <cell r="B7112" t="str">
            <v>Homer,Matthew T</v>
          </cell>
          <cell r="C7112">
            <v>43.27</v>
          </cell>
        </row>
        <row r="7113">
          <cell r="B7113" t="str">
            <v>Burns,Keith A</v>
          </cell>
          <cell r="C7113">
            <v>21.47</v>
          </cell>
        </row>
        <row r="7114">
          <cell r="B7114" t="str">
            <v>Bryant,Bobby J</v>
          </cell>
          <cell r="C7114">
            <v>20.89</v>
          </cell>
        </row>
        <row r="7115">
          <cell r="B7115" t="str">
            <v>Kingstone,Joseph M</v>
          </cell>
          <cell r="C7115">
            <v>19.059999999999999</v>
          </cell>
        </row>
        <row r="7116">
          <cell r="B7116" t="str">
            <v>Morris,Johnny L</v>
          </cell>
          <cell r="C7116">
            <v>37.78</v>
          </cell>
        </row>
        <row r="7117">
          <cell r="B7117" t="str">
            <v>Arroyo,Florentino</v>
          </cell>
          <cell r="C7117">
            <v>20.07</v>
          </cell>
        </row>
        <row r="7118">
          <cell r="B7118" t="str">
            <v>Jones,Mark A</v>
          </cell>
          <cell r="C7118">
            <v>27.41</v>
          </cell>
        </row>
        <row r="7119">
          <cell r="B7119" t="str">
            <v>Clarke,Darren T</v>
          </cell>
          <cell r="C7119">
            <v>57.54</v>
          </cell>
        </row>
        <row r="7120">
          <cell r="B7120" t="str">
            <v>Williams,Edward G</v>
          </cell>
          <cell r="C7120">
            <v>26.78</v>
          </cell>
        </row>
        <row r="7121">
          <cell r="B7121" t="str">
            <v>Jordan,Toby</v>
          </cell>
          <cell r="C7121">
            <v>38.630000000000003</v>
          </cell>
        </row>
        <row r="7122">
          <cell r="B7122" t="str">
            <v>DeVito,Mary F</v>
          </cell>
          <cell r="C7122">
            <v>26.94</v>
          </cell>
        </row>
        <row r="7123">
          <cell r="B7123" t="str">
            <v>Greene,Nicole E</v>
          </cell>
          <cell r="C7123">
            <v>47.05</v>
          </cell>
        </row>
        <row r="7124">
          <cell r="B7124" t="str">
            <v>Dick,Dennis M</v>
          </cell>
          <cell r="C7124">
            <v>37.15</v>
          </cell>
        </row>
        <row r="7125">
          <cell r="B7125" t="str">
            <v>Spurrier,Derrick M</v>
          </cell>
          <cell r="C7125">
            <v>25.95</v>
          </cell>
        </row>
        <row r="7126">
          <cell r="B7126" t="str">
            <v>Ferrante,Jean M</v>
          </cell>
          <cell r="C7126">
            <v>21.64</v>
          </cell>
        </row>
        <row r="7127">
          <cell r="B7127" t="str">
            <v>Howell,Matthew A</v>
          </cell>
          <cell r="C7127">
            <v>20</v>
          </cell>
        </row>
        <row r="7128">
          <cell r="B7128" t="str">
            <v>Roman,Ivan</v>
          </cell>
          <cell r="C7128">
            <v>19.53</v>
          </cell>
        </row>
        <row r="7129">
          <cell r="B7129" t="str">
            <v>Brown,James</v>
          </cell>
          <cell r="C7129">
            <v>19.149999999999999</v>
          </cell>
        </row>
        <row r="7130">
          <cell r="B7130" t="str">
            <v>Ford,Creighton E</v>
          </cell>
          <cell r="C7130">
            <v>14.79</v>
          </cell>
        </row>
        <row r="7131">
          <cell r="B7131" t="str">
            <v>King-Holzsager,Jonas N</v>
          </cell>
          <cell r="C7131">
            <v>25.73</v>
          </cell>
        </row>
        <row r="7132">
          <cell r="B7132" t="str">
            <v>Stanger,William R</v>
          </cell>
          <cell r="C7132">
            <v>18.5</v>
          </cell>
        </row>
        <row r="7133">
          <cell r="B7133" t="str">
            <v>Scott,Benjamin C</v>
          </cell>
          <cell r="C7133">
            <v>18.739999999999998</v>
          </cell>
        </row>
        <row r="7134">
          <cell r="B7134" t="str">
            <v>Laposta,Mary K</v>
          </cell>
          <cell r="C7134">
            <v>41.59</v>
          </cell>
        </row>
        <row r="7135">
          <cell r="B7135" t="str">
            <v>Burleigh,Lloyd D</v>
          </cell>
          <cell r="C7135">
            <v>29</v>
          </cell>
        </row>
        <row r="7136">
          <cell r="B7136" t="str">
            <v>Wiswell,Lisa J</v>
          </cell>
          <cell r="C7136">
            <v>33.6539</v>
          </cell>
        </row>
        <row r="7137">
          <cell r="B7137" t="str">
            <v>Parks,Lyndell Jay</v>
          </cell>
          <cell r="C7137">
            <v>21.75</v>
          </cell>
        </row>
        <row r="7138">
          <cell r="B7138" t="str">
            <v>Fouch,Tonya</v>
          </cell>
          <cell r="C7138">
            <v>23</v>
          </cell>
        </row>
        <row r="7139">
          <cell r="B7139" t="str">
            <v>Kendrick Jr.,David A</v>
          </cell>
          <cell r="C7139">
            <v>26</v>
          </cell>
        </row>
        <row r="7140">
          <cell r="B7140" t="str">
            <v>Jett,Brice R</v>
          </cell>
          <cell r="C7140">
            <v>76.930000000000007</v>
          </cell>
        </row>
        <row r="7141">
          <cell r="B7141" t="str">
            <v>Humphrey,David R</v>
          </cell>
          <cell r="C7141">
            <v>20.8</v>
          </cell>
        </row>
        <row r="7142">
          <cell r="B7142" t="str">
            <v>Sowers Jr.,James W</v>
          </cell>
          <cell r="C7142">
            <v>25</v>
          </cell>
        </row>
        <row r="7143">
          <cell r="B7143" t="str">
            <v>Carter,Carolina A</v>
          </cell>
          <cell r="C7143">
            <v>44.230800000000002</v>
          </cell>
        </row>
        <row r="7144">
          <cell r="B7144" t="str">
            <v>Rivers,Renelle</v>
          </cell>
          <cell r="C7144">
            <v>45.68</v>
          </cell>
        </row>
        <row r="7145">
          <cell r="B7145" t="str">
            <v>Bridges,Roger</v>
          </cell>
          <cell r="C7145">
            <v>21</v>
          </cell>
        </row>
        <row r="7146">
          <cell r="B7146" t="str">
            <v>Cross,Kenneth J</v>
          </cell>
          <cell r="C7146">
            <v>60.1</v>
          </cell>
        </row>
        <row r="7147">
          <cell r="B7147" t="str">
            <v>Huaman,Zenon</v>
          </cell>
          <cell r="C7147">
            <v>14.99</v>
          </cell>
        </row>
        <row r="7148">
          <cell r="B7148" t="str">
            <v>Surico,Joanne M</v>
          </cell>
          <cell r="C7148">
            <v>54.42</v>
          </cell>
        </row>
        <row r="7149">
          <cell r="B7149" t="str">
            <v>Capers Sr.,Clarence O</v>
          </cell>
          <cell r="C7149">
            <v>49.04</v>
          </cell>
        </row>
        <row r="7150">
          <cell r="B7150" t="str">
            <v>Whitfield,Christopher</v>
          </cell>
          <cell r="C7150">
            <v>36.06</v>
          </cell>
        </row>
        <row r="7151">
          <cell r="B7151" t="str">
            <v>Thomas,Jeremy B</v>
          </cell>
          <cell r="C7151">
            <v>19.48</v>
          </cell>
        </row>
        <row r="7152">
          <cell r="B7152" t="str">
            <v>Yacoubi,Omar A</v>
          </cell>
          <cell r="C7152">
            <v>23.004799999999999</v>
          </cell>
        </row>
        <row r="7153">
          <cell r="B7153" t="str">
            <v>Conner,Gary L</v>
          </cell>
          <cell r="C7153">
            <v>75.489999999999995</v>
          </cell>
        </row>
        <row r="7154">
          <cell r="B7154" t="str">
            <v>Mendoza,Laurie F</v>
          </cell>
          <cell r="C7154">
            <v>40.384599999999999</v>
          </cell>
        </row>
        <row r="7155">
          <cell r="B7155" t="str">
            <v>Bryant,Noah M</v>
          </cell>
          <cell r="C7155">
            <v>19.989999999999998</v>
          </cell>
        </row>
        <row r="7156">
          <cell r="B7156" t="str">
            <v>Gumaskas,Gregg A</v>
          </cell>
          <cell r="C7156">
            <v>30.33</v>
          </cell>
        </row>
        <row r="7157">
          <cell r="B7157" t="str">
            <v>Spruill III,Harold L</v>
          </cell>
          <cell r="C7157">
            <v>25.15</v>
          </cell>
        </row>
        <row r="7158">
          <cell r="B7158" t="str">
            <v>Harris,Carolyn A</v>
          </cell>
          <cell r="C7158">
            <v>17.18</v>
          </cell>
        </row>
        <row r="7159">
          <cell r="B7159" t="str">
            <v>Henderson,Benjamin R</v>
          </cell>
          <cell r="C7159">
            <v>25</v>
          </cell>
        </row>
        <row r="7160">
          <cell r="B7160" t="str">
            <v>Reed,Richard B</v>
          </cell>
          <cell r="C7160">
            <v>72.12</v>
          </cell>
        </row>
        <row r="7161">
          <cell r="B7161" t="str">
            <v>Rodriguez,Genera S</v>
          </cell>
          <cell r="C7161">
            <v>23</v>
          </cell>
        </row>
        <row r="7162">
          <cell r="B7162" t="str">
            <v>Williams,Clarence J</v>
          </cell>
          <cell r="C7162">
            <v>21</v>
          </cell>
        </row>
        <row r="7163">
          <cell r="B7163" t="str">
            <v>Mitchell,Vincent L</v>
          </cell>
          <cell r="C7163">
            <v>19.07</v>
          </cell>
        </row>
        <row r="7164">
          <cell r="B7164" t="str">
            <v>Weisberg,Aaron L</v>
          </cell>
          <cell r="C7164">
            <v>43.27</v>
          </cell>
        </row>
        <row r="7165">
          <cell r="B7165" t="str">
            <v>Minton,Tanya M</v>
          </cell>
          <cell r="C7165">
            <v>26.45</v>
          </cell>
        </row>
        <row r="7166">
          <cell r="B7166" t="str">
            <v>Santana,William</v>
          </cell>
          <cell r="C7166">
            <v>15.49</v>
          </cell>
        </row>
        <row r="7167">
          <cell r="B7167" t="str">
            <v>Etienne,Antony J</v>
          </cell>
          <cell r="C7167">
            <v>47.596200000000003</v>
          </cell>
        </row>
        <row r="7168">
          <cell r="B7168" t="str">
            <v>Arnold,Amanda M</v>
          </cell>
          <cell r="C7168">
            <v>39.049999999999997</v>
          </cell>
        </row>
        <row r="7169">
          <cell r="B7169" t="str">
            <v>Cooley,Hector W</v>
          </cell>
          <cell r="C7169">
            <v>37.72</v>
          </cell>
        </row>
        <row r="7170">
          <cell r="B7170" t="str">
            <v>Bennett,Shayla L</v>
          </cell>
          <cell r="C7170">
            <v>29.69</v>
          </cell>
        </row>
        <row r="7171">
          <cell r="B7171" t="str">
            <v>DeMarco,Aron D</v>
          </cell>
          <cell r="C7171">
            <v>21</v>
          </cell>
        </row>
        <row r="7172">
          <cell r="B7172" t="str">
            <v>Upton,Joshua H</v>
          </cell>
          <cell r="C7172">
            <v>52.89</v>
          </cell>
        </row>
        <row r="7173">
          <cell r="B7173" t="str">
            <v>Shockley,Wallace L</v>
          </cell>
          <cell r="C7173">
            <v>20.05</v>
          </cell>
        </row>
        <row r="7174">
          <cell r="B7174" t="str">
            <v>Casas,Joseph A</v>
          </cell>
          <cell r="C7174">
            <v>20</v>
          </cell>
        </row>
        <row r="7175">
          <cell r="B7175" t="str">
            <v>Kemp,Jennah R</v>
          </cell>
          <cell r="C7175">
            <v>30.05</v>
          </cell>
        </row>
        <row r="7176">
          <cell r="B7176" t="str">
            <v>Tien,Robert C</v>
          </cell>
          <cell r="C7176">
            <v>66.83</v>
          </cell>
        </row>
        <row r="7177">
          <cell r="B7177" t="str">
            <v>Taylor,Justin E</v>
          </cell>
          <cell r="C7177">
            <v>18.989999999999998</v>
          </cell>
        </row>
        <row r="7178">
          <cell r="B7178" t="str">
            <v>Adams,Daniel F</v>
          </cell>
          <cell r="C7178">
            <v>41.4</v>
          </cell>
        </row>
        <row r="7179">
          <cell r="B7179" t="str">
            <v>Bindus,Lauren E</v>
          </cell>
          <cell r="C7179">
            <v>20</v>
          </cell>
        </row>
        <row r="7180">
          <cell r="B7180" t="str">
            <v>Taylor,Darice L</v>
          </cell>
          <cell r="C7180">
            <v>17.95</v>
          </cell>
        </row>
        <row r="7181">
          <cell r="B7181" t="str">
            <v>Hernandez,Patricia C</v>
          </cell>
          <cell r="C7181">
            <v>20.059999999999999</v>
          </cell>
        </row>
        <row r="7182">
          <cell r="B7182" t="str">
            <v>Haley,Donald Lee</v>
          </cell>
          <cell r="C7182">
            <v>29.23</v>
          </cell>
        </row>
        <row r="7183">
          <cell r="B7183" t="str">
            <v>May,Cerise C</v>
          </cell>
          <cell r="C7183">
            <v>16.96</v>
          </cell>
        </row>
        <row r="7184">
          <cell r="B7184" t="str">
            <v>Ronk,Larry A</v>
          </cell>
          <cell r="C7184">
            <v>64.88</v>
          </cell>
        </row>
        <row r="7185">
          <cell r="B7185" t="str">
            <v>Greene,Lawrence R</v>
          </cell>
          <cell r="C7185">
            <v>38.869999999999997</v>
          </cell>
        </row>
        <row r="7186">
          <cell r="B7186" t="str">
            <v>Anthony,Allen D</v>
          </cell>
          <cell r="C7186">
            <v>22.47</v>
          </cell>
        </row>
        <row r="7187">
          <cell r="B7187" t="str">
            <v>McCain,James E</v>
          </cell>
          <cell r="C7187">
            <v>18.5</v>
          </cell>
        </row>
        <row r="7188">
          <cell r="B7188" t="str">
            <v>Tapp,Gary W</v>
          </cell>
          <cell r="C7188">
            <v>19.95</v>
          </cell>
        </row>
        <row r="7189">
          <cell r="B7189" t="str">
            <v>Jung,Samantha M</v>
          </cell>
          <cell r="C7189">
            <v>24.038499999999999</v>
          </cell>
        </row>
        <row r="7190">
          <cell r="B7190" t="str">
            <v>Princiotta,Drew</v>
          </cell>
          <cell r="C7190">
            <v>26.2</v>
          </cell>
        </row>
        <row r="7191">
          <cell r="B7191" t="str">
            <v>Rice,Diane</v>
          </cell>
          <cell r="C7191">
            <v>22.42</v>
          </cell>
        </row>
        <row r="7192">
          <cell r="B7192" t="str">
            <v>Colvin,Shellie A</v>
          </cell>
          <cell r="C7192">
            <v>37.36</v>
          </cell>
        </row>
        <row r="7193">
          <cell r="B7193" t="str">
            <v>Annarino,John J</v>
          </cell>
          <cell r="C7193">
            <v>19.7</v>
          </cell>
        </row>
        <row r="7194">
          <cell r="B7194" t="str">
            <v>Winters,David J</v>
          </cell>
          <cell r="C7194">
            <v>23.5</v>
          </cell>
        </row>
        <row r="7195">
          <cell r="B7195" t="str">
            <v>Washington,Rosalyn I</v>
          </cell>
          <cell r="C7195">
            <v>26.03</v>
          </cell>
        </row>
        <row r="7196">
          <cell r="B7196" t="str">
            <v>Smith,Lanis B</v>
          </cell>
          <cell r="C7196">
            <v>19.62</v>
          </cell>
        </row>
        <row r="7197">
          <cell r="B7197" t="str">
            <v>Hathaway,Ralph D</v>
          </cell>
          <cell r="C7197">
            <v>49.52</v>
          </cell>
        </row>
        <row r="7198">
          <cell r="B7198" t="str">
            <v>Martinez II,Adrian N</v>
          </cell>
          <cell r="C7198">
            <v>19</v>
          </cell>
        </row>
        <row r="7199">
          <cell r="B7199" t="str">
            <v>Littleboy,Gavin L</v>
          </cell>
          <cell r="C7199">
            <v>49.67</v>
          </cell>
        </row>
        <row r="7200">
          <cell r="B7200" t="str">
            <v>Wharff,Larry F</v>
          </cell>
          <cell r="C7200">
            <v>23</v>
          </cell>
        </row>
        <row r="7201">
          <cell r="B7201" t="str">
            <v>LeBlanc,Michael A</v>
          </cell>
          <cell r="C7201">
            <v>21</v>
          </cell>
        </row>
        <row r="7202">
          <cell r="B7202" t="str">
            <v>Vela,Gloria L</v>
          </cell>
          <cell r="C7202">
            <v>16.47</v>
          </cell>
        </row>
        <row r="7203">
          <cell r="B7203" t="str">
            <v>Fernandez,Francis F</v>
          </cell>
          <cell r="C7203">
            <v>28</v>
          </cell>
        </row>
        <row r="7204">
          <cell r="B7204" t="str">
            <v>Hatcher Sr.,Kenneth J</v>
          </cell>
          <cell r="C7204">
            <v>19.82</v>
          </cell>
        </row>
        <row r="7205">
          <cell r="B7205" t="str">
            <v>Saunders,Steven O</v>
          </cell>
          <cell r="C7205">
            <v>21.12</v>
          </cell>
        </row>
        <row r="7206">
          <cell r="B7206" t="str">
            <v>Voss,K. Matthew J</v>
          </cell>
          <cell r="C7206">
            <v>37.01</v>
          </cell>
        </row>
        <row r="7207">
          <cell r="B7207" t="str">
            <v>Rotter,Joe</v>
          </cell>
          <cell r="C7207">
            <v>18.87</v>
          </cell>
        </row>
        <row r="7208">
          <cell r="B7208" t="str">
            <v>Frederick,Kelly C</v>
          </cell>
          <cell r="C7208">
            <v>37.979999999999997</v>
          </cell>
        </row>
        <row r="7209">
          <cell r="B7209" t="str">
            <v>Simmons Jr.,Roy</v>
          </cell>
          <cell r="C7209">
            <v>41.09</v>
          </cell>
        </row>
        <row r="7210">
          <cell r="B7210" t="str">
            <v>Grussmeyer,Jimmy R</v>
          </cell>
          <cell r="C7210">
            <v>78.67</v>
          </cell>
        </row>
        <row r="7211">
          <cell r="B7211" t="str">
            <v>Nash,Dennis A</v>
          </cell>
          <cell r="C7211">
            <v>21</v>
          </cell>
        </row>
        <row r="7212">
          <cell r="B7212" t="str">
            <v>Cecchett,David B</v>
          </cell>
          <cell r="C7212">
            <v>44.6</v>
          </cell>
        </row>
        <row r="7213">
          <cell r="B7213" t="str">
            <v>Gaston,John R</v>
          </cell>
          <cell r="C7213">
            <v>19.18</v>
          </cell>
        </row>
        <row r="7214">
          <cell r="B7214" t="str">
            <v>Johnson Jr.,Lloyd G</v>
          </cell>
          <cell r="C7214">
            <v>28</v>
          </cell>
        </row>
        <row r="7215">
          <cell r="B7215" t="str">
            <v>Rader,Patricia M</v>
          </cell>
          <cell r="C7215">
            <v>12.79</v>
          </cell>
        </row>
        <row r="7216">
          <cell r="B7216" t="str">
            <v>Love,Leldon S</v>
          </cell>
          <cell r="C7216">
            <v>20.25</v>
          </cell>
        </row>
        <row r="7217">
          <cell r="B7217" t="str">
            <v>Tran,Thuy D</v>
          </cell>
          <cell r="C7217">
            <v>43.269300000000001</v>
          </cell>
        </row>
        <row r="7218">
          <cell r="B7218" t="str">
            <v>Burns,Ryan E</v>
          </cell>
          <cell r="C7218">
            <v>37.5</v>
          </cell>
        </row>
        <row r="7219">
          <cell r="B7219" t="str">
            <v>Powell,Richard S</v>
          </cell>
          <cell r="C7219">
            <v>20</v>
          </cell>
        </row>
        <row r="7220">
          <cell r="B7220" t="str">
            <v>Crawley Jr.,Randy Lee</v>
          </cell>
          <cell r="C7220">
            <v>15.51</v>
          </cell>
        </row>
        <row r="7221">
          <cell r="B7221" t="str">
            <v>Hodge,Catherine</v>
          </cell>
          <cell r="C7221">
            <v>37.25</v>
          </cell>
        </row>
        <row r="7222">
          <cell r="B7222" t="str">
            <v>Burnette,James C</v>
          </cell>
          <cell r="C7222">
            <v>21.36</v>
          </cell>
        </row>
        <row r="7223">
          <cell r="B7223" t="str">
            <v>Graham,Jason Antwon</v>
          </cell>
          <cell r="C7223">
            <v>18.25</v>
          </cell>
        </row>
        <row r="7224">
          <cell r="B7224" t="str">
            <v>Williams,Cory D</v>
          </cell>
          <cell r="C7224">
            <v>22.04</v>
          </cell>
        </row>
        <row r="7225">
          <cell r="B7225" t="str">
            <v>Schmitz,Peter</v>
          </cell>
          <cell r="C7225">
            <v>15.32</v>
          </cell>
        </row>
        <row r="7226">
          <cell r="B7226" t="str">
            <v>Woltering,Graciete</v>
          </cell>
          <cell r="C7226">
            <v>25.25</v>
          </cell>
        </row>
        <row r="7227">
          <cell r="B7227" t="str">
            <v>Williams,Lacy J</v>
          </cell>
          <cell r="C7227">
            <v>20.65</v>
          </cell>
        </row>
        <row r="7228">
          <cell r="B7228" t="str">
            <v>Martin,Jassen M</v>
          </cell>
          <cell r="C7228">
            <v>21</v>
          </cell>
        </row>
        <row r="7229">
          <cell r="B7229" t="str">
            <v>Nagy,Daniel J</v>
          </cell>
          <cell r="C7229">
            <v>50.49</v>
          </cell>
        </row>
        <row r="7230">
          <cell r="B7230" t="str">
            <v>Flores,Thomas A</v>
          </cell>
          <cell r="C7230">
            <v>36.06</v>
          </cell>
        </row>
        <row r="7231">
          <cell r="B7231" t="str">
            <v>Nelson,Mark W</v>
          </cell>
          <cell r="C7231">
            <v>22</v>
          </cell>
        </row>
        <row r="7232">
          <cell r="B7232" t="str">
            <v>Seckinger,David H</v>
          </cell>
          <cell r="C7232">
            <v>20.010000000000002</v>
          </cell>
        </row>
        <row r="7233">
          <cell r="B7233" t="str">
            <v>Robles Bellido,Edward</v>
          </cell>
          <cell r="C7233">
            <v>24.07</v>
          </cell>
        </row>
        <row r="7234">
          <cell r="B7234" t="str">
            <v>Cook,Casey A</v>
          </cell>
          <cell r="C7234">
            <v>62.96</v>
          </cell>
        </row>
        <row r="7235">
          <cell r="B7235" t="str">
            <v>Caires,Tamey M</v>
          </cell>
          <cell r="C7235">
            <v>60.71</v>
          </cell>
        </row>
        <row r="7236">
          <cell r="B7236" t="str">
            <v>Thomas,Laura B</v>
          </cell>
          <cell r="C7236">
            <v>45.68</v>
          </cell>
        </row>
        <row r="7237">
          <cell r="B7237" t="str">
            <v>Archer,Sandra A</v>
          </cell>
          <cell r="C7237">
            <v>28.8461</v>
          </cell>
        </row>
        <row r="7238">
          <cell r="B7238" t="str">
            <v>Laird,Pashca</v>
          </cell>
          <cell r="C7238">
            <v>22.5</v>
          </cell>
        </row>
        <row r="7239">
          <cell r="B7239" t="str">
            <v>Goldfeder,Bruce</v>
          </cell>
          <cell r="C7239">
            <v>67.31</v>
          </cell>
        </row>
        <row r="7240">
          <cell r="B7240" t="str">
            <v>Lomahan,Domingo P</v>
          </cell>
          <cell r="C7240">
            <v>20.89</v>
          </cell>
        </row>
        <row r="7241">
          <cell r="B7241" t="str">
            <v>Reinert Sr.,Bradford M</v>
          </cell>
          <cell r="C7241">
            <v>50.480800000000002</v>
          </cell>
        </row>
        <row r="7242">
          <cell r="B7242" t="str">
            <v>Stenstrom,Michael J</v>
          </cell>
          <cell r="C7242">
            <v>27.91</v>
          </cell>
        </row>
        <row r="7243">
          <cell r="B7243" t="str">
            <v>Kasparek,Dennis D</v>
          </cell>
          <cell r="C7243">
            <v>59.47</v>
          </cell>
        </row>
        <row r="7244">
          <cell r="B7244" t="str">
            <v>Crabtree,Robert M</v>
          </cell>
          <cell r="C7244">
            <v>30.79</v>
          </cell>
        </row>
        <row r="7245">
          <cell r="B7245" t="str">
            <v>Ramirez,Raul A</v>
          </cell>
          <cell r="C7245">
            <v>23.11</v>
          </cell>
        </row>
        <row r="7246">
          <cell r="B7246" t="str">
            <v>Gaines,Corey L</v>
          </cell>
          <cell r="C7246">
            <v>28.13</v>
          </cell>
        </row>
        <row r="7247">
          <cell r="B7247" t="str">
            <v>Faxon Sr.,David M</v>
          </cell>
          <cell r="C7247">
            <v>15.6</v>
          </cell>
        </row>
        <row r="7248">
          <cell r="B7248" t="str">
            <v>Warren,Eric</v>
          </cell>
          <cell r="C7248">
            <v>35</v>
          </cell>
        </row>
        <row r="7249">
          <cell r="B7249" t="str">
            <v>Basa Jr.,Lorenzo C</v>
          </cell>
          <cell r="C7249">
            <v>20.64</v>
          </cell>
        </row>
        <row r="7250">
          <cell r="B7250" t="str">
            <v>Lehman,Robert F</v>
          </cell>
          <cell r="C7250">
            <v>59.98</v>
          </cell>
        </row>
        <row r="7251">
          <cell r="B7251" t="str">
            <v>Richardson,Harold L</v>
          </cell>
          <cell r="C7251">
            <v>20.82</v>
          </cell>
        </row>
        <row r="7252">
          <cell r="B7252" t="str">
            <v>England,Lori J</v>
          </cell>
          <cell r="C7252">
            <v>60.1</v>
          </cell>
        </row>
        <row r="7253">
          <cell r="B7253" t="str">
            <v>Albritton,Randall L</v>
          </cell>
          <cell r="C7253">
            <v>40.865400000000001</v>
          </cell>
        </row>
        <row r="7254">
          <cell r="B7254" t="str">
            <v>Wendel,Stephen C</v>
          </cell>
          <cell r="C7254">
            <v>13.16</v>
          </cell>
        </row>
        <row r="7255">
          <cell r="B7255" t="str">
            <v>Dean,Hilary M</v>
          </cell>
          <cell r="C7255">
            <v>19.239999999999998</v>
          </cell>
        </row>
        <row r="7256">
          <cell r="B7256" t="str">
            <v>Lopez-Winters,Tiffany J</v>
          </cell>
          <cell r="C7256">
            <v>72.12</v>
          </cell>
        </row>
        <row r="7257">
          <cell r="B7257" t="str">
            <v>Turner,Dan</v>
          </cell>
          <cell r="C7257">
            <v>23.5</v>
          </cell>
        </row>
        <row r="7258">
          <cell r="B7258" t="str">
            <v>Erkelens,Conrad L</v>
          </cell>
          <cell r="C7258">
            <v>62.5</v>
          </cell>
        </row>
        <row r="7259">
          <cell r="B7259" t="str">
            <v>Nelson,Larry G</v>
          </cell>
          <cell r="C7259">
            <v>21.5</v>
          </cell>
        </row>
        <row r="7260">
          <cell r="B7260" t="str">
            <v>Hale,James M</v>
          </cell>
          <cell r="C7260">
            <v>16</v>
          </cell>
        </row>
        <row r="7261">
          <cell r="B7261" t="str">
            <v>Turner,Robert M</v>
          </cell>
          <cell r="C7261">
            <v>19</v>
          </cell>
        </row>
        <row r="7262">
          <cell r="B7262" t="str">
            <v>Leavell,Byron M</v>
          </cell>
          <cell r="C7262">
            <v>17.75</v>
          </cell>
        </row>
        <row r="7263">
          <cell r="B7263" t="str">
            <v>Marino,Matthew N</v>
          </cell>
          <cell r="C7263">
            <v>39.423099999999998</v>
          </cell>
        </row>
        <row r="7264">
          <cell r="B7264" t="str">
            <v>Washington,Pamela M</v>
          </cell>
          <cell r="C7264">
            <v>23.08</v>
          </cell>
        </row>
        <row r="7265">
          <cell r="B7265" t="str">
            <v>Woodbeck,Michael S</v>
          </cell>
          <cell r="C7265">
            <v>21</v>
          </cell>
        </row>
        <row r="7266">
          <cell r="B7266" t="str">
            <v>Cox,Michael</v>
          </cell>
          <cell r="C7266">
            <v>21.64</v>
          </cell>
        </row>
        <row r="7267">
          <cell r="B7267" t="str">
            <v>Dagana,Benjamin L</v>
          </cell>
          <cell r="C7267">
            <v>55.29</v>
          </cell>
        </row>
        <row r="7268">
          <cell r="B7268" t="str">
            <v>Coleman,Kara L</v>
          </cell>
          <cell r="C7268">
            <v>15.16</v>
          </cell>
        </row>
        <row r="7269">
          <cell r="B7269" t="str">
            <v>Morris,Keesha R</v>
          </cell>
          <cell r="C7269">
            <v>28.43</v>
          </cell>
        </row>
        <row r="7270">
          <cell r="B7270" t="str">
            <v>Bisson,Leonard T</v>
          </cell>
          <cell r="C7270">
            <v>75.489999999999995</v>
          </cell>
        </row>
        <row r="7271">
          <cell r="B7271" t="str">
            <v>Versch,Fred A</v>
          </cell>
          <cell r="C7271">
            <v>24</v>
          </cell>
        </row>
        <row r="7272">
          <cell r="B7272" t="str">
            <v>Lopez,Trancito</v>
          </cell>
          <cell r="C7272">
            <v>17.75</v>
          </cell>
        </row>
        <row r="7273">
          <cell r="B7273" t="str">
            <v>Francis,Victoria D</v>
          </cell>
          <cell r="C7273">
            <v>63.44</v>
          </cell>
        </row>
        <row r="7274">
          <cell r="B7274" t="str">
            <v>Brooks,Jerri R</v>
          </cell>
          <cell r="C7274">
            <v>33.659999999999997</v>
          </cell>
        </row>
        <row r="7275">
          <cell r="B7275" t="str">
            <v>Richardson,Jared M</v>
          </cell>
          <cell r="C7275">
            <v>20.6</v>
          </cell>
        </row>
        <row r="7276">
          <cell r="B7276" t="str">
            <v>Negron,Raymond L</v>
          </cell>
          <cell r="C7276">
            <v>21.76</v>
          </cell>
        </row>
        <row r="7277">
          <cell r="B7277" t="str">
            <v>Evans,William E</v>
          </cell>
          <cell r="C7277">
            <v>57.692</v>
          </cell>
        </row>
        <row r="7278">
          <cell r="B7278" t="str">
            <v>Pegram,Jessica</v>
          </cell>
          <cell r="C7278">
            <v>41.35</v>
          </cell>
        </row>
        <row r="7279">
          <cell r="B7279" t="str">
            <v>Shaw,Gary</v>
          </cell>
          <cell r="C7279">
            <v>42</v>
          </cell>
        </row>
        <row r="7280">
          <cell r="B7280" t="str">
            <v>Swift,Bryant A</v>
          </cell>
          <cell r="C7280">
            <v>18</v>
          </cell>
        </row>
        <row r="7281">
          <cell r="B7281" t="str">
            <v>Logan,Tryaunda</v>
          </cell>
          <cell r="C7281">
            <v>15.5</v>
          </cell>
        </row>
        <row r="7282">
          <cell r="B7282" t="str">
            <v>Stona,Miguel</v>
          </cell>
          <cell r="C7282">
            <v>18.75</v>
          </cell>
        </row>
        <row r="7283">
          <cell r="B7283" t="str">
            <v>Leamons Jr,John B</v>
          </cell>
          <cell r="C7283">
            <v>49.52</v>
          </cell>
        </row>
        <row r="7284">
          <cell r="B7284" t="str">
            <v>Webb,Rueben T</v>
          </cell>
          <cell r="C7284">
            <v>21.64</v>
          </cell>
        </row>
        <row r="7285">
          <cell r="B7285" t="str">
            <v>Ingram,Al</v>
          </cell>
          <cell r="C7285">
            <v>20</v>
          </cell>
        </row>
        <row r="7286">
          <cell r="B7286" t="str">
            <v>Martinez,Erika A</v>
          </cell>
          <cell r="C7286">
            <v>17.8</v>
          </cell>
        </row>
        <row r="7287">
          <cell r="B7287" t="str">
            <v>Ambrose,Tyrone V</v>
          </cell>
          <cell r="C7287">
            <v>21.75</v>
          </cell>
        </row>
        <row r="7288">
          <cell r="B7288" t="str">
            <v>Hernandez,Sylvia S</v>
          </cell>
          <cell r="C7288">
            <v>53.4</v>
          </cell>
        </row>
        <row r="7289">
          <cell r="B7289" t="str">
            <v>Frederick,Ray A</v>
          </cell>
          <cell r="C7289">
            <v>20.96</v>
          </cell>
        </row>
        <row r="7290">
          <cell r="B7290" t="str">
            <v>Lautenschlager,Jack A</v>
          </cell>
          <cell r="C7290">
            <v>96.16</v>
          </cell>
        </row>
        <row r="7291">
          <cell r="B7291" t="str">
            <v>Patac,Dennis R</v>
          </cell>
          <cell r="C7291">
            <v>42.6</v>
          </cell>
        </row>
        <row r="7292">
          <cell r="B7292" t="str">
            <v>Kennedy,Stephen J</v>
          </cell>
          <cell r="C7292">
            <v>45.91</v>
          </cell>
        </row>
        <row r="7293">
          <cell r="B7293" t="str">
            <v>Rocha,Jose L</v>
          </cell>
          <cell r="C7293">
            <v>20.399999999999999</v>
          </cell>
        </row>
        <row r="7294">
          <cell r="B7294" t="str">
            <v>Nelson,Rosemary C</v>
          </cell>
          <cell r="C7294">
            <v>58.1</v>
          </cell>
        </row>
        <row r="7295">
          <cell r="B7295" t="str">
            <v>Helmick,Brian P</v>
          </cell>
          <cell r="C7295">
            <v>47.54</v>
          </cell>
        </row>
        <row r="7296">
          <cell r="B7296" t="str">
            <v>Brooks,Charles W</v>
          </cell>
          <cell r="C7296">
            <v>20.94</v>
          </cell>
        </row>
        <row r="7297">
          <cell r="B7297" t="str">
            <v>Chatman,Christine Fuentes</v>
          </cell>
          <cell r="C7297">
            <v>25.25</v>
          </cell>
        </row>
        <row r="7298">
          <cell r="B7298" t="str">
            <v>Lesane,Ambrose</v>
          </cell>
          <cell r="C7298">
            <v>18</v>
          </cell>
        </row>
        <row r="7299">
          <cell r="B7299" t="str">
            <v>Javinar,Jared</v>
          </cell>
          <cell r="C7299">
            <v>23.5</v>
          </cell>
        </row>
        <row r="7300">
          <cell r="B7300" t="str">
            <v>Castrellon,Chayna</v>
          </cell>
          <cell r="C7300">
            <v>31.01</v>
          </cell>
        </row>
        <row r="7301">
          <cell r="B7301" t="str">
            <v>Chartier,Stacy</v>
          </cell>
          <cell r="C7301">
            <v>16</v>
          </cell>
        </row>
        <row r="7302">
          <cell r="B7302" t="str">
            <v>Shelton,Jerry J</v>
          </cell>
          <cell r="C7302">
            <v>15</v>
          </cell>
        </row>
        <row r="7303">
          <cell r="B7303" t="str">
            <v>Jennings,Blanche L</v>
          </cell>
          <cell r="C7303">
            <v>18.920000000000002</v>
          </cell>
        </row>
        <row r="7304">
          <cell r="B7304" t="str">
            <v>Garcia,Jesus B</v>
          </cell>
          <cell r="C7304">
            <v>34</v>
          </cell>
        </row>
        <row r="7305">
          <cell r="B7305" t="str">
            <v>Aleman,Alejandro A</v>
          </cell>
          <cell r="C7305">
            <v>15.1</v>
          </cell>
        </row>
        <row r="7306">
          <cell r="B7306" t="str">
            <v>Meckstroth,Brian D</v>
          </cell>
          <cell r="C7306">
            <v>29.57</v>
          </cell>
        </row>
        <row r="7307">
          <cell r="B7307" t="str">
            <v>Rodriguez,Martha C</v>
          </cell>
          <cell r="C7307">
            <v>27.3</v>
          </cell>
        </row>
        <row r="7308">
          <cell r="B7308" t="str">
            <v>Becerril,Carlos A</v>
          </cell>
          <cell r="C7308">
            <v>20.149999999999999</v>
          </cell>
        </row>
        <row r="7309">
          <cell r="B7309" t="str">
            <v>Warren II,Howard D</v>
          </cell>
          <cell r="C7309">
            <v>31.25</v>
          </cell>
        </row>
        <row r="7310">
          <cell r="B7310" t="str">
            <v>Mincey,Jamie</v>
          </cell>
          <cell r="C7310">
            <v>21.21</v>
          </cell>
        </row>
        <row r="7311">
          <cell r="B7311" t="str">
            <v>Moona,Daniel</v>
          </cell>
          <cell r="C7311">
            <v>20.68</v>
          </cell>
        </row>
        <row r="7312">
          <cell r="B7312" t="str">
            <v>Edwards,Deborah</v>
          </cell>
          <cell r="C7312">
            <v>28.81</v>
          </cell>
        </row>
        <row r="7313">
          <cell r="B7313" t="str">
            <v>Smith,Bennie L</v>
          </cell>
          <cell r="C7313">
            <v>16.73</v>
          </cell>
        </row>
        <row r="7314">
          <cell r="B7314" t="str">
            <v>Jones,Marvin E</v>
          </cell>
          <cell r="C7314">
            <v>47.64</v>
          </cell>
        </row>
        <row r="7315">
          <cell r="B7315" t="str">
            <v>Finley,James</v>
          </cell>
          <cell r="C7315">
            <v>76.48</v>
          </cell>
        </row>
        <row r="7316">
          <cell r="B7316" t="str">
            <v>Wrigley,Anavelyn S</v>
          </cell>
          <cell r="C7316">
            <v>21</v>
          </cell>
        </row>
        <row r="7317">
          <cell r="B7317" t="str">
            <v>Ahmed,Abdiaziz A</v>
          </cell>
          <cell r="C7317">
            <v>44.15</v>
          </cell>
        </row>
        <row r="7318">
          <cell r="B7318" t="str">
            <v>Schaechtel,Richard E</v>
          </cell>
          <cell r="C7318">
            <v>20.5</v>
          </cell>
        </row>
        <row r="7319">
          <cell r="B7319" t="str">
            <v>Carter,Vickey R</v>
          </cell>
          <cell r="C7319">
            <v>16.489999999999998</v>
          </cell>
        </row>
        <row r="7320">
          <cell r="B7320" t="str">
            <v>Butler Sr.,Shawn D</v>
          </cell>
          <cell r="C7320">
            <v>23</v>
          </cell>
        </row>
        <row r="7321">
          <cell r="B7321" t="str">
            <v>Tule,Kimberly L</v>
          </cell>
          <cell r="C7321">
            <v>42.55</v>
          </cell>
        </row>
        <row r="7322">
          <cell r="B7322" t="str">
            <v>Stephens,Anthony L</v>
          </cell>
          <cell r="C7322">
            <v>26.45</v>
          </cell>
        </row>
        <row r="7323">
          <cell r="B7323" t="str">
            <v>Callahan,Pamela R</v>
          </cell>
          <cell r="C7323">
            <v>15.57</v>
          </cell>
        </row>
        <row r="7324">
          <cell r="B7324" t="str">
            <v>Miller,Rodney D</v>
          </cell>
          <cell r="C7324">
            <v>27.07</v>
          </cell>
        </row>
        <row r="7325">
          <cell r="B7325" t="str">
            <v>Fryar,Tiyana L</v>
          </cell>
          <cell r="C7325">
            <v>37.5</v>
          </cell>
        </row>
        <row r="7326">
          <cell r="B7326" t="str">
            <v>Hill Jr.,Melvin L</v>
          </cell>
          <cell r="C7326">
            <v>21.8</v>
          </cell>
        </row>
        <row r="7327">
          <cell r="B7327" t="str">
            <v>Hancock,Robin</v>
          </cell>
          <cell r="C7327">
            <v>28.5</v>
          </cell>
        </row>
        <row r="7328">
          <cell r="B7328" t="str">
            <v>Deane,Eddie C.</v>
          </cell>
          <cell r="C7328">
            <v>67.86</v>
          </cell>
        </row>
        <row r="7329">
          <cell r="B7329" t="str">
            <v>Barylski,Martin R</v>
          </cell>
          <cell r="C7329">
            <v>49.97</v>
          </cell>
        </row>
        <row r="7330">
          <cell r="B7330" t="str">
            <v>Barrere,Jennifer L</v>
          </cell>
          <cell r="C7330">
            <v>27.62</v>
          </cell>
        </row>
        <row r="7331">
          <cell r="B7331" t="str">
            <v>Gollyhorn,Heather M</v>
          </cell>
          <cell r="C7331">
            <v>27.89</v>
          </cell>
        </row>
        <row r="7332">
          <cell r="B7332" t="str">
            <v>Parrish,Shauna Y</v>
          </cell>
          <cell r="C7332">
            <v>22.99</v>
          </cell>
        </row>
        <row r="7333">
          <cell r="B7333" t="str">
            <v>Allen,David D</v>
          </cell>
          <cell r="C7333">
            <v>38.520000000000003</v>
          </cell>
        </row>
        <row r="7334">
          <cell r="B7334" t="str">
            <v>Hansen,Richard D</v>
          </cell>
          <cell r="C7334">
            <v>50.48</v>
          </cell>
        </row>
        <row r="7335">
          <cell r="B7335" t="str">
            <v>Tibbitts,Blaine E</v>
          </cell>
          <cell r="C7335">
            <v>20.82</v>
          </cell>
        </row>
        <row r="7336">
          <cell r="B7336" t="str">
            <v>Walsh,Sandra J</v>
          </cell>
          <cell r="C7336">
            <v>18.5</v>
          </cell>
        </row>
        <row r="7337">
          <cell r="B7337" t="str">
            <v>Tatum,Bryan C</v>
          </cell>
          <cell r="C7337">
            <v>18.5</v>
          </cell>
        </row>
        <row r="7338">
          <cell r="B7338" t="str">
            <v>Luu,Thanh</v>
          </cell>
          <cell r="C7338">
            <v>95.295199999999994</v>
          </cell>
        </row>
        <row r="7339">
          <cell r="B7339" t="str">
            <v>Weir,Kevin</v>
          </cell>
          <cell r="C7339">
            <v>20.5</v>
          </cell>
        </row>
        <row r="7340">
          <cell r="B7340" t="str">
            <v>Keith,Heather</v>
          </cell>
          <cell r="C7340">
            <v>31.25</v>
          </cell>
        </row>
        <row r="7341">
          <cell r="B7341" t="str">
            <v>Kotecki,David A</v>
          </cell>
          <cell r="C7341">
            <v>19.55</v>
          </cell>
        </row>
        <row r="7342">
          <cell r="B7342" t="str">
            <v>Nesbitt-Allen,Candice</v>
          </cell>
          <cell r="C7342">
            <v>17.309999999999999</v>
          </cell>
        </row>
        <row r="7343">
          <cell r="B7343" t="str">
            <v>Awad,Mostafa M</v>
          </cell>
          <cell r="C7343">
            <v>35.590000000000003</v>
          </cell>
        </row>
        <row r="7344">
          <cell r="B7344" t="str">
            <v>Edwards,Willie J</v>
          </cell>
          <cell r="C7344">
            <v>29.92</v>
          </cell>
        </row>
        <row r="7345">
          <cell r="B7345" t="str">
            <v>Green,Dahn N</v>
          </cell>
          <cell r="C7345">
            <v>25</v>
          </cell>
        </row>
        <row r="7346">
          <cell r="B7346" t="str">
            <v>Lockwood,Louis T</v>
          </cell>
          <cell r="C7346">
            <v>63.461537999999997</v>
          </cell>
        </row>
        <row r="7347">
          <cell r="B7347" t="str">
            <v>Daus,Douglas A</v>
          </cell>
          <cell r="C7347">
            <v>22.44</v>
          </cell>
        </row>
        <row r="7348">
          <cell r="B7348" t="str">
            <v>DiRenzo,Anthony M</v>
          </cell>
          <cell r="C7348">
            <v>50.480800000000002</v>
          </cell>
        </row>
        <row r="7349">
          <cell r="B7349" t="str">
            <v>Shelton,Damsel E</v>
          </cell>
          <cell r="C7349">
            <v>18.88</v>
          </cell>
        </row>
        <row r="7350">
          <cell r="B7350" t="str">
            <v>Foster Sr.,Arthur L</v>
          </cell>
          <cell r="C7350">
            <v>21</v>
          </cell>
        </row>
        <row r="7351">
          <cell r="B7351" t="str">
            <v>Sandoval,Susana</v>
          </cell>
          <cell r="C7351">
            <v>6.41</v>
          </cell>
        </row>
        <row r="7352">
          <cell r="B7352" t="str">
            <v>Johnson,Michael A</v>
          </cell>
          <cell r="C7352">
            <v>25</v>
          </cell>
        </row>
        <row r="7353">
          <cell r="B7353" t="str">
            <v>Santos,Peter S.M.</v>
          </cell>
          <cell r="C7353">
            <v>12</v>
          </cell>
        </row>
        <row r="7354">
          <cell r="B7354" t="str">
            <v>Long,Adolfo</v>
          </cell>
          <cell r="C7354">
            <v>20.53</v>
          </cell>
        </row>
        <row r="7355">
          <cell r="B7355" t="str">
            <v>Daniel III,William G</v>
          </cell>
          <cell r="C7355">
            <v>17.649999999999999</v>
          </cell>
        </row>
        <row r="7356">
          <cell r="B7356" t="str">
            <v>Jones,De'Andre J</v>
          </cell>
          <cell r="C7356">
            <v>43.27</v>
          </cell>
        </row>
        <row r="7357">
          <cell r="B7357" t="str">
            <v>McClintock,William J</v>
          </cell>
          <cell r="C7357">
            <v>18.53</v>
          </cell>
        </row>
        <row r="7358">
          <cell r="B7358" t="str">
            <v>Earll,Andrea A</v>
          </cell>
          <cell r="C7358">
            <v>19.760000000000002</v>
          </cell>
        </row>
        <row r="7359">
          <cell r="B7359" t="str">
            <v>DeVecchis,Louis A</v>
          </cell>
          <cell r="C7359">
            <v>18.75</v>
          </cell>
        </row>
        <row r="7360">
          <cell r="B7360" t="str">
            <v>McGee,Derek J</v>
          </cell>
          <cell r="C7360">
            <v>18.5</v>
          </cell>
        </row>
        <row r="7361">
          <cell r="B7361" t="str">
            <v>Blackwood,Lisa S</v>
          </cell>
          <cell r="C7361">
            <v>35</v>
          </cell>
        </row>
        <row r="7362">
          <cell r="B7362" t="str">
            <v>Chandler II,Bruce W</v>
          </cell>
          <cell r="C7362">
            <v>43.41</v>
          </cell>
        </row>
        <row r="7363">
          <cell r="B7363" t="str">
            <v>Meason,Michala A</v>
          </cell>
          <cell r="C7363">
            <v>18.66</v>
          </cell>
        </row>
        <row r="7364">
          <cell r="B7364" t="str">
            <v>Burian,Kerry A</v>
          </cell>
          <cell r="C7364">
            <v>12.5</v>
          </cell>
        </row>
        <row r="7365">
          <cell r="B7365" t="str">
            <v>Lemon Jr.,Ralph</v>
          </cell>
          <cell r="C7365">
            <v>16.75</v>
          </cell>
        </row>
        <row r="7366">
          <cell r="B7366" t="str">
            <v>Edsall III,Barton S</v>
          </cell>
          <cell r="C7366">
            <v>116.10899999999999</v>
          </cell>
        </row>
        <row r="7367">
          <cell r="B7367" t="str">
            <v>Snyder,Donna J</v>
          </cell>
          <cell r="C7367">
            <v>31</v>
          </cell>
        </row>
        <row r="7368">
          <cell r="B7368" t="str">
            <v>Green,Kristen L</v>
          </cell>
          <cell r="C7368">
            <v>15.39</v>
          </cell>
        </row>
        <row r="7369">
          <cell r="B7369" t="str">
            <v>Skutt,Jonathon J</v>
          </cell>
          <cell r="C7369">
            <v>19.2</v>
          </cell>
        </row>
        <row r="7370">
          <cell r="B7370" t="str">
            <v>Whitney,Mara</v>
          </cell>
          <cell r="C7370">
            <v>32.69</v>
          </cell>
        </row>
        <row r="7371">
          <cell r="B7371" t="str">
            <v>O'Brien,Jason D</v>
          </cell>
          <cell r="C7371">
            <v>20</v>
          </cell>
        </row>
        <row r="7372">
          <cell r="B7372" t="str">
            <v>Tritto,Tabatha A</v>
          </cell>
          <cell r="C7372">
            <v>44.72</v>
          </cell>
        </row>
        <row r="7373">
          <cell r="B7373" t="str">
            <v>Ulrich,Donna</v>
          </cell>
          <cell r="C7373">
            <v>10.87</v>
          </cell>
        </row>
        <row r="7374">
          <cell r="B7374" t="str">
            <v>Richardson,Destin T</v>
          </cell>
          <cell r="C7374">
            <v>26.81</v>
          </cell>
        </row>
        <row r="7375">
          <cell r="B7375" t="str">
            <v>Paone,Nicholas M</v>
          </cell>
          <cell r="C7375">
            <v>78.13</v>
          </cell>
        </row>
        <row r="7376">
          <cell r="B7376" t="str">
            <v>Steele,John W</v>
          </cell>
          <cell r="C7376">
            <v>46.1</v>
          </cell>
        </row>
        <row r="7377">
          <cell r="B7377" t="str">
            <v>Fernandez,Steven j</v>
          </cell>
          <cell r="C7377">
            <v>16</v>
          </cell>
        </row>
        <row r="7378">
          <cell r="B7378" t="str">
            <v>Hernandez,Kourtney E</v>
          </cell>
          <cell r="C7378">
            <v>21.15</v>
          </cell>
        </row>
        <row r="7379">
          <cell r="B7379" t="str">
            <v>Davis,Leslie N</v>
          </cell>
          <cell r="C7379">
            <v>10</v>
          </cell>
        </row>
        <row r="7380">
          <cell r="B7380" t="str">
            <v>Emory,Preston D</v>
          </cell>
          <cell r="C7380">
            <v>13.47</v>
          </cell>
        </row>
        <row r="7381">
          <cell r="B7381" t="str">
            <v>Jones,Serina J</v>
          </cell>
          <cell r="C7381">
            <v>25</v>
          </cell>
        </row>
        <row r="7382">
          <cell r="B7382" t="str">
            <v>Thomas,Natalie I</v>
          </cell>
          <cell r="C7382">
            <v>31.97</v>
          </cell>
        </row>
        <row r="7383">
          <cell r="B7383" t="str">
            <v>Grissinger,Phillip D</v>
          </cell>
          <cell r="C7383">
            <v>28.14</v>
          </cell>
        </row>
        <row r="7384">
          <cell r="B7384" t="str">
            <v>Payne,Beverly M</v>
          </cell>
          <cell r="C7384">
            <v>17.71</v>
          </cell>
        </row>
        <row r="7385">
          <cell r="B7385" t="str">
            <v>Gonzales,Leonard R</v>
          </cell>
          <cell r="C7385">
            <v>42.31</v>
          </cell>
        </row>
        <row r="7386">
          <cell r="B7386" t="str">
            <v>Leininger,Joseph K</v>
          </cell>
          <cell r="C7386">
            <v>48.66</v>
          </cell>
        </row>
        <row r="7387">
          <cell r="B7387" t="str">
            <v>Jones,Shannon</v>
          </cell>
          <cell r="C7387">
            <v>55.29</v>
          </cell>
        </row>
        <row r="7388">
          <cell r="B7388" t="str">
            <v>Wilson,Cynthia A</v>
          </cell>
          <cell r="C7388">
            <v>22.65</v>
          </cell>
        </row>
        <row r="7389">
          <cell r="B7389" t="str">
            <v>Arenas,Jacob</v>
          </cell>
          <cell r="C7389">
            <v>21.65</v>
          </cell>
        </row>
        <row r="7390">
          <cell r="B7390" t="str">
            <v>Miles,Kenya N</v>
          </cell>
          <cell r="C7390">
            <v>64.91</v>
          </cell>
        </row>
        <row r="7391">
          <cell r="B7391" t="str">
            <v>Bryson,Dewitt JT</v>
          </cell>
          <cell r="C7391">
            <v>23.54</v>
          </cell>
        </row>
        <row r="7392">
          <cell r="B7392" t="str">
            <v>Hendricks,John E</v>
          </cell>
          <cell r="C7392">
            <v>24.14</v>
          </cell>
        </row>
        <row r="7393">
          <cell r="B7393" t="str">
            <v>Hickey,Alberta C</v>
          </cell>
          <cell r="C7393">
            <v>39.01</v>
          </cell>
        </row>
        <row r="7394">
          <cell r="B7394" t="str">
            <v>LaCour,Arnold R</v>
          </cell>
          <cell r="C7394">
            <v>28.11</v>
          </cell>
        </row>
        <row r="7395">
          <cell r="B7395" t="str">
            <v>Parnell,Nancy J</v>
          </cell>
          <cell r="C7395">
            <v>27.02</v>
          </cell>
        </row>
        <row r="7396">
          <cell r="B7396" t="str">
            <v>Gray,Donta</v>
          </cell>
          <cell r="C7396">
            <v>18</v>
          </cell>
        </row>
        <row r="7397">
          <cell r="B7397" t="str">
            <v>Wright,Charles W</v>
          </cell>
          <cell r="C7397">
            <v>20.6</v>
          </cell>
        </row>
        <row r="7398">
          <cell r="B7398" t="str">
            <v>Taitano,April Lynn Topasna</v>
          </cell>
          <cell r="C7398">
            <v>22.75</v>
          </cell>
        </row>
        <row r="7399">
          <cell r="B7399" t="str">
            <v>Alvarado,Jessica M</v>
          </cell>
          <cell r="C7399">
            <v>16.190000000000001</v>
          </cell>
        </row>
        <row r="7400">
          <cell r="B7400" t="str">
            <v>Michaud,Jean M</v>
          </cell>
          <cell r="C7400">
            <v>64.52</v>
          </cell>
        </row>
        <row r="7401">
          <cell r="B7401" t="str">
            <v>Mauga,Fuaau S</v>
          </cell>
          <cell r="C7401">
            <v>34.65</v>
          </cell>
        </row>
        <row r="7402">
          <cell r="B7402" t="str">
            <v>Jordan,Tiva M</v>
          </cell>
          <cell r="C7402">
            <v>12.33</v>
          </cell>
        </row>
        <row r="7403">
          <cell r="B7403" t="str">
            <v>Harper Jr.,James A</v>
          </cell>
          <cell r="C7403">
            <v>16.57</v>
          </cell>
        </row>
        <row r="7404">
          <cell r="B7404" t="str">
            <v>Carter,David M</v>
          </cell>
          <cell r="C7404">
            <v>23.45</v>
          </cell>
        </row>
        <row r="7405">
          <cell r="B7405" t="str">
            <v>Casanova,Eduardo</v>
          </cell>
          <cell r="C7405">
            <v>36.1</v>
          </cell>
        </row>
        <row r="7406">
          <cell r="B7406" t="str">
            <v>Fitzpatrick,Richard A</v>
          </cell>
          <cell r="C7406">
            <v>23.5</v>
          </cell>
        </row>
        <row r="7407">
          <cell r="B7407" t="str">
            <v>Rains,Aaron L</v>
          </cell>
          <cell r="C7407">
            <v>18.25</v>
          </cell>
        </row>
        <row r="7408">
          <cell r="B7408" t="str">
            <v>Abeyta,Lorentz K</v>
          </cell>
          <cell r="C7408">
            <v>27</v>
          </cell>
        </row>
        <row r="7409">
          <cell r="B7409" t="str">
            <v>Mahon,Richard C</v>
          </cell>
          <cell r="C7409">
            <v>34.25</v>
          </cell>
        </row>
        <row r="7410">
          <cell r="B7410" t="str">
            <v>McFarland,Kathleen M</v>
          </cell>
          <cell r="C7410">
            <v>28.85</v>
          </cell>
        </row>
        <row r="7411">
          <cell r="B7411" t="str">
            <v>Wallis,Gregory L</v>
          </cell>
          <cell r="C7411">
            <v>22.845700000000001</v>
          </cell>
        </row>
        <row r="7412">
          <cell r="B7412" t="str">
            <v>Levering,Philip I</v>
          </cell>
          <cell r="C7412">
            <v>19.48</v>
          </cell>
        </row>
        <row r="7413">
          <cell r="B7413" t="str">
            <v>Hudson,Noga</v>
          </cell>
          <cell r="C7413">
            <v>31.27</v>
          </cell>
        </row>
        <row r="7414">
          <cell r="B7414" t="str">
            <v>Tijerina,Andrew C</v>
          </cell>
          <cell r="C7414">
            <v>31.26</v>
          </cell>
        </row>
        <row r="7415">
          <cell r="B7415" t="str">
            <v>Singleton,Aaron M</v>
          </cell>
          <cell r="C7415">
            <v>18.5</v>
          </cell>
        </row>
        <row r="7416">
          <cell r="B7416" t="str">
            <v>Wistos,Tammy L</v>
          </cell>
          <cell r="C7416">
            <v>84.14</v>
          </cell>
        </row>
        <row r="7417">
          <cell r="B7417" t="str">
            <v>Dorado,Cristhian A</v>
          </cell>
          <cell r="C7417">
            <v>16.829999999999998</v>
          </cell>
        </row>
        <row r="7418">
          <cell r="B7418" t="str">
            <v>Sorrells,James A</v>
          </cell>
          <cell r="C7418">
            <v>61.38</v>
          </cell>
        </row>
        <row r="7419">
          <cell r="B7419" t="str">
            <v>Cupp,Cameron M</v>
          </cell>
          <cell r="C7419">
            <v>23.557700000000001</v>
          </cell>
        </row>
        <row r="7420">
          <cell r="B7420" t="str">
            <v>Vasquez,Juan J</v>
          </cell>
          <cell r="C7420">
            <v>46.64</v>
          </cell>
        </row>
        <row r="7421">
          <cell r="B7421" t="str">
            <v>Boatman,Bryan M</v>
          </cell>
          <cell r="C7421">
            <v>37.5</v>
          </cell>
        </row>
        <row r="7422">
          <cell r="B7422" t="str">
            <v>Baker,Jesse E</v>
          </cell>
          <cell r="C7422">
            <v>23.07</v>
          </cell>
        </row>
        <row r="7423">
          <cell r="B7423" t="str">
            <v>Glenn,Dwight B</v>
          </cell>
          <cell r="C7423">
            <v>25.95</v>
          </cell>
        </row>
        <row r="7424">
          <cell r="B7424" t="str">
            <v>Trayfors,Greta K</v>
          </cell>
          <cell r="C7424">
            <v>34.619999999999997</v>
          </cell>
        </row>
        <row r="7425">
          <cell r="B7425" t="str">
            <v>Miller,Duane A</v>
          </cell>
          <cell r="C7425">
            <v>17.8</v>
          </cell>
        </row>
        <row r="7426">
          <cell r="B7426" t="str">
            <v>Dwyer,John P</v>
          </cell>
          <cell r="C7426">
            <v>66.099999999999994</v>
          </cell>
        </row>
        <row r="7427">
          <cell r="B7427" t="str">
            <v>Gordon,Samos A</v>
          </cell>
          <cell r="C7427">
            <v>19</v>
          </cell>
        </row>
        <row r="7428">
          <cell r="B7428" t="str">
            <v>Martin,Colman E</v>
          </cell>
          <cell r="C7428">
            <v>20.28</v>
          </cell>
        </row>
        <row r="7429">
          <cell r="B7429" t="str">
            <v>Gordon,Peggy O</v>
          </cell>
          <cell r="C7429">
            <v>20.58</v>
          </cell>
        </row>
        <row r="7430">
          <cell r="B7430" t="str">
            <v>Canon,Daniel G</v>
          </cell>
          <cell r="C7430">
            <v>17.670000000000002</v>
          </cell>
        </row>
        <row r="7431">
          <cell r="B7431" t="str">
            <v>Boucher,Kayla C</v>
          </cell>
          <cell r="C7431">
            <v>12.33</v>
          </cell>
        </row>
        <row r="7432">
          <cell r="B7432" t="str">
            <v>Hulce II,Richard L</v>
          </cell>
          <cell r="C7432">
            <v>48.08</v>
          </cell>
        </row>
        <row r="7433">
          <cell r="B7433" t="str">
            <v>Stack,Christopher M</v>
          </cell>
          <cell r="C7433">
            <v>48.66</v>
          </cell>
        </row>
        <row r="7434">
          <cell r="B7434" t="str">
            <v>Forsythe,Jason D</v>
          </cell>
          <cell r="C7434">
            <v>20</v>
          </cell>
        </row>
        <row r="7435">
          <cell r="B7435" t="str">
            <v>Showalter Jr.,Paul F</v>
          </cell>
          <cell r="C7435">
            <v>22.21</v>
          </cell>
        </row>
        <row r="7436">
          <cell r="B7436" t="str">
            <v>Foster,Greg A</v>
          </cell>
          <cell r="C7436">
            <v>23.14</v>
          </cell>
        </row>
        <row r="7437">
          <cell r="B7437" t="str">
            <v>Peyton,Dale E</v>
          </cell>
          <cell r="C7437">
            <v>63.05</v>
          </cell>
        </row>
        <row r="7438">
          <cell r="B7438" t="str">
            <v>Frogge,Barbara R</v>
          </cell>
          <cell r="C7438">
            <v>25.48</v>
          </cell>
        </row>
        <row r="7439">
          <cell r="B7439" t="str">
            <v>Cropp,Kevin W</v>
          </cell>
          <cell r="C7439">
            <v>50.88</v>
          </cell>
        </row>
        <row r="7440">
          <cell r="B7440" t="str">
            <v>Danahey,Timothy J</v>
          </cell>
          <cell r="C7440">
            <v>66</v>
          </cell>
        </row>
        <row r="7441">
          <cell r="B7441" t="str">
            <v>Anderson,Troy A</v>
          </cell>
          <cell r="C7441">
            <v>14.28</v>
          </cell>
        </row>
        <row r="7442">
          <cell r="B7442" t="str">
            <v>Verdell,Karen</v>
          </cell>
          <cell r="C7442">
            <v>29.567399999999999</v>
          </cell>
        </row>
        <row r="7443">
          <cell r="B7443" t="str">
            <v>Owens,Larry R</v>
          </cell>
          <cell r="C7443">
            <v>40.869999999999997</v>
          </cell>
        </row>
        <row r="7444">
          <cell r="B7444" t="str">
            <v>Smith,Paul H</v>
          </cell>
          <cell r="C7444">
            <v>34</v>
          </cell>
        </row>
        <row r="7445">
          <cell r="B7445" t="str">
            <v>Worley III,Harry J</v>
          </cell>
          <cell r="C7445">
            <v>30.38</v>
          </cell>
        </row>
        <row r="7446">
          <cell r="B7446" t="str">
            <v>Stevens,Timothy J</v>
          </cell>
          <cell r="C7446">
            <v>39.49</v>
          </cell>
        </row>
        <row r="7447">
          <cell r="B7447" t="str">
            <v>Bosque,Paula R</v>
          </cell>
          <cell r="C7447">
            <v>21</v>
          </cell>
        </row>
        <row r="7448">
          <cell r="B7448" t="str">
            <v>Lucia,Stacey H</v>
          </cell>
          <cell r="C7448">
            <v>19.72</v>
          </cell>
        </row>
        <row r="7449">
          <cell r="B7449" t="str">
            <v>Hardy,Randolph</v>
          </cell>
          <cell r="C7449">
            <v>26.45</v>
          </cell>
        </row>
        <row r="7450">
          <cell r="B7450" t="str">
            <v>Stewart Jr.,James R</v>
          </cell>
          <cell r="C7450">
            <v>50.48</v>
          </cell>
        </row>
        <row r="7451">
          <cell r="B7451" t="str">
            <v>Bethea,Maurice D</v>
          </cell>
          <cell r="C7451">
            <v>19.25</v>
          </cell>
        </row>
        <row r="7452">
          <cell r="B7452" t="str">
            <v>Underhill,Karl W</v>
          </cell>
          <cell r="C7452">
            <v>21</v>
          </cell>
        </row>
        <row r="7453">
          <cell r="B7453" t="str">
            <v>Toney,Helen G</v>
          </cell>
          <cell r="C7453">
            <v>19.91</v>
          </cell>
        </row>
        <row r="7454">
          <cell r="B7454" t="str">
            <v>Hood,Susan M</v>
          </cell>
          <cell r="C7454">
            <v>33.11</v>
          </cell>
        </row>
        <row r="7455">
          <cell r="B7455" t="str">
            <v>Sherman,Daniel E</v>
          </cell>
          <cell r="C7455">
            <v>43.27</v>
          </cell>
        </row>
        <row r="7456">
          <cell r="B7456" t="str">
            <v>Deadwyler,Janell</v>
          </cell>
          <cell r="C7456">
            <v>46.16</v>
          </cell>
        </row>
        <row r="7457">
          <cell r="B7457" t="str">
            <v>Kelley,Patricia J</v>
          </cell>
          <cell r="C7457">
            <v>41.83</v>
          </cell>
        </row>
        <row r="7458">
          <cell r="B7458" t="str">
            <v>Rhoades,Bert L</v>
          </cell>
          <cell r="C7458">
            <v>52.88</v>
          </cell>
        </row>
        <row r="7459">
          <cell r="B7459" t="str">
            <v>Bynum,James C</v>
          </cell>
          <cell r="C7459">
            <v>27.5</v>
          </cell>
        </row>
        <row r="7460">
          <cell r="B7460" t="str">
            <v>Ferris,Winston L</v>
          </cell>
          <cell r="C7460">
            <v>23</v>
          </cell>
        </row>
        <row r="7461">
          <cell r="B7461" t="str">
            <v>Bloomfield,Tekeshia L</v>
          </cell>
          <cell r="C7461">
            <v>21.89</v>
          </cell>
        </row>
        <row r="7462">
          <cell r="B7462" t="str">
            <v>Wilson,Wayland G</v>
          </cell>
          <cell r="C7462">
            <v>23</v>
          </cell>
        </row>
        <row r="7463">
          <cell r="B7463" t="str">
            <v>Burr,Philip A</v>
          </cell>
          <cell r="C7463">
            <v>24</v>
          </cell>
        </row>
        <row r="7464">
          <cell r="B7464" t="str">
            <v>Brown,Linda A</v>
          </cell>
          <cell r="C7464">
            <v>38.049999999999997</v>
          </cell>
        </row>
        <row r="7465">
          <cell r="B7465" t="str">
            <v>Headen,Sidney I.</v>
          </cell>
          <cell r="C7465">
            <v>35.29</v>
          </cell>
        </row>
        <row r="7466">
          <cell r="B7466" t="str">
            <v>Hyman,Pamela Y</v>
          </cell>
          <cell r="C7466">
            <v>17.5</v>
          </cell>
        </row>
        <row r="7467">
          <cell r="B7467" t="str">
            <v>Allison,James S</v>
          </cell>
          <cell r="C7467">
            <v>27.46</v>
          </cell>
        </row>
        <row r="7468">
          <cell r="B7468" t="str">
            <v>Churilla,Shaun T</v>
          </cell>
          <cell r="C7468">
            <v>24.04</v>
          </cell>
        </row>
        <row r="7469">
          <cell r="B7469" t="str">
            <v>Langford,Russell D</v>
          </cell>
          <cell r="C7469">
            <v>27.68</v>
          </cell>
        </row>
        <row r="7470">
          <cell r="B7470" t="str">
            <v>Harper,Howard F</v>
          </cell>
          <cell r="C7470">
            <v>44.5</v>
          </cell>
        </row>
        <row r="7471">
          <cell r="B7471" t="str">
            <v>Berry,Anthony P</v>
          </cell>
          <cell r="C7471">
            <v>33.53</v>
          </cell>
        </row>
        <row r="7472">
          <cell r="B7472" t="str">
            <v>Dottle,Donna K</v>
          </cell>
          <cell r="C7472">
            <v>26.45</v>
          </cell>
        </row>
        <row r="7473">
          <cell r="B7473" t="str">
            <v>Leevers,Jack E</v>
          </cell>
          <cell r="C7473">
            <v>23.45</v>
          </cell>
        </row>
        <row r="7474">
          <cell r="B7474" t="str">
            <v>Gulley,Kimberlyn P</v>
          </cell>
          <cell r="C7474">
            <v>21.99</v>
          </cell>
        </row>
        <row r="7475">
          <cell r="B7475" t="str">
            <v>Soto,Wilfredo O</v>
          </cell>
          <cell r="C7475">
            <v>20.5</v>
          </cell>
        </row>
        <row r="7476">
          <cell r="B7476" t="str">
            <v>Holmes,Donald R</v>
          </cell>
          <cell r="C7476">
            <v>29.42</v>
          </cell>
        </row>
        <row r="7477">
          <cell r="B7477" t="str">
            <v>Ashton,Ashleigh M</v>
          </cell>
          <cell r="C7477">
            <v>24.04</v>
          </cell>
        </row>
        <row r="7478">
          <cell r="B7478" t="str">
            <v>Johnson,Matthew</v>
          </cell>
          <cell r="C7478">
            <v>22.46</v>
          </cell>
        </row>
        <row r="7479">
          <cell r="B7479" t="str">
            <v>Neal Jr.,Joseph L</v>
          </cell>
          <cell r="C7479">
            <v>18</v>
          </cell>
        </row>
        <row r="7480">
          <cell r="B7480" t="str">
            <v>Chandler,Trent S</v>
          </cell>
          <cell r="C7480">
            <v>66.650000000000006</v>
          </cell>
        </row>
        <row r="7481">
          <cell r="B7481" t="str">
            <v>Thompson Sr.,Duncan M</v>
          </cell>
          <cell r="C7481">
            <v>48</v>
          </cell>
        </row>
        <row r="7482">
          <cell r="B7482" t="str">
            <v>Roberto,Jose B</v>
          </cell>
          <cell r="C7482">
            <v>20</v>
          </cell>
        </row>
        <row r="7483">
          <cell r="B7483" t="str">
            <v>Necaise Jr.,Bennie R</v>
          </cell>
          <cell r="C7483">
            <v>20.74</v>
          </cell>
        </row>
        <row r="7484">
          <cell r="B7484" t="str">
            <v>McGee,Haleigh D</v>
          </cell>
          <cell r="C7484">
            <v>20.3</v>
          </cell>
        </row>
        <row r="7485">
          <cell r="B7485" t="str">
            <v>Harris,Dushaun N</v>
          </cell>
          <cell r="C7485">
            <v>45.68</v>
          </cell>
        </row>
        <row r="7486">
          <cell r="B7486" t="str">
            <v>Wilfong,Christopher L</v>
          </cell>
          <cell r="C7486">
            <v>48.6</v>
          </cell>
        </row>
        <row r="7487">
          <cell r="B7487" t="str">
            <v>Shelton Sr.,Curtis O</v>
          </cell>
          <cell r="C7487">
            <v>19.170000000000002</v>
          </cell>
        </row>
        <row r="7488">
          <cell r="B7488" t="str">
            <v>Talarovich III,Joseph M</v>
          </cell>
          <cell r="C7488">
            <v>47.51</v>
          </cell>
        </row>
        <row r="7489">
          <cell r="B7489" t="str">
            <v>Philbeck,Patricia C</v>
          </cell>
          <cell r="C7489">
            <v>20.865500000000001</v>
          </cell>
        </row>
        <row r="7490">
          <cell r="B7490" t="str">
            <v>Thomas,Charlotte E</v>
          </cell>
          <cell r="C7490">
            <v>24.04</v>
          </cell>
        </row>
        <row r="7491">
          <cell r="B7491" t="str">
            <v>Koberstein,Jennifer L</v>
          </cell>
          <cell r="C7491">
            <v>52.41</v>
          </cell>
        </row>
        <row r="7492">
          <cell r="B7492" t="str">
            <v>Cumbo,Jeannie M</v>
          </cell>
          <cell r="C7492">
            <v>32.5</v>
          </cell>
        </row>
        <row r="7493">
          <cell r="B7493" t="str">
            <v>Hawley,Michael R</v>
          </cell>
          <cell r="C7493">
            <v>45.68</v>
          </cell>
        </row>
        <row r="7494">
          <cell r="B7494" t="str">
            <v>Mackinnon,Patrick R</v>
          </cell>
          <cell r="C7494">
            <v>26.45</v>
          </cell>
        </row>
        <row r="7495">
          <cell r="B7495" t="str">
            <v>Peecher,Erik</v>
          </cell>
          <cell r="C7495">
            <v>24.04</v>
          </cell>
        </row>
        <row r="7496">
          <cell r="B7496" t="str">
            <v>Rotz,Melanie S</v>
          </cell>
          <cell r="C7496">
            <v>73.959999999999994</v>
          </cell>
        </row>
        <row r="7497">
          <cell r="B7497" t="str">
            <v>Taylor,Richard A</v>
          </cell>
          <cell r="C7497">
            <v>23.08</v>
          </cell>
        </row>
        <row r="7498">
          <cell r="B7498" t="str">
            <v>Mehrotra,Sonia</v>
          </cell>
          <cell r="C7498">
            <v>69.72</v>
          </cell>
        </row>
        <row r="7499">
          <cell r="B7499" t="str">
            <v>Marlowe,Shannon D</v>
          </cell>
          <cell r="C7499">
            <v>18.62</v>
          </cell>
        </row>
        <row r="7500">
          <cell r="B7500" t="str">
            <v>Jones,Celia</v>
          </cell>
          <cell r="C7500">
            <v>20.56</v>
          </cell>
        </row>
        <row r="7501">
          <cell r="B7501" t="str">
            <v>Walker,Diane C</v>
          </cell>
          <cell r="C7501">
            <v>26.93</v>
          </cell>
        </row>
        <row r="7502">
          <cell r="B7502" t="str">
            <v>Hargro,Alexis D</v>
          </cell>
          <cell r="C7502">
            <v>19.23</v>
          </cell>
        </row>
        <row r="7503">
          <cell r="B7503" t="str">
            <v>Crawford,Shawn F</v>
          </cell>
          <cell r="C7503">
            <v>39.76</v>
          </cell>
        </row>
        <row r="7504">
          <cell r="B7504" t="str">
            <v>Torres,Alexander</v>
          </cell>
          <cell r="C7504">
            <v>19.39</v>
          </cell>
        </row>
        <row r="7505">
          <cell r="B7505" t="str">
            <v>Hancock,Melody J</v>
          </cell>
          <cell r="C7505">
            <v>16.5</v>
          </cell>
        </row>
        <row r="7506">
          <cell r="B7506" t="str">
            <v>Stamper,Steven N</v>
          </cell>
          <cell r="C7506">
            <v>40.869999999999997</v>
          </cell>
        </row>
        <row r="7507">
          <cell r="B7507" t="str">
            <v>Pesnell,Michele Y</v>
          </cell>
          <cell r="C7507">
            <v>24.52</v>
          </cell>
        </row>
        <row r="7508">
          <cell r="B7508" t="str">
            <v>Gant,Carolyn</v>
          </cell>
          <cell r="C7508">
            <v>36.049999999999997</v>
          </cell>
        </row>
        <row r="7509">
          <cell r="B7509" t="str">
            <v>Hutton,Victor J</v>
          </cell>
          <cell r="C7509">
            <v>38.47</v>
          </cell>
        </row>
        <row r="7510">
          <cell r="B7510" t="str">
            <v>Arrington,Tony D</v>
          </cell>
          <cell r="C7510">
            <v>20.85</v>
          </cell>
        </row>
        <row r="7511">
          <cell r="B7511" t="str">
            <v>Taylor,Shalom D</v>
          </cell>
          <cell r="C7511">
            <v>16.489999999999998</v>
          </cell>
        </row>
        <row r="7512">
          <cell r="B7512" t="str">
            <v>Kelley,Danny P</v>
          </cell>
          <cell r="C7512">
            <v>22</v>
          </cell>
        </row>
        <row r="7513">
          <cell r="B7513" t="str">
            <v>Tholasi,Srihari</v>
          </cell>
          <cell r="C7513">
            <v>43.27</v>
          </cell>
        </row>
        <row r="7514">
          <cell r="B7514" t="str">
            <v>Smith,Amel E</v>
          </cell>
          <cell r="C7514">
            <v>76.739999999999995</v>
          </cell>
        </row>
        <row r="7515">
          <cell r="B7515" t="str">
            <v>Sanders,Paul D</v>
          </cell>
          <cell r="C7515">
            <v>48.08</v>
          </cell>
        </row>
        <row r="7516">
          <cell r="B7516" t="str">
            <v>Sellers,Laura A</v>
          </cell>
          <cell r="C7516">
            <v>26.45</v>
          </cell>
        </row>
        <row r="7517">
          <cell r="B7517" t="str">
            <v>Tyrrell,John C</v>
          </cell>
          <cell r="C7517">
            <v>87.98</v>
          </cell>
        </row>
        <row r="7518">
          <cell r="B7518" t="str">
            <v>Powers,Kenneth L</v>
          </cell>
          <cell r="C7518">
            <v>46.1539</v>
          </cell>
        </row>
        <row r="7519">
          <cell r="B7519" t="str">
            <v>Gibson,Donald</v>
          </cell>
          <cell r="C7519">
            <v>36.06</v>
          </cell>
        </row>
        <row r="7520">
          <cell r="B7520" t="str">
            <v>Richmond,Glenda A</v>
          </cell>
          <cell r="C7520">
            <v>60.51</v>
          </cell>
        </row>
        <row r="7521">
          <cell r="B7521" t="str">
            <v>Marion,Taquita C</v>
          </cell>
          <cell r="C7521">
            <v>33.4</v>
          </cell>
        </row>
        <row r="7522">
          <cell r="B7522" t="str">
            <v>Chatman,Jeannette P</v>
          </cell>
          <cell r="C7522">
            <v>26.25</v>
          </cell>
        </row>
        <row r="7523">
          <cell r="B7523" t="str">
            <v>Casey,Samuel J</v>
          </cell>
          <cell r="C7523">
            <v>30</v>
          </cell>
        </row>
        <row r="7524">
          <cell r="B7524" t="str">
            <v>Carney,James E</v>
          </cell>
          <cell r="C7524">
            <v>15</v>
          </cell>
        </row>
        <row r="7525">
          <cell r="B7525" t="str">
            <v>Moore,Sonya J</v>
          </cell>
          <cell r="C7525">
            <v>19.239999999999998</v>
          </cell>
        </row>
        <row r="7526">
          <cell r="B7526" t="str">
            <v>Fidelia,Dominique</v>
          </cell>
          <cell r="C7526">
            <v>20.34</v>
          </cell>
        </row>
        <row r="7527">
          <cell r="B7527" t="str">
            <v>Baker,Sean R</v>
          </cell>
          <cell r="C7527">
            <v>42.31</v>
          </cell>
        </row>
        <row r="7528">
          <cell r="B7528" t="str">
            <v>Yoo,KiYoon</v>
          </cell>
          <cell r="C7528">
            <v>36.909999999999997</v>
          </cell>
        </row>
        <row r="7529">
          <cell r="B7529" t="str">
            <v>O'Dell,Quintin L</v>
          </cell>
          <cell r="C7529">
            <v>17.25</v>
          </cell>
        </row>
        <row r="7530">
          <cell r="B7530" t="str">
            <v>Harrington,Lester M</v>
          </cell>
          <cell r="C7530">
            <v>50</v>
          </cell>
        </row>
        <row r="7531">
          <cell r="B7531" t="str">
            <v>Gayle,Jayson</v>
          </cell>
          <cell r="C7531">
            <v>21.64</v>
          </cell>
        </row>
        <row r="7532">
          <cell r="B7532" t="str">
            <v>O'Brien,Walter J</v>
          </cell>
          <cell r="C7532">
            <v>75.396634000000006</v>
          </cell>
        </row>
        <row r="7533">
          <cell r="B7533" t="str">
            <v>Reppard,David B</v>
          </cell>
          <cell r="C7533">
            <v>70.386538000000002</v>
          </cell>
        </row>
        <row r="7534">
          <cell r="B7534" t="str">
            <v>Hawkins,Raymond L</v>
          </cell>
          <cell r="C7534">
            <v>36.06</v>
          </cell>
        </row>
        <row r="7535">
          <cell r="B7535" t="str">
            <v>Graupner,Allison L</v>
          </cell>
          <cell r="C7535">
            <v>19</v>
          </cell>
        </row>
        <row r="7536">
          <cell r="B7536" t="str">
            <v>Rosas-Hernandez,Wilmer</v>
          </cell>
          <cell r="C7536">
            <v>19</v>
          </cell>
        </row>
        <row r="7537">
          <cell r="B7537" t="str">
            <v>Norris,Luther L</v>
          </cell>
          <cell r="C7537">
            <v>17.75</v>
          </cell>
        </row>
        <row r="7538">
          <cell r="B7538" t="str">
            <v>Spates,Cherie A</v>
          </cell>
          <cell r="C7538">
            <v>27.54</v>
          </cell>
        </row>
        <row r="7539">
          <cell r="B7539" t="str">
            <v>Dominguez,Mark A</v>
          </cell>
          <cell r="C7539">
            <v>57.26</v>
          </cell>
        </row>
        <row r="7540">
          <cell r="B7540" t="str">
            <v>McGann,Michael J</v>
          </cell>
          <cell r="C7540">
            <v>21</v>
          </cell>
        </row>
        <row r="7541">
          <cell r="B7541" t="str">
            <v>Ellerson,Michael J</v>
          </cell>
          <cell r="C7541">
            <v>19.64</v>
          </cell>
        </row>
        <row r="7542">
          <cell r="B7542" t="str">
            <v>Bellis,Brenna L</v>
          </cell>
          <cell r="C7542">
            <v>15.68</v>
          </cell>
        </row>
        <row r="7543">
          <cell r="B7543" t="str">
            <v>Kalita,Magdalena</v>
          </cell>
          <cell r="C7543">
            <v>27.17</v>
          </cell>
        </row>
        <row r="7544">
          <cell r="B7544" t="str">
            <v>Bell,Michael B</v>
          </cell>
          <cell r="C7544">
            <v>21</v>
          </cell>
        </row>
        <row r="7545">
          <cell r="B7545" t="str">
            <v>Cameau,Ronald</v>
          </cell>
          <cell r="C7545">
            <v>42.307692000000003</v>
          </cell>
        </row>
        <row r="7546">
          <cell r="B7546" t="str">
            <v>Souter,Marcus T</v>
          </cell>
          <cell r="C7546">
            <v>43.75</v>
          </cell>
        </row>
        <row r="7547">
          <cell r="B7547" t="str">
            <v>Church,Allan L</v>
          </cell>
          <cell r="C7547">
            <v>31</v>
          </cell>
        </row>
        <row r="7548">
          <cell r="B7548" t="str">
            <v>Davis,Thomas N</v>
          </cell>
          <cell r="C7548">
            <v>20</v>
          </cell>
        </row>
        <row r="7549">
          <cell r="B7549" t="str">
            <v>Reynolds,John H</v>
          </cell>
          <cell r="C7549">
            <v>21.11</v>
          </cell>
        </row>
        <row r="7550">
          <cell r="B7550" t="str">
            <v>Koerner,Wesley S</v>
          </cell>
          <cell r="C7550">
            <v>49.72</v>
          </cell>
        </row>
        <row r="7551">
          <cell r="B7551" t="str">
            <v>Jones,James</v>
          </cell>
          <cell r="C7551">
            <v>18.68</v>
          </cell>
        </row>
        <row r="7552">
          <cell r="B7552" t="str">
            <v>Janczewski,Ashley B</v>
          </cell>
          <cell r="C7552">
            <v>12.75</v>
          </cell>
        </row>
        <row r="7553">
          <cell r="B7553" t="str">
            <v>Desormeaux,Helense M</v>
          </cell>
          <cell r="C7553">
            <v>17.8</v>
          </cell>
        </row>
        <row r="7554">
          <cell r="B7554" t="str">
            <v>Rodriguez,Jason C</v>
          </cell>
          <cell r="C7554">
            <v>44.72</v>
          </cell>
        </row>
        <row r="7555">
          <cell r="B7555" t="str">
            <v>Cowan,Shahid E</v>
          </cell>
          <cell r="C7555">
            <v>20</v>
          </cell>
        </row>
        <row r="7556">
          <cell r="B7556" t="str">
            <v>Caro,Jamie L</v>
          </cell>
          <cell r="C7556">
            <v>21</v>
          </cell>
        </row>
        <row r="7557">
          <cell r="B7557" t="str">
            <v>Rockey,Michael T</v>
          </cell>
          <cell r="C7557">
            <v>34.130000000000003</v>
          </cell>
        </row>
        <row r="7558">
          <cell r="B7558" t="str">
            <v>Hance-gonzalez,Carlos D</v>
          </cell>
          <cell r="C7558">
            <v>21</v>
          </cell>
        </row>
        <row r="7559">
          <cell r="B7559" t="str">
            <v>Mcfall,Thomas C</v>
          </cell>
          <cell r="C7559">
            <v>16.760000000000002</v>
          </cell>
        </row>
        <row r="7560">
          <cell r="B7560" t="str">
            <v>Dawson,Glen C</v>
          </cell>
          <cell r="C7560">
            <v>20.5</v>
          </cell>
        </row>
        <row r="7561">
          <cell r="B7561" t="str">
            <v>Peardon,Thomas E</v>
          </cell>
          <cell r="C7561">
            <v>30.48</v>
          </cell>
        </row>
        <row r="7562">
          <cell r="B7562" t="str">
            <v>Jamili,Nematullah</v>
          </cell>
          <cell r="C7562">
            <v>75</v>
          </cell>
        </row>
        <row r="7563">
          <cell r="B7563" t="str">
            <v>Allen,Keri H</v>
          </cell>
          <cell r="C7563">
            <v>29.64</v>
          </cell>
        </row>
        <row r="7564">
          <cell r="B7564" t="str">
            <v>Goldstein,Margaret M</v>
          </cell>
          <cell r="C7564">
            <v>36.69</v>
          </cell>
        </row>
        <row r="7565">
          <cell r="B7565" t="str">
            <v>Ebba,Leonides E</v>
          </cell>
          <cell r="C7565">
            <v>30.32</v>
          </cell>
        </row>
        <row r="7566">
          <cell r="B7566" t="str">
            <v>Swalve Jr.,Robert E</v>
          </cell>
          <cell r="C7566">
            <v>19.350000000000001</v>
          </cell>
        </row>
        <row r="7567">
          <cell r="B7567" t="str">
            <v>Scott,Alvin L</v>
          </cell>
          <cell r="C7567">
            <v>21.5</v>
          </cell>
        </row>
        <row r="7568">
          <cell r="B7568" t="str">
            <v>Neptune,Ankia C</v>
          </cell>
          <cell r="C7568">
            <v>16.5</v>
          </cell>
        </row>
        <row r="7569">
          <cell r="B7569" t="str">
            <v>Gaines,Jessica</v>
          </cell>
          <cell r="C7569">
            <v>34</v>
          </cell>
        </row>
        <row r="7570">
          <cell r="B7570" t="str">
            <v>Clark Jr.,Robert B</v>
          </cell>
          <cell r="C7570">
            <v>39.9</v>
          </cell>
        </row>
        <row r="7571">
          <cell r="B7571" t="str">
            <v>Francis,Ludlow E</v>
          </cell>
          <cell r="C7571">
            <v>21</v>
          </cell>
        </row>
        <row r="7572">
          <cell r="B7572" t="str">
            <v>Montanaro,James S</v>
          </cell>
          <cell r="C7572">
            <v>72.115300000000005</v>
          </cell>
        </row>
        <row r="7573">
          <cell r="B7573" t="str">
            <v>Vera Gonzalez,Luz S</v>
          </cell>
          <cell r="C7573">
            <v>4.4800000000000004</v>
          </cell>
        </row>
        <row r="7574">
          <cell r="B7574" t="str">
            <v>Lewis,Eric M</v>
          </cell>
          <cell r="C7574">
            <v>57.7</v>
          </cell>
        </row>
        <row r="7575">
          <cell r="B7575" t="str">
            <v>Kienle,Susan E</v>
          </cell>
          <cell r="C7575">
            <v>31.62</v>
          </cell>
        </row>
        <row r="7576">
          <cell r="B7576" t="str">
            <v>Tellez,Monica</v>
          </cell>
          <cell r="C7576">
            <v>19</v>
          </cell>
        </row>
        <row r="7577">
          <cell r="B7577" t="str">
            <v>Parnell,Thomas M</v>
          </cell>
          <cell r="C7577">
            <v>20.5</v>
          </cell>
        </row>
        <row r="7578">
          <cell r="B7578" t="str">
            <v>Davis,Heather M</v>
          </cell>
          <cell r="C7578">
            <v>24</v>
          </cell>
        </row>
        <row r="7579">
          <cell r="B7579" t="str">
            <v>Rivera,Frankie E</v>
          </cell>
          <cell r="C7579">
            <v>19.25</v>
          </cell>
        </row>
        <row r="7580">
          <cell r="B7580" t="str">
            <v>Hayes,Frank E</v>
          </cell>
          <cell r="C7580">
            <v>19.309999999999999</v>
          </cell>
        </row>
        <row r="7581">
          <cell r="B7581" t="str">
            <v>Morosko,Michael E</v>
          </cell>
          <cell r="C7581">
            <v>20.25</v>
          </cell>
        </row>
        <row r="7582">
          <cell r="B7582" t="str">
            <v>Kijak,Jennifer L</v>
          </cell>
          <cell r="C7582">
            <v>64.91</v>
          </cell>
        </row>
        <row r="7583">
          <cell r="B7583" t="str">
            <v>Lo,Collin H</v>
          </cell>
          <cell r="C7583">
            <v>55.96</v>
          </cell>
        </row>
        <row r="7584">
          <cell r="B7584" t="str">
            <v>Holt,August N</v>
          </cell>
          <cell r="C7584">
            <v>18</v>
          </cell>
        </row>
        <row r="7585">
          <cell r="B7585" t="str">
            <v>Eastman,Humberto A</v>
          </cell>
          <cell r="C7585">
            <v>20.61</v>
          </cell>
        </row>
        <row r="7586">
          <cell r="B7586" t="str">
            <v>Kilcullen Jr.,Daniel E</v>
          </cell>
          <cell r="C7586">
            <v>68.251499999999993</v>
          </cell>
        </row>
        <row r="7587">
          <cell r="B7587" t="str">
            <v>Rafaels,Raymond J</v>
          </cell>
          <cell r="C7587">
            <v>75.489999999999995</v>
          </cell>
        </row>
        <row r="7588">
          <cell r="B7588" t="str">
            <v>Le,Tony C</v>
          </cell>
          <cell r="C7588">
            <v>18.5</v>
          </cell>
        </row>
        <row r="7589">
          <cell r="B7589" t="str">
            <v>Twadell,Marlane J</v>
          </cell>
          <cell r="C7589">
            <v>22.126899999999999</v>
          </cell>
        </row>
        <row r="7590">
          <cell r="B7590" t="str">
            <v>Mize,JoAnna M</v>
          </cell>
          <cell r="C7590">
            <v>58.18</v>
          </cell>
        </row>
        <row r="7591">
          <cell r="B7591" t="str">
            <v>Bean,Joan E</v>
          </cell>
          <cell r="C7591">
            <v>29.19</v>
          </cell>
        </row>
        <row r="7592">
          <cell r="B7592" t="str">
            <v>Barbarigos,Michael F</v>
          </cell>
          <cell r="C7592">
            <v>20.85</v>
          </cell>
        </row>
        <row r="7593">
          <cell r="B7593" t="str">
            <v>Ramsey,Mark D</v>
          </cell>
          <cell r="C7593">
            <v>30</v>
          </cell>
        </row>
        <row r="7594">
          <cell r="B7594" t="str">
            <v>Christensen,Page B</v>
          </cell>
          <cell r="C7594">
            <v>21.63</v>
          </cell>
        </row>
        <row r="7595">
          <cell r="B7595" t="str">
            <v>Ford,Jason</v>
          </cell>
          <cell r="C7595">
            <v>22.68</v>
          </cell>
        </row>
        <row r="7596">
          <cell r="B7596" t="str">
            <v>Whatley,Salia</v>
          </cell>
          <cell r="C7596">
            <v>47.115400000000001</v>
          </cell>
        </row>
        <row r="7597">
          <cell r="B7597" t="str">
            <v>Golden,Courtney C</v>
          </cell>
          <cell r="C7597">
            <v>18</v>
          </cell>
        </row>
        <row r="7598">
          <cell r="B7598" t="str">
            <v>Massey,Kenneth M</v>
          </cell>
          <cell r="C7598">
            <v>28</v>
          </cell>
        </row>
        <row r="7599">
          <cell r="B7599" t="str">
            <v>Bourda,Michael S</v>
          </cell>
          <cell r="C7599">
            <v>31.25</v>
          </cell>
        </row>
        <row r="7600">
          <cell r="B7600" t="str">
            <v>Welsh,Robert T</v>
          </cell>
          <cell r="C7600">
            <v>33.659999999999997</v>
          </cell>
        </row>
        <row r="7601">
          <cell r="B7601" t="str">
            <v>Sheppard,Brendan L</v>
          </cell>
          <cell r="C7601">
            <v>18.53</v>
          </cell>
        </row>
        <row r="7602">
          <cell r="B7602" t="str">
            <v>French,Terrence E</v>
          </cell>
          <cell r="C7602">
            <v>27</v>
          </cell>
        </row>
        <row r="7603">
          <cell r="B7603" t="str">
            <v>Mattei-Marin,Jose G</v>
          </cell>
          <cell r="C7603">
            <v>21.63</v>
          </cell>
        </row>
        <row r="7604">
          <cell r="B7604" t="str">
            <v>Etheridge,Christopher A</v>
          </cell>
          <cell r="C7604">
            <v>28</v>
          </cell>
        </row>
        <row r="7605">
          <cell r="B7605" t="str">
            <v>Cole,Richard J</v>
          </cell>
          <cell r="C7605">
            <v>60.1</v>
          </cell>
        </row>
        <row r="7606">
          <cell r="B7606" t="str">
            <v>Reedy,William A</v>
          </cell>
          <cell r="C7606">
            <v>50.49</v>
          </cell>
        </row>
        <row r="7607">
          <cell r="B7607" t="str">
            <v>Vinayak,Lisa</v>
          </cell>
          <cell r="C7607">
            <v>31.25</v>
          </cell>
        </row>
        <row r="7608">
          <cell r="B7608" t="str">
            <v>Legarda,Roman F</v>
          </cell>
          <cell r="C7608">
            <v>20.23</v>
          </cell>
        </row>
        <row r="7609">
          <cell r="B7609" t="str">
            <v>Perry,Keith</v>
          </cell>
          <cell r="C7609">
            <v>25.99</v>
          </cell>
        </row>
        <row r="7610">
          <cell r="B7610" t="str">
            <v>Ruiz,Hugo</v>
          </cell>
          <cell r="C7610">
            <v>17.78</v>
          </cell>
        </row>
        <row r="7611">
          <cell r="B7611" t="str">
            <v>Kane,Hamed L</v>
          </cell>
          <cell r="C7611">
            <v>37.26</v>
          </cell>
        </row>
        <row r="7612">
          <cell r="B7612" t="str">
            <v>Spears,Robert M</v>
          </cell>
          <cell r="C7612">
            <v>25.5</v>
          </cell>
        </row>
        <row r="7613">
          <cell r="B7613" t="str">
            <v>Boudreaux,Sean E</v>
          </cell>
          <cell r="C7613">
            <v>24.04</v>
          </cell>
        </row>
        <row r="7614">
          <cell r="B7614" t="str">
            <v>Weissman,Mark J</v>
          </cell>
          <cell r="C7614">
            <v>43.27</v>
          </cell>
        </row>
        <row r="7615">
          <cell r="B7615" t="str">
            <v>Hamby,Christopher W</v>
          </cell>
          <cell r="C7615">
            <v>17</v>
          </cell>
        </row>
        <row r="7616">
          <cell r="B7616" t="str">
            <v>Lucas,John R</v>
          </cell>
          <cell r="C7616">
            <v>52.89</v>
          </cell>
        </row>
        <row r="7617">
          <cell r="B7617" t="str">
            <v>Estraca,Alfonso E</v>
          </cell>
          <cell r="C7617">
            <v>18.899999999999999</v>
          </cell>
        </row>
        <row r="7618">
          <cell r="B7618" t="str">
            <v>Simpson,Duane R</v>
          </cell>
          <cell r="C7618">
            <v>20.65</v>
          </cell>
        </row>
        <row r="7619">
          <cell r="B7619" t="str">
            <v>Gossard,Carina L</v>
          </cell>
          <cell r="C7619">
            <v>28.85</v>
          </cell>
        </row>
        <row r="7620">
          <cell r="B7620" t="str">
            <v>Hamilton,Ryan J</v>
          </cell>
          <cell r="C7620">
            <v>43.27</v>
          </cell>
        </row>
        <row r="7621">
          <cell r="B7621" t="str">
            <v>Allnutt,Terry J</v>
          </cell>
          <cell r="C7621">
            <v>20.59</v>
          </cell>
        </row>
        <row r="7622">
          <cell r="B7622" t="str">
            <v>Coker,David P</v>
          </cell>
          <cell r="C7622">
            <v>45.68</v>
          </cell>
        </row>
        <row r="7623">
          <cell r="B7623" t="str">
            <v>Reda,Helmut H</v>
          </cell>
          <cell r="C7623">
            <v>64.903800000000004</v>
          </cell>
        </row>
        <row r="7624">
          <cell r="B7624" t="str">
            <v>Williams,Michelle E</v>
          </cell>
          <cell r="C7624">
            <v>17</v>
          </cell>
        </row>
        <row r="7625">
          <cell r="B7625" t="str">
            <v>Lomas,Rory D</v>
          </cell>
          <cell r="C7625">
            <v>20</v>
          </cell>
        </row>
        <row r="7626">
          <cell r="B7626" t="str">
            <v>Alfaro,Liselle D</v>
          </cell>
          <cell r="C7626">
            <v>14</v>
          </cell>
        </row>
        <row r="7627">
          <cell r="B7627" t="str">
            <v>Pruitt,Nancy M</v>
          </cell>
          <cell r="C7627">
            <v>27.04</v>
          </cell>
        </row>
        <row r="7628">
          <cell r="B7628" t="str">
            <v>Murphy,Linda J</v>
          </cell>
          <cell r="C7628">
            <v>19.86</v>
          </cell>
        </row>
        <row r="7629">
          <cell r="B7629" t="str">
            <v>Barbe,Richard L</v>
          </cell>
          <cell r="C7629">
            <v>34.86</v>
          </cell>
        </row>
        <row r="7630">
          <cell r="B7630" t="str">
            <v>Rathbun,Scott L</v>
          </cell>
          <cell r="C7630">
            <v>20.5</v>
          </cell>
        </row>
        <row r="7631">
          <cell r="B7631" t="str">
            <v>Malaguti,Sherrie U</v>
          </cell>
          <cell r="C7631">
            <v>32.700000000000003</v>
          </cell>
        </row>
        <row r="7632">
          <cell r="B7632" t="str">
            <v>Kaleopa,Vanessa</v>
          </cell>
          <cell r="C7632">
            <v>24.07</v>
          </cell>
        </row>
        <row r="7633">
          <cell r="B7633" t="str">
            <v>Huffman,Thompson H</v>
          </cell>
          <cell r="C7633">
            <v>32.25</v>
          </cell>
        </row>
        <row r="7634">
          <cell r="B7634" t="str">
            <v>Hansraj,Ganesh</v>
          </cell>
          <cell r="C7634">
            <v>26</v>
          </cell>
        </row>
        <row r="7635">
          <cell r="B7635" t="str">
            <v>Campbell,Paul S</v>
          </cell>
          <cell r="C7635">
            <v>50</v>
          </cell>
        </row>
        <row r="7636">
          <cell r="B7636" t="str">
            <v>Haseltine,Samuel R</v>
          </cell>
          <cell r="C7636">
            <v>21</v>
          </cell>
        </row>
        <row r="7637">
          <cell r="B7637" t="str">
            <v>Quiroz,John P</v>
          </cell>
          <cell r="C7637">
            <v>26.45</v>
          </cell>
        </row>
        <row r="7638">
          <cell r="B7638" t="str">
            <v>Mendez,Jose R</v>
          </cell>
          <cell r="C7638">
            <v>45.192399999999999</v>
          </cell>
        </row>
        <row r="7639">
          <cell r="B7639" t="str">
            <v>McIntosh,James N</v>
          </cell>
          <cell r="C7639">
            <v>21</v>
          </cell>
        </row>
        <row r="7640">
          <cell r="B7640" t="str">
            <v>Flowers,Danny L</v>
          </cell>
          <cell r="C7640">
            <v>18.899999999999999</v>
          </cell>
        </row>
        <row r="7641">
          <cell r="B7641" t="str">
            <v>Postell,Christopher R</v>
          </cell>
          <cell r="C7641">
            <v>25.704999999999998</v>
          </cell>
        </row>
        <row r="7642">
          <cell r="B7642" t="str">
            <v>Ahmed,Maqbool</v>
          </cell>
          <cell r="C7642">
            <v>20.5</v>
          </cell>
        </row>
        <row r="7643">
          <cell r="B7643" t="str">
            <v>McNeal,Jim</v>
          </cell>
          <cell r="C7643">
            <v>19.850000000000001</v>
          </cell>
        </row>
        <row r="7644">
          <cell r="B7644" t="str">
            <v>Wakeley,Thomas R</v>
          </cell>
          <cell r="C7644">
            <v>21.5</v>
          </cell>
        </row>
        <row r="7645">
          <cell r="B7645" t="str">
            <v>Tompkins,Stephen L</v>
          </cell>
          <cell r="C7645">
            <v>13.5</v>
          </cell>
        </row>
        <row r="7646">
          <cell r="B7646" t="str">
            <v>Jones,Gerald L</v>
          </cell>
          <cell r="C7646">
            <v>20.82</v>
          </cell>
        </row>
        <row r="7647">
          <cell r="B7647" t="str">
            <v>Hall,Phillip</v>
          </cell>
          <cell r="C7647">
            <v>91.35</v>
          </cell>
        </row>
        <row r="7648">
          <cell r="B7648" t="str">
            <v>Pena,Mario</v>
          </cell>
          <cell r="C7648">
            <v>18.5</v>
          </cell>
        </row>
        <row r="7649">
          <cell r="B7649" t="str">
            <v>Duncan,Sumiko M</v>
          </cell>
          <cell r="C7649">
            <v>45.67</v>
          </cell>
        </row>
        <row r="7650">
          <cell r="B7650" t="str">
            <v>Gibb,Robert A</v>
          </cell>
          <cell r="C7650">
            <v>17</v>
          </cell>
        </row>
        <row r="7651">
          <cell r="B7651" t="str">
            <v>Noble,Joanne</v>
          </cell>
          <cell r="C7651">
            <v>25.95</v>
          </cell>
        </row>
        <row r="7652">
          <cell r="B7652" t="str">
            <v>Jones,Steven P</v>
          </cell>
          <cell r="C7652">
            <v>50.49</v>
          </cell>
        </row>
        <row r="7653">
          <cell r="B7653" t="str">
            <v>Concepcion,Felipe</v>
          </cell>
          <cell r="C7653">
            <v>32.25</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CIS Equipment"/>
      <sheetName val="Travel - CIS"/>
      <sheetName val="Travel - Radar Maint. Senior 1"/>
      <sheetName val="Travel - Radar Maint. Senior 2"/>
      <sheetName val="Travel - Radio Maint. Senior 1"/>
      <sheetName val="Travel - Radio Maint. Senior 2"/>
      <sheetName val="ES-KO Materials"/>
      <sheetName val="MT Equipment List"/>
      <sheetName val="InputSheet"/>
      <sheetName val="Esc Code"/>
      <sheetName val="Indirect Lookup"/>
      <sheetName val="Payment Schedule Euros-OLD"/>
      <sheetName val="Summary Total Euros for OLD"/>
      <sheetName val="Cash Flow-OLD"/>
      <sheetName val="Summary Payments_Old"/>
      <sheetName val="Summary Payments_90.10_wrong1"/>
      <sheetName val="Summary Payments_90.10_wrong2"/>
      <sheetName val="Payment Schedule"/>
      <sheetName val="Cash Flow Analysis_WC"/>
      <sheetName val="Cost vs Revenue_WC"/>
      <sheetName val="Cash Flow Analysis_BC"/>
      <sheetName val="Cash Flow Analysis Chart_BC"/>
      <sheetName val="Cost vs Revenue_BC"/>
      <sheetName val="Price To Win"/>
      <sheetName val="Price To Win_Updated"/>
      <sheetName val="DSI Rate Analysis"/>
      <sheetName val="Top Level Summary"/>
      <sheetName val="Top Level Summary_wFTE"/>
      <sheetName val="Team %s"/>
      <sheetName val="Top Level Summary_wLaborBreak"/>
      <sheetName val="Pricing Summary_ExI Breakout"/>
      <sheetName val="WBS Summary"/>
      <sheetName val="DFS Pricing"/>
      <sheetName val="Exhibit I Feeder"/>
      <sheetName val="Mobil"/>
      <sheetName val="CY1"/>
      <sheetName val="CY2"/>
      <sheetName val="CY3"/>
      <sheetName val="OY1"/>
      <sheetName val="OY2"/>
      <sheetName val="CPFF"/>
      <sheetName val="WBS1"/>
      <sheetName val="Sub Status"/>
      <sheetName val="WBS Staffing1"/>
      <sheetName val="WBS Task Descriptions"/>
      <sheetName val="GSA - Price Analysis"/>
      <sheetName val="GSA - Submittal"/>
      <sheetName val="Mobilization Training Breakout"/>
      <sheetName val="CY1_Equip"/>
      <sheetName val="CY2_Equip"/>
      <sheetName val="CY3_Equip"/>
      <sheetName val="OY1_Equip"/>
      <sheetName val="OY2_Equip"/>
      <sheetName val="DSI Monthly Labor"/>
      <sheetName val="Thales Total Contract_Opt"/>
      <sheetName val="Sub Rates"/>
      <sheetName val="Price Analysis &quot;Sub-1&quot;"/>
      <sheetName val="Indire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73">
          <cell r="B173">
            <v>1</v>
          </cell>
          <cell r="C173" t="str">
            <v>On-Site Project Manager</v>
          </cell>
          <cell r="D173" t="str">
            <v>Govt</v>
          </cell>
          <cell r="E173" t="str">
            <v>Contr</v>
          </cell>
          <cell r="F173" t="str">
            <v>Estimate</v>
          </cell>
          <cell r="G173">
            <v>35</v>
          </cell>
        </row>
        <row r="174">
          <cell r="B174">
            <v>2</v>
          </cell>
          <cell r="C174" t="str">
            <v>Deputy On-Site Project Manager</v>
          </cell>
          <cell r="D174" t="str">
            <v>Govt</v>
          </cell>
          <cell r="E174" t="str">
            <v>Contr</v>
          </cell>
          <cell r="F174" t="str">
            <v>Estimate</v>
          </cell>
          <cell r="G174">
            <v>33.700000000000003</v>
          </cell>
        </row>
        <row r="175">
          <cell r="B175">
            <v>3</v>
          </cell>
          <cell r="C175" t="str">
            <v>SATCOM CIS EUROCAT C Hardware Technician</v>
          </cell>
          <cell r="D175" t="str">
            <v>Govt</v>
          </cell>
          <cell r="E175" t="str">
            <v>Contr</v>
          </cell>
          <cell r="F175" t="str">
            <v>Estimate</v>
          </cell>
          <cell r="G175">
            <v>25.9</v>
          </cell>
        </row>
        <row r="176">
          <cell r="B176">
            <v>4</v>
          </cell>
          <cell r="C176" t="str">
            <v>Radar Maintenance Technician Senior</v>
          </cell>
          <cell r="D176" t="str">
            <v>Govt</v>
          </cell>
          <cell r="E176" t="str">
            <v>Contr</v>
          </cell>
          <cell r="F176" t="str">
            <v>Estimate</v>
          </cell>
          <cell r="G176">
            <v>29</v>
          </cell>
        </row>
        <row r="177">
          <cell r="B177">
            <v>5</v>
          </cell>
          <cell r="C177" t="str">
            <v>Radar Maintenance Technician Senior</v>
          </cell>
          <cell r="D177" t="str">
            <v>Govt</v>
          </cell>
          <cell r="E177" t="str">
            <v>Contr</v>
          </cell>
          <cell r="F177" t="str">
            <v>Estimate</v>
          </cell>
          <cell r="G177">
            <v>29</v>
          </cell>
        </row>
        <row r="178">
          <cell r="B178">
            <v>6</v>
          </cell>
          <cell r="C178" t="str">
            <v>Radar Maintenance Technician Senior</v>
          </cell>
          <cell r="D178" t="str">
            <v>Govt</v>
          </cell>
          <cell r="E178" t="str">
            <v>Contr</v>
          </cell>
          <cell r="F178" t="str">
            <v>Estimate</v>
          </cell>
          <cell r="G178">
            <v>29</v>
          </cell>
        </row>
        <row r="179">
          <cell r="B179">
            <v>7</v>
          </cell>
          <cell r="C179" t="str">
            <v>Radar Maintenance Technician Journeyman</v>
          </cell>
          <cell r="D179" t="str">
            <v>Govt</v>
          </cell>
          <cell r="E179" t="str">
            <v>Contr</v>
          </cell>
          <cell r="F179" t="str">
            <v>Estimate</v>
          </cell>
          <cell r="G179">
            <v>23</v>
          </cell>
        </row>
        <row r="180">
          <cell r="B180">
            <v>8</v>
          </cell>
          <cell r="C180" t="str">
            <v>NAVAIDS/MET/Radio Maintenance Technician Journeyman</v>
          </cell>
          <cell r="D180" t="str">
            <v>Govt</v>
          </cell>
          <cell r="E180" t="str">
            <v>Contr</v>
          </cell>
          <cell r="F180" t="str">
            <v>Estimate</v>
          </cell>
          <cell r="G180">
            <v>23</v>
          </cell>
        </row>
        <row r="181">
          <cell r="B181">
            <v>9</v>
          </cell>
          <cell r="C181" t="str">
            <v>NAVAIDS/MET/Radio Maintenance Technician Senior</v>
          </cell>
          <cell r="D181" t="str">
            <v>Govt</v>
          </cell>
          <cell r="E181" t="str">
            <v>Contr</v>
          </cell>
          <cell r="F181" t="str">
            <v>Estimate</v>
          </cell>
          <cell r="G181">
            <v>29</v>
          </cell>
        </row>
        <row r="182">
          <cell r="B182">
            <v>10</v>
          </cell>
          <cell r="C182" t="str">
            <v>NAVAIDS/MET/Radio Maintenance Technician Senior</v>
          </cell>
          <cell r="D182" t="str">
            <v>Govt</v>
          </cell>
          <cell r="E182" t="str">
            <v>Contr</v>
          </cell>
          <cell r="F182" t="str">
            <v>Estimate</v>
          </cell>
          <cell r="G182">
            <v>29</v>
          </cell>
        </row>
        <row r="183">
          <cell r="B183">
            <v>11</v>
          </cell>
          <cell r="C183" t="str">
            <v>Generator UPS Operator Journeyman</v>
          </cell>
          <cell r="D183" t="str">
            <v>Govt</v>
          </cell>
          <cell r="E183" t="str">
            <v>Contr</v>
          </cell>
          <cell r="F183" t="str">
            <v>Estimate</v>
          </cell>
          <cell r="G183">
            <v>23</v>
          </cell>
        </row>
        <row r="184">
          <cell r="B184">
            <v>12</v>
          </cell>
          <cell r="C184" t="str">
            <v>Generator UPS Operator Senior</v>
          </cell>
          <cell r="D184" t="str">
            <v>Govt</v>
          </cell>
          <cell r="E184" t="str">
            <v>Contr</v>
          </cell>
          <cell r="F184" t="str">
            <v>Estimate</v>
          </cell>
          <cell r="G184">
            <v>29</v>
          </cell>
        </row>
        <row r="185">
          <cell r="B185">
            <v>13</v>
          </cell>
          <cell r="C185" t="str">
            <v>Logistics Technician</v>
          </cell>
          <cell r="D185" t="str">
            <v>Govt</v>
          </cell>
          <cell r="E185" t="str">
            <v>Contr</v>
          </cell>
          <cell r="F185" t="str">
            <v>Estimate</v>
          </cell>
          <cell r="G185">
            <v>18.5</v>
          </cell>
        </row>
        <row r="186">
          <cell r="B186">
            <v>14</v>
          </cell>
          <cell r="C186" t="str">
            <v>Administrative Assistant</v>
          </cell>
          <cell r="D186" t="str">
            <v>Govt</v>
          </cell>
          <cell r="E186" t="str">
            <v>Contr</v>
          </cell>
          <cell r="F186" t="str">
            <v>Estimate</v>
          </cell>
          <cell r="G186">
            <v>18</v>
          </cell>
        </row>
        <row r="187">
          <cell r="B187">
            <v>15</v>
          </cell>
          <cell r="C187" t="str">
            <v>Compliance Specialist</v>
          </cell>
          <cell r="D187" t="str">
            <v>Govt</v>
          </cell>
          <cell r="E187" t="str">
            <v>Contr</v>
          </cell>
          <cell r="F187" t="str">
            <v>Estimate</v>
          </cell>
          <cell r="G187">
            <v>25.5</v>
          </cell>
        </row>
        <row r="188">
          <cell r="B188">
            <v>16</v>
          </cell>
          <cell r="C188" t="str">
            <v>Project Controller</v>
          </cell>
          <cell r="D188" t="str">
            <v>Govt</v>
          </cell>
          <cell r="E188" t="str">
            <v>Contr</v>
          </cell>
          <cell r="F188" t="str">
            <v>Estimate</v>
          </cell>
          <cell r="G188">
            <v>57.692307692307693</v>
          </cell>
        </row>
        <row r="189">
          <cell r="B189">
            <v>17</v>
          </cell>
          <cell r="C189" t="str">
            <v>Air Traffic Management - Liaison</v>
          </cell>
          <cell r="D189" t="str">
            <v>DSI</v>
          </cell>
          <cell r="E189" t="str">
            <v>Contr</v>
          </cell>
          <cell r="F189">
            <v>0</v>
          </cell>
          <cell r="G189">
            <v>0</v>
          </cell>
        </row>
        <row r="190">
          <cell r="B190">
            <v>18</v>
          </cell>
          <cell r="C190" t="str">
            <v>Radar Air Traffic Manager</v>
          </cell>
          <cell r="D190" t="str">
            <v>DSI</v>
          </cell>
          <cell r="E190" t="str">
            <v>Contr</v>
          </cell>
          <cell r="F190">
            <v>0</v>
          </cell>
          <cell r="G190">
            <v>0</v>
          </cell>
        </row>
        <row r="191">
          <cell r="B191">
            <v>19</v>
          </cell>
          <cell r="C191" t="str">
            <v>Radar Controllers</v>
          </cell>
          <cell r="D191" t="str">
            <v>DSI</v>
          </cell>
          <cell r="E191" t="str">
            <v>Contr</v>
          </cell>
          <cell r="F191">
            <v>0</v>
          </cell>
          <cell r="G191">
            <v>0</v>
          </cell>
        </row>
        <row r="192">
          <cell r="B192">
            <v>20</v>
          </cell>
          <cell r="C192" t="str">
            <v>Tower Air Traffic Manager</v>
          </cell>
          <cell r="D192" t="str">
            <v>DSI</v>
          </cell>
          <cell r="E192" t="str">
            <v>Contr</v>
          </cell>
          <cell r="F192">
            <v>0</v>
          </cell>
          <cell r="G192">
            <v>0</v>
          </cell>
        </row>
        <row r="193">
          <cell r="B193">
            <v>21</v>
          </cell>
          <cell r="C193" t="str">
            <v>Tower Controllers</v>
          </cell>
          <cell r="D193" t="str">
            <v>DSI</v>
          </cell>
          <cell r="E193" t="str">
            <v>Contr</v>
          </cell>
          <cell r="F193">
            <v>0</v>
          </cell>
          <cell r="G193">
            <v>0</v>
          </cell>
        </row>
        <row r="194">
          <cell r="B194">
            <v>22</v>
          </cell>
          <cell r="C194" t="str">
            <v>Airfield Management Specialist</v>
          </cell>
          <cell r="D194" t="str">
            <v>DSI</v>
          </cell>
          <cell r="E194" t="str">
            <v>Contr</v>
          </cell>
          <cell r="F194">
            <v>0</v>
          </cell>
          <cell r="G194">
            <v>0</v>
          </cell>
        </row>
        <row r="195">
          <cell r="B195">
            <v>23</v>
          </cell>
          <cell r="C195" t="str">
            <v>Air Traffic Training and Quality Assur.</v>
          </cell>
          <cell r="D195" t="str">
            <v>DSI</v>
          </cell>
          <cell r="E195" t="str">
            <v>Contr</v>
          </cell>
          <cell r="F195">
            <v>0</v>
          </cell>
          <cell r="G195">
            <v>0</v>
          </cell>
        </row>
        <row r="196">
          <cell r="B196">
            <v>24</v>
          </cell>
          <cell r="C196" t="str">
            <v>Category 24</v>
          </cell>
          <cell r="F196">
            <v>0</v>
          </cell>
          <cell r="G196">
            <v>0</v>
          </cell>
        </row>
        <row r="197">
          <cell r="B197">
            <v>25</v>
          </cell>
          <cell r="C197" t="str">
            <v>Category 25</v>
          </cell>
          <cell r="F197">
            <v>0</v>
          </cell>
          <cell r="G197">
            <v>0</v>
          </cell>
        </row>
        <row r="198">
          <cell r="B198">
            <v>26</v>
          </cell>
          <cell r="C198" t="str">
            <v>Category 26</v>
          </cell>
          <cell r="F198">
            <v>0</v>
          </cell>
          <cell r="G198">
            <v>0</v>
          </cell>
        </row>
        <row r="199">
          <cell r="B199">
            <v>27</v>
          </cell>
          <cell r="C199" t="str">
            <v>Category 27</v>
          </cell>
          <cell r="F199">
            <v>0</v>
          </cell>
          <cell r="G199">
            <v>0</v>
          </cell>
        </row>
        <row r="200">
          <cell r="B200">
            <v>28</v>
          </cell>
          <cell r="C200" t="str">
            <v>Category 28</v>
          </cell>
          <cell r="F200">
            <v>0</v>
          </cell>
          <cell r="G200">
            <v>0</v>
          </cell>
        </row>
        <row r="201">
          <cell r="B201">
            <v>29</v>
          </cell>
          <cell r="C201" t="str">
            <v>Category 29</v>
          </cell>
          <cell r="F201">
            <v>0</v>
          </cell>
          <cell r="G201">
            <v>0</v>
          </cell>
        </row>
        <row r="202">
          <cell r="B202">
            <v>30</v>
          </cell>
          <cell r="C202" t="str">
            <v>Category 30</v>
          </cell>
          <cell r="F202">
            <v>0</v>
          </cell>
          <cell r="G202">
            <v>0</v>
          </cell>
        </row>
        <row r="203">
          <cell r="B203">
            <v>31</v>
          </cell>
          <cell r="C203" t="str">
            <v>Category 31</v>
          </cell>
          <cell r="F203">
            <v>0</v>
          </cell>
          <cell r="G203">
            <v>0</v>
          </cell>
        </row>
        <row r="204">
          <cell r="B204">
            <v>32</v>
          </cell>
          <cell r="C204" t="str">
            <v>Category 32</v>
          </cell>
          <cell r="F204">
            <v>0</v>
          </cell>
          <cell r="G204">
            <v>0</v>
          </cell>
        </row>
        <row r="205">
          <cell r="B205">
            <v>33</v>
          </cell>
          <cell r="C205" t="str">
            <v>Category 33</v>
          </cell>
          <cell r="F205">
            <v>0</v>
          </cell>
          <cell r="G205">
            <v>0</v>
          </cell>
        </row>
        <row r="206">
          <cell r="B206">
            <v>34</v>
          </cell>
          <cell r="C206" t="str">
            <v>Category 34</v>
          </cell>
          <cell r="F206">
            <v>0</v>
          </cell>
          <cell r="G206">
            <v>0</v>
          </cell>
        </row>
        <row r="207">
          <cell r="B207">
            <v>35</v>
          </cell>
          <cell r="C207" t="str">
            <v>Category 35</v>
          </cell>
          <cell r="F207">
            <v>0</v>
          </cell>
          <cell r="G207">
            <v>0</v>
          </cell>
        </row>
        <row r="208">
          <cell r="B208">
            <v>36</v>
          </cell>
          <cell r="C208" t="str">
            <v>Category 36</v>
          </cell>
          <cell r="F208">
            <v>0</v>
          </cell>
          <cell r="G208">
            <v>0</v>
          </cell>
        </row>
        <row r="209">
          <cell r="B209">
            <v>37</v>
          </cell>
          <cell r="C209" t="str">
            <v>Category 37</v>
          </cell>
          <cell r="F209">
            <v>0</v>
          </cell>
          <cell r="G209">
            <v>0</v>
          </cell>
        </row>
        <row r="210">
          <cell r="B210">
            <v>38</v>
          </cell>
          <cell r="C210" t="str">
            <v>Category 38</v>
          </cell>
          <cell r="F210">
            <v>0</v>
          </cell>
          <cell r="G210">
            <v>0</v>
          </cell>
        </row>
        <row r="211">
          <cell r="B211">
            <v>39</v>
          </cell>
          <cell r="C211" t="str">
            <v>Category 39</v>
          </cell>
          <cell r="F211">
            <v>0</v>
          </cell>
          <cell r="G211">
            <v>0</v>
          </cell>
        </row>
        <row r="212">
          <cell r="B212">
            <v>40</v>
          </cell>
          <cell r="C212" t="str">
            <v>Category 40</v>
          </cell>
          <cell r="F212">
            <v>0</v>
          </cell>
          <cell r="G212">
            <v>0</v>
          </cell>
        </row>
        <row r="213">
          <cell r="B213">
            <v>41</v>
          </cell>
          <cell r="C213" t="str">
            <v>Category 41</v>
          </cell>
          <cell r="F213">
            <v>0</v>
          </cell>
          <cell r="G213">
            <v>0</v>
          </cell>
        </row>
        <row r="214">
          <cell r="B214">
            <v>42</v>
          </cell>
          <cell r="C214" t="str">
            <v>Category 42</v>
          </cell>
          <cell r="F214">
            <v>0</v>
          </cell>
          <cell r="G214">
            <v>0</v>
          </cell>
        </row>
        <row r="215">
          <cell r="B215">
            <v>43</v>
          </cell>
          <cell r="C215" t="str">
            <v>Category 43</v>
          </cell>
          <cell r="F215">
            <v>0</v>
          </cell>
          <cell r="G215">
            <v>0</v>
          </cell>
        </row>
        <row r="216">
          <cell r="B216">
            <v>44</v>
          </cell>
          <cell r="C216" t="str">
            <v>Category 44</v>
          </cell>
          <cell r="F216">
            <v>0</v>
          </cell>
          <cell r="G216">
            <v>0</v>
          </cell>
        </row>
        <row r="217">
          <cell r="B217">
            <v>45</v>
          </cell>
          <cell r="C217" t="str">
            <v>Category 45</v>
          </cell>
          <cell r="F217">
            <v>0</v>
          </cell>
          <cell r="G217">
            <v>0</v>
          </cell>
        </row>
        <row r="218">
          <cell r="B218">
            <v>46</v>
          </cell>
          <cell r="C218" t="str">
            <v>Category 46</v>
          </cell>
          <cell r="F218">
            <v>0</v>
          </cell>
          <cell r="G218">
            <v>0</v>
          </cell>
        </row>
        <row r="219">
          <cell r="B219">
            <v>47</v>
          </cell>
          <cell r="C219" t="str">
            <v>Category 47</v>
          </cell>
          <cell r="F219">
            <v>0</v>
          </cell>
          <cell r="G219">
            <v>0</v>
          </cell>
        </row>
        <row r="220">
          <cell r="B220">
            <v>48</v>
          </cell>
          <cell r="C220" t="str">
            <v>Category 48</v>
          </cell>
          <cell r="F220">
            <v>0</v>
          </cell>
          <cell r="G220">
            <v>0</v>
          </cell>
        </row>
        <row r="221">
          <cell r="B221">
            <v>49</v>
          </cell>
          <cell r="C221" t="str">
            <v>Category 49</v>
          </cell>
          <cell r="F221">
            <v>0</v>
          </cell>
          <cell r="G221">
            <v>0</v>
          </cell>
        </row>
        <row r="222">
          <cell r="B222">
            <v>50</v>
          </cell>
          <cell r="C222" t="str">
            <v>Category 50</v>
          </cell>
          <cell r="F222">
            <v>0</v>
          </cell>
          <cell r="G222">
            <v>0</v>
          </cell>
        </row>
        <row r="223">
          <cell r="B223">
            <v>51</v>
          </cell>
          <cell r="C223" t="str">
            <v>Category 51</v>
          </cell>
          <cell r="F223">
            <v>0</v>
          </cell>
          <cell r="G223">
            <v>0</v>
          </cell>
        </row>
        <row r="224">
          <cell r="B224">
            <v>52</v>
          </cell>
          <cell r="C224" t="str">
            <v>Category 52</v>
          </cell>
          <cell r="F224">
            <v>0</v>
          </cell>
          <cell r="G224">
            <v>0</v>
          </cell>
        </row>
        <row r="225">
          <cell r="B225">
            <v>53</v>
          </cell>
          <cell r="C225" t="str">
            <v>Category 53</v>
          </cell>
          <cell r="F225">
            <v>0</v>
          </cell>
          <cell r="G225">
            <v>0</v>
          </cell>
        </row>
        <row r="226">
          <cell r="B226">
            <v>54</v>
          </cell>
          <cell r="C226" t="str">
            <v>Category 54</v>
          </cell>
          <cell r="F226">
            <v>0</v>
          </cell>
          <cell r="G226">
            <v>0</v>
          </cell>
        </row>
        <row r="227">
          <cell r="B227">
            <v>55</v>
          </cell>
          <cell r="C227" t="str">
            <v>Category 55</v>
          </cell>
          <cell r="F227">
            <v>0</v>
          </cell>
          <cell r="G227">
            <v>0</v>
          </cell>
        </row>
        <row r="228">
          <cell r="B228">
            <v>56</v>
          </cell>
          <cell r="C228" t="str">
            <v>Category 56</v>
          </cell>
          <cell r="F228">
            <v>0</v>
          </cell>
          <cell r="G228">
            <v>0</v>
          </cell>
        </row>
        <row r="229">
          <cell r="B229">
            <v>57</v>
          </cell>
          <cell r="C229" t="str">
            <v>Category 57</v>
          </cell>
          <cell r="F229">
            <v>0</v>
          </cell>
          <cell r="G229">
            <v>0</v>
          </cell>
        </row>
        <row r="230">
          <cell r="B230">
            <v>58</v>
          </cell>
          <cell r="C230" t="str">
            <v>Category 58</v>
          </cell>
          <cell r="F230">
            <v>0</v>
          </cell>
          <cell r="G230">
            <v>0</v>
          </cell>
        </row>
        <row r="231">
          <cell r="B231">
            <v>59</v>
          </cell>
          <cell r="C231" t="str">
            <v>Category 59</v>
          </cell>
          <cell r="F231">
            <v>0</v>
          </cell>
          <cell r="G231">
            <v>0</v>
          </cell>
        </row>
        <row r="232">
          <cell r="B232">
            <v>60</v>
          </cell>
          <cell r="C232" t="str">
            <v>Category 60</v>
          </cell>
          <cell r="F232">
            <v>0</v>
          </cell>
          <cell r="G232">
            <v>0</v>
          </cell>
        </row>
        <row r="233">
          <cell r="B233">
            <v>61</v>
          </cell>
          <cell r="C233" t="str">
            <v>Category 61</v>
          </cell>
          <cell r="F233">
            <v>0</v>
          </cell>
          <cell r="G233">
            <v>0</v>
          </cell>
        </row>
        <row r="234">
          <cell r="B234">
            <v>62</v>
          </cell>
          <cell r="C234" t="str">
            <v>Category 62</v>
          </cell>
          <cell r="F234">
            <v>0</v>
          </cell>
          <cell r="G234">
            <v>0</v>
          </cell>
        </row>
        <row r="235">
          <cell r="B235">
            <v>63</v>
          </cell>
          <cell r="C235" t="str">
            <v>Category 63</v>
          </cell>
          <cell r="F235">
            <v>0</v>
          </cell>
          <cell r="G235">
            <v>0</v>
          </cell>
        </row>
        <row r="236">
          <cell r="B236">
            <v>64</v>
          </cell>
          <cell r="C236" t="str">
            <v>Category 64</v>
          </cell>
          <cell r="F236">
            <v>0</v>
          </cell>
          <cell r="G236">
            <v>0</v>
          </cell>
        </row>
        <row r="237">
          <cell r="B237">
            <v>65</v>
          </cell>
          <cell r="C237" t="str">
            <v>Category 65</v>
          </cell>
          <cell r="F237">
            <v>0</v>
          </cell>
          <cell r="G237">
            <v>0</v>
          </cell>
        </row>
        <row r="238">
          <cell r="B238">
            <v>66</v>
          </cell>
          <cell r="C238" t="str">
            <v>Category 66</v>
          </cell>
          <cell r="F238">
            <v>0</v>
          </cell>
          <cell r="G238">
            <v>0</v>
          </cell>
        </row>
        <row r="239">
          <cell r="B239">
            <v>67</v>
          </cell>
          <cell r="C239" t="str">
            <v>Category 67</v>
          </cell>
          <cell r="F239">
            <v>0</v>
          </cell>
          <cell r="G239">
            <v>0</v>
          </cell>
        </row>
        <row r="240">
          <cell r="B240">
            <v>68</v>
          </cell>
          <cell r="C240" t="str">
            <v>Category 68</v>
          </cell>
          <cell r="F240">
            <v>0</v>
          </cell>
          <cell r="G240">
            <v>0</v>
          </cell>
        </row>
        <row r="241">
          <cell r="B241">
            <v>69</v>
          </cell>
          <cell r="C241" t="str">
            <v>Category 69</v>
          </cell>
          <cell r="F241">
            <v>0</v>
          </cell>
          <cell r="G241">
            <v>0</v>
          </cell>
        </row>
        <row r="242">
          <cell r="B242">
            <v>70</v>
          </cell>
          <cell r="C242" t="str">
            <v>Category 70</v>
          </cell>
          <cell r="F242">
            <v>0</v>
          </cell>
          <cell r="G242">
            <v>0</v>
          </cell>
        </row>
        <row r="243">
          <cell r="B243">
            <v>71</v>
          </cell>
          <cell r="C243" t="str">
            <v>Category 71</v>
          </cell>
          <cell r="F243">
            <v>0</v>
          </cell>
          <cell r="G243">
            <v>0</v>
          </cell>
        </row>
        <row r="244">
          <cell r="B244">
            <v>72</v>
          </cell>
          <cell r="C244" t="str">
            <v>Category 72</v>
          </cell>
          <cell r="F244">
            <v>0</v>
          </cell>
          <cell r="G244">
            <v>0</v>
          </cell>
        </row>
        <row r="245">
          <cell r="B245">
            <v>73</v>
          </cell>
          <cell r="C245" t="str">
            <v>Category 73</v>
          </cell>
          <cell r="F245">
            <v>0</v>
          </cell>
          <cell r="G245">
            <v>0</v>
          </cell>
        </row>
        <row r="246">
          <cell r="B246">
            <v>74</v>
          </cell>
          <cell r="C246" t="str">
            <v>Category 74</v>
          </cell>
          <cell r="F246">
            <v>0</v>
          </cell>
          <cell r="G246">
            <v>0</v>
          </cell>
        </row>
        <row r="247">
          <cell r="B247">
            <v>75</v>
          </cell>
          <cell r="C247" t="str">
            <v>Category 75</v>
          </cell>
          <cell r="F247">
            <v>0</v>
          </cell>
          <cell r="G247">
            <v>0</v>
          </cell>
        </row>
        <row r="248">
          <cell r="B248">
            <v>76</v>
          </cell>
          <cell r="C248" t="str">
            <v>Category 76</v>
          </cell>
          <cell r="F248">
            <v>0</v>
          </cell>
          <cell r="G248">
            <v>0</v>
          </cell>
        </row>
        <row r="249">
          <cell r="B249">
            <v>77</v>
          </cell>
          <cell r="C249" t="str">
            <v>Category 77</v>
          </cell>
          <cell r="F249">
            <v>0</v>
          </cell>
          <cell r="G249">
            <v>0</v>
          </cell>
        </row>
        <row r="250">
          <cell r="B250">
            <v>78</v>
          </cell>
          <cell r="C250" t="str">
            <v>Category 78</v>
          </cell>
          <cell r="F250">
            <v>0</v>
          </cell>
          <cell r="G250">
            <v>0</v>
          </cell>
        </row>
        <row r="251">
          <cell r="B251">
            <v>79</v>
          </cell>
          <cell r="C251" t="str">
            <v>Category 79</v>
          </cell>
          <cell r="F251">
            <v>0</v>
          </cell>
          <cell r="G251">
            <v>0</v>
          </cell>
        </row>
        <row r="252">
          <cell r="B252">
            <v>80</v>
          </cell>
          <cell r="C252" t="str">
            <v>Category 80</v>
          </cell>
          <cell r="F252">
            <v>0</v>
          </cell>
          <cell r="G252">
            <v>0</v>
          </cell>
        </row>
        <row r="253">
          <cell r="B253">
            <v>81</v>
          </cell>
          <cell r="C253" t="str">
            <v>Category 81</v>
          </cell>
          <cell r="F253">
            <v>0</v>
          </cell>
          <cell r="G253">
            <v>0</v>
          </cell>
        </row>
        <row r="254">
          <cell r="B254">
            <v>82</v>
          </cell>
          <cell r="C254" t="str">
            <v>Category 82</v>
          </cell>
          <cell r="F254">
            <v>0</v>
          </cell>
          <cell r="G254">
            <v>0</v>
          </cell>
        </row>
        <row r="255">
          <cell r="B255">
            <v>83</v>
          </cell>
          <cell r="C255" t="str">
            <v>Category 83</v>
          </cell>
          <cell r="F255">
            <v>0</v>
          </cell>
          <cell r="G255">
            <v>0</v>
          </cell>
        </row>
        <row r="256">
          <cell r="B256">
            <v>84</v>
          </cell>
          <cell r="C256" t="str">
            <v>Category 84</v>
          </cell>
          <cell r="F256">
            <v>0</v>
          </cell>
          <cell r="G256">
            <v>0</v>
          </cell>
        </row>
        <row r="257">
          <cell r="B257">
            <v>85</v>
          </cell>
          <cell r="C257" t="str">
            <v>Category 85</v>
          </cell>
          <cell r="F257">
            <v>0</v>
          </cell>
          <cell r="G257">
            <v>0</v>
          </cell>
        </row>
        <row r="258">
          <cell r="B258">
            <v>86</v>
          </cell>
          <cell r="C258" t="str">
            <v>Category 86</v>
          </cell>
          <cell r="F258">
            <v>0</v>
          </cell>
          <cell r="G258">
            <v>0</v>
          </cell>
        </row>
        <row r="259">
          <cell r="B259">
            <v>87</v>
          </cell>
          <cell r="C259" t="str">
            <v>Category 87</v>
          </cell>
          <cell r="F259">
            <v>0</v>
          </cell>
          <cell r="G259">
            <v>0</v>
          </cell>
        </row>
        <row r="260">
          <cell r="B260">
            <v>88</v>
          </cell>
          <cell r="C260" t="str">
            <v>Category 88</v>
          </cell>
          <cell r="F260">
            <v>0</v>
          </cell>
          <cell r="G260">
            <v>0</v>
          </cell>
        </row>
        <row r="261">
          <cell r="B261">
            <v>89</v>
          </cell>
          <cell r="C261" t="str">
            <v>Category 89</v>
          </cell>
          <cell r="F261">
            <v>0</v>
          </cell>
          <cell r="G261">
            <v>0</v>
          </cell>
        </row>
        <row r="262">
          <cell r="B262">
            <v>90</v>
          </cell>
          <cell r="C262" t="str">
            <v>Category 90</v>
          </cell>
          <cell r="F262">
            <v>0</v>
          </cell>
          <cell r="G262">
            <v>0</v>
          </cell>
        </row>
        <row r="263">
          <cell r="B263">
            <v>91</v>
          </cell>
          <cell r="C263" t="str">
            <v>Category 91</v>
          </cell>
          <cell r="F263">
            <v>0</v>
          </cell>
          <cell r="G263">
            <v>0</v>
          </cell>
        </row>
        <row r="264">
          <cell r="B264">
            <v>92</v>
          </cell>
          <cell r="C264" t="str">
            <v>Category 92</v>
          </cell>
          <cell r="F264">
            <v>0</v>
          </cell>
          <cell r="G264">
            <v>0</v>
          </cell>
        </row>
        <row r="265">
          <cell r="B265">
            <v>93</v>
          </cell>
          <cell r="C265" t="str">
            <v>Category 93</v>
          </cell>
          <cell r="F265">
            <v>0</v>
          </cell>
          <cell r="G265">
            <v>0</v>
          </cell>
        </row>
        <row r="266">
          <cell r="B266">
            <v>94</v>
          </cell>
          <cell r="C266" t="str">
            <v>Category 94</v>
          </cell>
          <cell r="F266">
            <v>0</v>
          </cell>
          <cell r="G266">
            <v>0</v>
          </cell>
        </row>
        <row r="267">
          <cell r="B267">
            <v>95</v>
          </cell>
          <cell r="C267" t="str">
            <v>Category 95</v>
          </cell>
          <cell r="F267">
            <v>0</v>
          </cell>
          <cell r="G267">
            <v>0</v>
          </cell>
        </row>
        <row r="268">
          <cell r="B268">
            <v>96</v>
          </cell>
          <cell r="C268" t="str">
            <v>Category 96</v>
          </cell>
          <cell r="F268">
            <v>0</v>
          </cell>
          <cell r="G268">
            <v>0</v>
          </cell>
        </row>
        <row r="269">
          <cell r="B269">
            <v>97</v>
          </cell>
          <cell r="C269" t="str">
            <v>Category 97</v>
          </cell>
          <cell r="F269">
            <v>0</v>
          </cell>
          <cell r="G269">
            <v>0</v>
          </cell>
        </row>
        <row r="270">
          <cell r="B270">
            <v>98</v>
          </cell>
          <cell r="C270" t="str">
            <v>Category 98</v>
          </cell>
          <cell r="F270">
            <v>0</v>
          </cell>
          <cell r="G270">
            <v>0</v>
          </cell>
        </row>
        <row r="271">
          <cell r="B271">
            <v>99</v>
          </cell>
          <cell r="C271" t="str">
            <v>Category 99</v>
          </cell>
          <cell r="F271">
            <v>0</v>
          </cell>
          <cell r="G271">
            <v>0</v>
          </cell>
        </row>
        <row r="272">
          <cell r="B272">
            <v>100</v>
          </cell>
          <cell r="C272" t="str">
            <v>Category 100</v>
          </cell>
          <cell r="F272">
            <v>0</v>
          </cell>
          <cell r="G272">
            <v>0</v>
          </cell>
        </row>
        <row r="273">
          <cell r="B273">
            <v>101</v>
          </cell>
          <cell r="C273" t="str">
            <v>Category 101</v>
          </cell>
          <cell r="F273">
            <v>0</v>
          </cell>
          <cell r="G273">
            <v>0</v>
          </cell>
        </row>
        <row r="274">
          <cell r="B274">
            <v>102</v>
          </cell>
          <cell r="C274" t="str">
            <v>Category 102</v>
          </cell>
          <cell r="F274">
            <v>0</v>
          </cell>
          <cell r="G274">
            <v>0</v>
          </cell>
        </row>
        <row r="275">
          <cell r="B275">
            <v>103</v>
          </cell>
          <cell r="C275" t="str">
            <v>Category 103</v>
          </cell>
          <cell r="F275">
            <v>0</v>
          </cell>
          <cell r="G275">
            <v>0</v>
          </cell>
        </row>
        <row r="276">
          <cell r="B276">
            <v>104</v>
          </cell>
          <cell r="C276" t="str">
            <v>Category 104</v>
          </cell>
          <cell r="F276">
            <v>0</v>
          </cell>
          <cell r="G276">
            <v>0</v>
          </cell>
        </row>
        <row r="277">
          <cell r="B277">
            <v>105</v>
          </cell>
          <cell r="C277" t="str">
            <v>Category 105</v>
          </cell>
          <cell r="F277">
            <v>0</v>
          </cell>
          <cell r="G277">
            <v>0</v>
          </cell>
        </row>
        <row r="278">
          <cell r="B278">
            <v>106</v>
          </cell>
          <cell r="C278" t="str">
            <v>Category 106</v>
          </cell>
          <cell r="F278">
            <v>0</v>
          </cell>
          <cell r="G278">
            <v>0</v>
          </cell>
        </row>
        <row r="279">
          <cell r="B279">
            <v>107</v>
          </cell>
          <cell r="C279" t="str">
            <v>Category 107</v>
          </cell>
          <cell r="F279">
            <v>0</v>
          </cell>
          <cell r="G279">
            <v>0</v>
          </cell>
        </row>
        <row r="280">
          <cell r="B280">
            <v>108</v>
          </cell>
          <cell r="C280" t="str">
            <v>Category 108</v>
          </cell>
          <cell r="F280">
            <v>0</v>
          </cell>
          <cell r="G280">
            <v>0</v>
          </cell>
        </row>
        <row r="281">
          <cell r="B281">
            <v>109</v>
          </cell>
          <cell r="C281" t="str">
            <v>Category 109</v>
          </cell>
          <cell r="F281">
            <v>0</v>
          </cell>
          <cell r="G281">
            <v>0</v>
          </cell>
        </row>
        <row r="282">
          <cell r="B282">
            <v>110</v>
          </cell>
          <cell r="C282" t="str">
            <v>Category 110</v>
          </cell>
          <cell r="F282">
            <v>0</v>
          </cell>
          <cell r="G282">
            <v>0</v>
          </cell>
        </row>
        <row r="283">
          <cell r="B283">
            <v>111</v>
          </cell>
          <cell r="C283" t="str">
            <v>Category 111</v>
          </cell>
          <cell r="F283">
            <v>0</v>
          </cell>
          <cell r="G283">
            <v>0</v>
          </cell>
        </row>
        <row r="284">
          <cell r="B284">
            <v>112</v>
          </cell>
          <cell r="C284" t="str">
            <v>Category 112</v>
          </cell>
          <cell r="F284">
            <v>0</v>
          </cell>
          <cell r="G284">
            <v>0</v>
          </cell>
        </row>
        <row r="285">
          <cell r="B285">
            <v>113</v>
          </cell>
          <cell r="C285" t="str">
            <v>Category 113</v>
          </cell>
          <cell r="F285">
            <v>0</v>
          </cell>
          <cell r="G285">
            <v>0</v>
          </cell>
        </row>
        <row r="286">
          <cell r="B286">
            <v>114</v>
          </cell>
          <cell r="C286" t="str">
            <v>Category 114</v>
          </cell>
          <cell r="F286">
            <v>0</v>
          </cell>
          <cell r="G286">
            <v>0</v>
          </cell>
        </row>
        <row r="287">
          <cell r="B287">
            <v>115</v>
          </cell>
          <cell r="C287" t="str">
            <v>Category 115</v>
          </cell>
          <cell r="F287">
            <v>0</v>
          </cell>
          <cell r="G287">
            <v>0</v>
          </cell>
        </row>
        <row r="288">
          <cell r="B288">
            <v>116</v>
          </cell>
          <cell r="C288" t="str">
            <v>Category 116</v>
          </cell>
          <cell r="F288">
            <v>0</v>
          </cell>
          <cell r="G288">
            <v>0</v>
          </cell>
        </row>
        <row r="289">
          <cell r="B289">
            <v>117</v>
          </cell>
          <cell r="C289" t="str">
            <v>Category 117</v>
          </cell>
          <cell r="F289">
            <v>0</v>
          </cell>
          <cell r="G289">
            <v>0</v>
          </cell>
        </row>
        <row r="290">
          <cell r="B290">
            <v>118</v>
          </cell>
          <cell r="C290" t="str">
            <v>Category 118</v>
          </cell>
          <cell r="F290">
            <v>0</v>
          </cell>
          <cell r="G290">
            <v>0</v>
          </cell>
        </row>
        <row r="291">
          <cell r="B291">
            <v>119</v>
          </cell>
          <cell r="C291" t="str">
            <v>Category 119</v>
          </cell>
          <cell r="F291">
            <v>0</v>
          </cell>
          <cell r="G291">
            <v>0</v>
          </cell>
        </row>
        <row r="292">
          <cell r="B292">
            <v>120</v>
          </cell>
          <cell r="C292" t="str">
            <v>Category 120</v>
          </cell>
          <cell r="F292">
            <v>0</v>
          </cell>
          <cell r="G292">
            <v>0</v>
          </cell>
        </row>
        <row r="293">
          <cell r="B293">
            <v>121</v>
          </cell>
          <cell r="C293" t="str">
            <v>Category 121</v>
          </cell>
          <cell r="F293">
            <v>0</v>
          </cell>
          <cell r="G293">
            <v>0</v>
          </cell>
        </row>
        <row r="294">
          <cell r="B294">
            <v>122</v>
          </cell>
          <cell r="C294" t="str">
            <v>Category 122</v>
          </cell>
          <cell r="F294">
            <v>0</v>
          </cell>
          <cell r="G294">
            <v>0</v>
          </cell>
        </row>
        <row r="295">
          <cell r="B295">
            <v>123</v>
          </cell>
          <cell r="C295" t="str">
            <v>Category 123</v>
          </cell>
          <cell r="F295">
            <v>0</v>
          </cell>
          <cell r="G295">
            <v>0</v>
          </cell>
        </row>
        <row r="296">
          <cell r="B296">
            <v>124</v>
          </cell>
          <cell r="C296" t="str">
            <v>Category 124</v>
          </cell>
          <cell r="F296">
            <v>0</v>
          </cell>
          <cell r="G296">
            <v>0</v>
          </cell>
        </row>
        <row r="297">
          <cell r="B297">
            <v>125</v>
          </cell>
          <cell r="C297" t="str">
            <v>Category 125</v>
          </cell>
          <cell r="F297">
            <v>0</v>
          </cell>
          <cell r="G297">
            <v>0</v>
          </cell>
        </row>
        <row r="298">
          <cell r="B298">
            <v>126</v>
          </cell>
          <cell r="C298" t="str">
            <v>Category 126</v>
          </cell>
          <cell r="F298">
            <v>0</v>
          </cell>
          <cell r="G298">
            <v>0</v>
          </cell>
        </row>
        <row r="299">
          <cell r="B299">
            <v>127</v>
          </cell>
          <cell r="C299" t="str">
            <v>Category 127</v>
          </cell>
          <cell r="F299">
            <v>0</v>
          </cell>
          <cell r="G299">
            <v>0</v>
          </cell>
        </row>
        <row r="300">
          <cell r="B300">
            <v>128</v>
          </cell>
          <cell r="C300" t="str">
            <v>Category 128</v>
          </cell>
          <cell r="F300">
            <v>0</v>
          </cell>
          <cell r="G300">
            <v>0</v>
          </cell>
        </row>
        <row r="301">
          <cell r="B301">
            <v>129</v>
          </cell>
          <cell r="C301" t="str">
            <v>Category 129</v>
          </cell>
          <cell r="F301">
            <v>0</v>
          </cell>
          <cell r="G301">
            <v>0</v>
          </cell>
        </row>
        <row r="302">
          <cell r="B302">
            <v>130</v>
          </cell>
          <cell r="C302" t="str">
            <v>Category 130</v>
          </cell>
          <cell r="F302">
            <v>0</v>
          </cell>
          <cell r="G302">
            <v>0</v>
          </cell>
        </row>
        <row r="303">
          <cell r="B303">
            <v>131</v>
          </cell>
          <cell r="C303" t="str">
            <v>Category 131</v>
          </cell>
          <cell r="F303">
            <v>0</v>
          </cell>
          <cell r="G303">
            <v>0</v>
          </cell>
        </row>
        <row r="304">
          <cell r="B304">
            <v>132</v>
          </cell>
          <cell r="C304" t="str">
            <v>Category 132</v>
          </cell>
          <cell r="F304">
            <v>0</v>
          </cell>
          <cell r="G304">
            <v>0</v>
          </cell>
        </row>
        <row r="305">
          <cell r="B305">
            <v>133</v>
          </cell>
          <cell r="C305" t="str">
            <v>Category 133</v>
          </cell>
          <cell r="F305">
            <v>0</v>
          </cell>
          <cell r="G305">
            <v>0</v>
          </cell>
        </row>
        <row r="306">
          <cell r="B306">
            <v>134</v>
          </cell>
          <cell r="C306" t="str">
            <v>Category 134</v>
          </cell>
          <cell r="F306">
            <v>0</v>
          </cell>
          <cell r="G306">
            <v>0</v>
          </cell>
        </row>
        <row r="307">
          <cell r="B307">
            <v>135</v>
          </cell>
          <cell r="C307" t="str">
            <v>Category 135</v>
          </cell>
          <cell r="F307">
            <v>0</v>
          </cell>
          <cell r="G307">
            <v>0</v>
          </cell>
        </row>
        <row r="308">
          <cell r="B308">
            <v>136</v>
          </cell>
          <cell r="C308" t="str">
            <v>Category 136</v>
          </cell>
          <cell r="F308">
            <v>0</v>
          </cell>
          <cell r="G308">
            <v>0</v>
          </cell>
        </row>
        <row r="309">
          <cell r="B309">
            <v>137</v>
          </cell>
          <cell r="C309" t="str">
            <v>Category 137</v>
          </cell>
          <cell r="F309">
            <v>0</v>
          </cell>
          <cell r="G309">
            <v>0</v>
          </cell>
        </row>
        <row r="310">
          <cell r="B310">
            <v>138</v>
          </cell>
          <cell r="C310" t="str">
            <v>Category 138</v>
          </cell>
          <cell r="F310">
            <v>0</v>
          </cell>
          <cell r="G310">
            <v>0</v>
          </cell>
        </row>
        <row r="311">
          <cell r="B311">
            <v>139</v>
          </cell>
          <cell r="C311" t="str">
            <v>Category 139</v>
          </cell>
          <cell r="F311">
            <v>0</v>
          </cell>
          <cell r="G311">
            <v>0</v>
          </cell>
        </row>
        <row r="312">
          <cell r="B312">
            <v>140</v>
          </cell>
          <cell r="C312" t="str">
            <v>Category 140</v>
          </cell>
          <cell r="F312">
            <v>0</v>
          </cell>
          <cell r="G312">
            <v>0</v>
          </cell>
        </row>
        <row r="313">
          <cell r="B313">
            <v>141</v>
          </cell>
          <cell r="C313" t="str">
            <v>Category 141</v>
          </cell>
          <cell r="F313">
            <v>0</v>
          </cell>
          <cell r="G313">
            <v>0</v>
          </cell>
        </row>
        <row r="314">
          <cell r="B314">
            <v>142</v>
          </cell>
          <cell r="C314" t="str">
            <v>Category 142</v>
          </cell>
          <cell r="F314">
            <v>0</v>
          </cell>
          <cell r="G314">
            <v>0</v>
          </cell>
        </row>
        <row r="315">
          <cell r="B315">
            <v>143</v>
          </cell>
          <cell r="C315" t="str">
            <v>Category 143</v>
          </cell>
          <cell r="F315">
            <v>0</v>
          </cell>
          <cell r="G315">
            <v>0</v>
          </cell>
        </row>
        <row r="316">
          <cell r="B316">
            <v>144</v>
          </cell>
          <cell r="C316" t="str">
            <v>Category 144</v>
          </cell>
          <cell r="F316">
            <v>0</v>
          </cell>
          <cell r="G316">
            <v>0</v>
          </cell>
        </row>
        <row r="317">
          <cell r="B317">
            <v>145</v>
          </cell>
          <cell r="C317" t="str">
            <v>Category 145</v>
          </cell>
          <cell r="F317">
            <v>0</v>
          </cell>
          <cell r="G317">
            <v>0</v>
          </cell>
        </row>
        <row r="318">
          <cell r="B318">
            <v>146</v>
          </cell>
          <cell r="C318" t="str">
            <v>Category 146</v>
          </cell>
          <cell r="F318">
            <v>0</v>
          </cell>
          <cell r="G318">
            <v>0</v>
          </cell>
        </row>
        <row r="319">
          <cell r="B319">
            <v>147</v>
          </cell>
          <cell r="C319" t="str">
            <v>Category 147</v>
          </cell>
          <cell r="F319">
            <v>0</v>
          </cell>
          <cell r="G319">
            <v>0</v>
          </cell>
        </row>
        <row r="320">
          <cell r="B320">
            <v>148</v>
          </cell>
          <cell r="C320" t="str">
            <v>Category 148</v>
          </cell>
          <cell r="F320">
            <v>0</v>
          </cell>
          <cell r="G320">
            <v>0</v>
          </cell>
        </row>
        <row r="321">
          <cell r="B321">
            <v>149</v>
          </cell>
          <cell r="C321" t="str">
            <v>Category 149</v>
          </cell>
          <cell r="F321">
            <v>0</v>
          </cell>
          <cell r="G321">
            <v>0</v>
          </cell>
        </row>
        <row r="322">
          <cell r="B322">
            <v>150</v>
          </cell>
          <cell r="C322" t="str">
            <v>Category 150</v>
          </cell>
          <cell r="F322">
            <v>0</v>
          </cell>
          <cell r="G322">
            <v>0</v>
          </cell>
        </row>
        <row r="323">
          <cell r="B323">
            <v>151</v>
          </cell>
          <cell r="C323" t="str">
            <v>Category 151</v>
          </cell>
          <cell r="F323">
            <v>0</v>
          </cell>
          <cell r="G323">
            <v>0</v>
          </cell>
        </row>
        <row r="324">
          <cell r="B324">
            <v>152</v>
          </cell>
          <cell r="C324" t="str">
            <v>Category 152</v>
          </cell>
          <cell r="F324">
            <v>0</v>
          </cell>
          <cell r="G324">
            <v>0</v>
          </cell>
        </row>
        <row r="325">
          <cell r="B325">
            <v>153</v>
          </cell>
          <cell r="C325" t="str">
            <v>Category 153</v>
          </cell>
          <cell r="F325">
            <v>0</v>
          </cell>
          <cell r="G325">
            <v>0</v>
          </cell>
        </row>
        <row r="326">
          <cell r="B326">
            <v>154</v>
          </cell>
          <cell r="C326" t="str">
            <v>Category 154</v>
          </cell>
          <cell r="F326">
            <v>0</v>
          </cell>
          <cell r="G326">
            <v>0</v>
          </cell>
        </row>
        <row r="327">
          <cell r="B327">
            <v>155</v>
          </cell>
          <cell r="C327" t="str">
            <v>Category 155</v>
          </cell>
          <cell r="F327">
            <v>0</v>
          </cell>
          <cell r="G327">
            <v>0</v>
          </cell>
        </row>
        <row r="328">
          <cell r="B328">
            <v>156</v>
          </cell>
          <cell r="C328" t="str">
            <v>Category 156</v>
          </cell>
          <cell r="F328">
            <v>0</v>
          </cell>
          <cell r="G328">
            <v>0</v>
          </cell>
        </row>
        <row r="329">
          <cell r="B329">
            <v>157</v>
          </cell>
          <cell r="C329" t="str">
            <v>Category 157</v>
          </cell>
          <cell r="F329">
            <v>0</v>
          </cell>
          <cell r="G329">
            <v>0</v>
          </cell>
        </row>
        <row r="330">
          <cell r="B330">
            <v>158</v>
          </cell>
          <cell r="C330" t="str">
            <v>Category 158</v>
          </cell>
          <cell r="F330">
            <v>0</v>
          </cell>
          <cell r="G330">
            <v>0</v>
          </cell>
        </row>
        <row r="331">
          <cell r="B331">
            <v>159</v>
          </cell>
          <cell r="C331" t="str">
            <v>Category 159</v>
          </cell>
          <cell r="F331">
            <v>0</v>
          </cell>
          <cell r="G331">
            <v>0</v>
          </cell>
        </row>
        <row r="332">
          <cell r="B332">
            <v>160</v>
          </cell>
          <cell r="C332" t="str">
            <v>Category 160</v>
          </cell>
          <cell r="F332">
            <v>0</v>
          </cell>
          <cell r="G332">
            <v>0</v>
          </cell>
        </row>
        <row r="333">
          <cell r="B333">
            <v>161</v>
          </cell>
          <cell r="C333" t="str">
            <v>Category 161</v>
          </cell>
          <cell r="F333">
            <v>0</v>
          </cell>
          <cell r="G333">
            <v>0</v>
          </cell>
        </row>
        <row r="334">
          <cell r="B334">
            <v>162</v>
          </cell>
          <cell r="C334" t="str">
            <v>Category 162</v>
          </cell>
          <cell r="F334">
            <v>0</v>
          </cell>
          <cell r="G334">
            <v>0</v>
          </cell>
        </row>
        <row r="335">
          <cell r="B335">
            <v>163</v>
          </cell>
          <cell r="C335" t="str">
            <v>Category 163</v>
          </cell>
          <cell r="F335">
            <v>0</v>
          </cell>
          <cell r="G335">
            <v>0</v>
          </cell>
        </row>
        <row r="336">
          <cell r="B336">
            <v>164</v>
          </cell>
          <cell r="C336" t="str">
            <v>Category 164</v>
          </cell>
          <cell r="F336">
            <v>0</v>
          </cell>
          <cell r="G336">
            <v>0</v>
          </cell>
        </row>
        <row r="337">
          <cell r="B337">
            <v>165</v>
          </cell>
          <cell r="C337" t="str">
            <v>Category 165</v>
          </cell>
          <cell r="F337">
            <v>0</v>
          </cell>
          <cell r="G337">
            <v>0</v>
          </cell>
        </row>
        <row r="338">
          <cell r="B338">
            <v>166</v>
          </cell>
          <cell r="C338" t="str">
            <v>Category 166</v>
          </cell>
          <cell r="F338">
            <v>0</v>
          </cell>
          <cell r="G338">
            <v>0</v>
          </cell>
        </row>
        <row r="339">
          <cell r="B339">
            <v>167</v>
          </cell>
          <cell r="C339" t="str">
            <v>Category 167</v>
          </cell>
          <cell r="F339">
            <v>0</v>
          </cell>
          <cell r="G339">
            <v>0</v>
          </cell>
        </row>
        <row r="340">
          <cell r="B340">
            <v>168</v>
          </cell>
          <cell r="C340" t="str">
            <v>Category 168</v>
          </cell>
          <cell r="F340">
            <v>0</v>
          </cell>
          <cell r="G340">
            <v>0</v>
          </cell>
        </row>
        <row r="341">
          <cell r="B341">
            <v>169</v>
          </cell>
          <cell r="C341" t="str">
            <v>Category 169</v>
          </cell>
          <cell r="F341">
            <v>0</v>
          </cell>
          <cell r="G341">
            <v>0</v>
          </cell>
        </row>
        <row r="342">
          <cell r="B342">
            <v>170</v>
          </cell>
          <cell r="C342" t="str">
            <v>Category 170</v>
          </cell>
          <cell r="F342">
            <v>0</v>
          </cell>
          <cell r="G342">
            <v>0</v>
          </cell>
        </row>
        <row r="343">
          <cell r="B343">
            <v>171</v>
          </cell>
          <cell r="C343" t="str">
            <v>Category 171</v>
          </cell>
          <cell r="F343">
            <v>0</v>
          </cell>
          <cell r="G343">
            <v>0</v>
          </cell>
        </row>
        <row r="344">
          <cell r="B344">
            <v>172</v>
          </cell>
          <cell r="C344" t="str">
            <v>Category 172</v>
          </cell>
          <cell r="F344">
            <v>0</v>
          </cell>
          <cell r="G344">
            <v>0</v>
          </cell>
        </row>
        <row r="345">
          <cell r="B345">
            <v>173</v>
          </cell>
          <cell r="C345" t="str">
            <v>Category 173</v>
          </cell>
          <cell r="F345">
            <v>0</v>
          </cell>
          <cell r="G345">
            <v>0</v>
          </cell>
        </row>
        <row r="346">
          <cell r="B346">
            <v>174</v>
          </cell>
          <cell r="C346" t="str">
            <v>Category 174</v>
          </cell>
          <cell r="F346">
            <v>0</v>
          </cell>
          <cell r="G346">
            <v>0</v>
          </cell>
        </row>
        <row r="347">
          <cell r="B347">
            <v>175</v>
          </cell>
          <cell r="C347" t="str">
            <v>Category 175</v>
          </cell>
          <cell r="F347">
            <v>0</v>
          </cell>
          <cell r="G347">
            <v>0</v>
          </cell>
        </row>
        <row r="348">
          <cell r="B348">
            <v>176</v>
          </cell>
          <cell r="C348" t="str">
            <v>Category 176</v>
          </cell>
          <cell r="F348">
            <v>0</v>
          </cell>
          <cell r="G348">
            <v>0</v>
          </cell>
        </row>
        <row r="349">
          <cell r="B349">
            <v>177</v>
          </cell>
          <cell r="C349" t="str">
            <v>Category 177</v>
          </cell>
          <cell r="F349">
            <v>0</v>
          </cell>
          <cell r="G349">
            <v>0</v>
          </cell>
        </row>
        <row r="350">
          <cell r="B350">
            <v>178</v>
          </cell>
          <cell r="C350" t="str">
            <v>Category 178</v>
          </cell>
          <cell r="F350">
            <v>0</v>
          </cell>
          <cell r="G350">
            <v>0</v>
          </cell>
        </row>
        <row r="351">
          <cell r="B351">
            <v>179</v>
          </cell>
          <cell r="C351" t="str">
            <v>Category 179</v>
          </cell>
          <cell r="F351">
            <v>0</v>
          </cell>
          <cell r="G351">
            <v>0</v>
          </cell>
        </row>
        <row r="352">
          <cell r="B352">
            <v>180</v>
          </cell>
          <cell r="C352" t="str">
            <v>Category 180</v>
          </cell>
          <cell r="F352">
            <v>0</v>
          </cell>
          <cell r="G352">
            <v>0</v>
          </cell>
        </row>
        <row r="353">
          <cell r="B353">
            <v>181</v>
          </cell>
          <cell r="C353" t="str">
            <v>Category 181</v>
          </cell>
          <cell r="F353">
            <v>0</v>
          </cell>
          <cell r="G353">
            <v>0</v>
          </cell>
        </row>
        <row r="354">
          <cell r="B354">
            <v>182</v>
          </cell>
          <cell r="C354" t="str">
            <v>Category 182</v>
          </cell>
          <cell r="F354">
            <v>0</v>
          </cell>
          <cell r="G354">
            <v>0</v>
          </cell>
        </row>
        <row r="355">
          <cell r="B355">
            <v>183</v>
          </cell>
          <cell r="C355" t="str">
            <v>Category 183</v>
          </cell>
          <cell r="F355">
            <v>0</v>
          </cell>
          <cell r="G355">
            <v>0</v>
          </cell>
        </row>
        <row r="356">
          <cell r="B356">
            <v>184</v>
          </cell>
          <cell r="C356" t="str">
            <v>Category 184</v>
          </cell>
          <cell r="F356">
            <v>0</v>
          </cell>
          <cell r="G356">
            <v>0</v>
          </cell>
        </row>
        <row r="357">
          <cell r="B357">
            <v>185</v>
          </cell>
          <cell r="C357" t="str">
            <v>Category 185</v>
          </cell>
          <cell r="F357">
            <v>0</v>
          </cell>
          <cell r="G357">
            <v>0</v>
          </cell>
        </row>
        <row r="358">
          <cell r="B358">
            <v>186</v>
          </cell>
          <cell r="C358" t="str">
            <v>Category 186</v>
          </cell>
          <cell r="F358">
            <v>0</v>
          </cell>
          <cell r="G358">
            <v>0</v>
          </cell>
        </row>
        <row r="359">
          <cell r="B359">
            <v>187</v>
          </cell>
          <cell r="C359" t="str">
            <v>Category 187</v>
          </cell>
          <cell r="F359">
            <v>0</v>
          </cell>
          <cell r="G359">
            <v>0</v>
          </cell>
        </row>
        <row r="360">
          <cell r="B360">
            <v>188</v>
          </cell>
          <cell r="C360" t="str">
            <v>Category 188</v>
          </cell>
          <cell r="F360">
            <v>0</v>
          </cell>
          <cell r="G360">
            <v>0</v>
          </cell>
        </row>
        <row r="361">
          <cell r="B361">
            <v>189</v>
          </cell>
          <cell r="C361" t="str">
            <v>Category 189</v>
          </cell>
          <cell r="F361">
            <v>0</v>
          </cell>
          <cell r="G361">
            <v>0</v>
          </cell>
        </row>
        <row r="362">
          <cell r="B362">
            <v>190</v>
          </cell>
          <cell r="C362" t="str">
            <v>Category 190</v>
          </cell>
          <cell r="F362">
            <v>0</v>
          </cell>
          <cell r="G362">
            <v>0</v>
          </cell>
        </row>
        <row r="363">
          <cell r="B363">
            <v>191</v>
          </cell>
          <cell r="C363" t="str">
            <v>Category 191</v>
          </cell>
          <cell r="F363">
            <v>0</v>
          </cell>
          <cell r="G363">
            <v>0</v>
          </cell>
        </row>
        <row r="364">
          <cell r="B364">
            <v>192</v>
          </cell>
          <cell r="C364" t="str">
            <v>Category 192</v>
          </cell>
          <cell r="F364">
            <v>0</v>
          </cell>
          <cell r="G364">
            <v>0</v>
          </cell>
        </row>
        <row r="365">
          <cell r="B365">
            <v>193</v>
          </cell>
          <cell r="C365" t="str">
            <v>Category 193</v>
          </cell>
          <cell r="F365">
            <v>0</v>
          </cell>
          <cell r="G365">
            <v>0</v>
          </cell>
        </row>
        <row r="366">
          <cell r="B366">
            <v>194</v>
          </cell>
          <cell r="C366" t="str">
            <v>Category 194</v>
          </cell>
          <cell r="F366">
            <v>0</v>
          </cell>
          <cell r="G366">
            <v>0</v>
          </cell>
        </row>
        <row r="367">
          <cell r="B367">
            <v>195</v>
          </cell>
          <cell r="C367" t="str">
            <v>Category 195</v>
          </cell>
          <cell r="F367">
            <v>0</v>
          </cell>
          <cell r="G367">
            <v>0</v>
          </cell>
        </row>
        <row r="368">
          <cell r="B368">
            <v>196</v>
          </cell>
          <cell r="C368" t="str">
            <v>Category 196</v>
          </cell>
          <cell r="F368">
            <v>0</v>
          </cell>
          <cell r="G368">
            <v>0</v>
          </cell>
        </row>
        <row r="369">
          <cell r="B369">
            <v>197</v>
          </cell>
          <cell r="C369" t="str">
            <v>Category 197</v>
          </cell>
          <cell r="F369">
            <v>0</v>
          </cell>
          <cell r="G369">
            <v>0</v>
          </cell>
        </row>
        <row r="370">
          <cell r="B370">
            <v>198</v>
          </cell>
          <cell r="C370" t="str">
            <v>Category 198</v>
          </cell>
          <cell r="F370">
            <v>0</v>
          </cell>
          <cell r="G370">
            <v>0</v>
          </cell>
        </row>
        <row r="371">
          <cell r="B371">
            <v>199</v>
          </cell>
          <cell r="C371" t="str">
            <v>Category 199</v>
          </cell>
          <cell r="F371">
            <v>0</v>
          </cell>
          <cell r="G371">
            <v>0</v>
          </cell>
        </row>
        <row r="372">
          <cell r="B372">
            <v>200</v>
          </cell>
          <cell r="C372" t="str">
            <v>Category 200</v>
          </cell>
          <cell r="F372">
            <v>0</v>
          </cell>
          <cell r="G372">
            <v>0</v>
          </cell>
        </row>
        <row r="373">
          <cell r="B373">
            <v>201</v>
          </cell>
          <cell r="C373" t="str">
            <v>Category 201</v>
          </cell>
          <cell r="F373">
            <v>0</v>
          </cell>
          <cell r="G373">
            <v>0</v>
          </cell>
        </row>
        <row r="374">
          <cell r="B374">
            <v>202</v>
          </cell>
          <cell r="C374" t="str">
            <v>Category 202</v>
          </cell>
          <cell r="F374">
            <v>0</v>
          </cell>
          <cell r="G374">
            <v>0</v>
          </cell>
        </row>
        <row r="375">
          <cell r="B375">
            <v>203</v>
          </cell>
          <cell r="C375" t="str">
            <v>Category 203</v>
          </cell>
          <cell r="F375">
            <v>0</v>
          </cell>
          <cell r="G375">
            <v>0</v>
          </cell>
        </row>
        <row r="376">
          <cell r="B376">
            <v>204</v>
          </cell>
          <cell r="C376" t="str">
            <v>Category 204</v>
          </cell>
          <cell r="F376">
            <v>0</v>
          </cell>
          <cell r="G376">
            <v>0</v>
          </cell>
        </row>
        <row r="377">
          <cell r="B377">
            <v>205</v>
          </cell>
          <cell r="C377" t="str">
            <v>Category 205</v>
          </cell>
          <cell r="F377">
            <v>0</v>
          </cell>
          <cell r="G377">
            <v>0</v>
          </cell>
        </row>
        <row r="378">
          <cell r="B378">
            <v>206</v>
          </cell>
          <cell r="C378" t="str">
            <v>Category 206</v>
          </cell>
          <cell r="F378">
            <v>0</v>
          </cell>
          <cell r="G378">
            <v>0</v>
          </cell>
        </row>
        <row r="379">
          <cell r="B379">
            <v>207</v>
          </cell>
          <cell r="C379" t="str">
            <v>Category 207</v>
          </cell>
          <cell r="F379">
            <v>0</v>
          </cell>
          <cell r="G379">
            <v>0</v>
          </cell>
        </row>
        <row r="380">
          <cell r="B380">
            <v>208</v>
          </cell>
          <cell r="C380" t="str">
            <v>Category 208</v>
          </cell>
          <cell r="F380">
            <v>0</v>
          </cell>
          <cell r="G380">
            <v>0</v>
          </cell>
        </row>
        <row r="381">
          <cell r="B381">
            <v>209</v>
          </cell>
          <cell r="C381" t="str">
            <v>Category 209</v>
          </cell>
          <cell r="F381">
            <v>0</v>
          </cell>
          <cell r="G381">
            <v>0</v>
          </cell>
        </row>
        <row r="382">
          <cell r="B382">
            <v>210</v>
          </cell>
          <cell r="C382" t="str">
            <v>Category 210</v>
          </cell>
          <cell r="F382">
            <v>0</v>
          </cell>
          <cell r="G382">
            <v>0</v>
          </cell>
        </row>
        <row r="383">
          <cell r="B383">
            <v>211</v>
          </cell>
          <cell r="C383" t="str">
            <v>Category 211</v>
          </cell>
          <cell r="F383">
            <v>0</v>
          </cell>
          <cell r="G383">
            <v>0</v>
          </cell>
        </row>
        <row r="384">
          <cell r="B384">
            <v>212</v>
          </cell>
          <cell r="C384" t="str">
            <v>Category 212</v>
          </cell>
          <cell r="F384">
            <v>0</v>
          </cell>
          <cell r="G384">
            <v>0</v>
          </cell>
        </row>
        <row r="385">
          <cell r="B385">
            <v>213</v>
          </cell>
          <cell r="C385" t="str">
            <v>Category 213</v>
          </cell>
          <cell r="F385">
            <v>0</v>
          </cell>
          <cell r="G385">
            <v>0</v>
          </cell>
        </row>
        <row r="386">
          <cell r="B386">
            <v>214</v>
          </cell>
          <cell r="C386" t="str">
            <v>Category 214</v>
          </cell>
          <cell r="F386">
            <v>0</v>
          </cell>
          <cell r="G386">
            <v>0</v>
          </cell>
        </row>
        <row r="387">
          <cell r="B387">
            <v>215</v>
          </cell>
          <cell r="C387" t="str">
            <v>Category 215</v>
          </cell>
          <cell r="F387">
            <v>0</v>
          </cell>
          <cell r="G387">
            <v>0</v>
          </cell>
        </row>
        <row r="388">
          <cell r="B388">
            <v>216</v>
          </cell>
          <cell r="C388" t="str">
            <v>Category 216</v>
          </cell>
          <cell r="F388">
            <v>0</v>
          </cell>
          <cell r="G388">
            <v>0</v>
          </cell>
        </row>
        <row r="389">
          <cell r="B389">
            <v>217</v>
          </cell>
          <cell r="C389" t="str">
            <v>Category 217</v>
          </cell>
          <cell r="F389">
            <v>0</v>
          </cell>
          <cell r="G389">
            <v>0</v>
          </cell>
        </row>
        <row r="390">
          <cell r="B390">
            <v>218</v>
          </cell>
          <cell r="C390" t="str">
            <v>Category 218</v>
          </cell>
          <cell r="F390">
            <v>0</v>
          </cell>
          <cell r="G390">
            <v>0</v>
          </cell>
        </row>
        <row r="391">
          <cell r="B391">
            <v>219</v>
          </cell>
          <cell r="C391" t="str">
            <v>Category 219</v>
          </cell>
          <cell r="F391">
            <v>0</v>
          </cell>
          <cell r="G391">
            <v>0</v>
          </cell>
        </row>
        <row r="392">
          <cell r="B392">
            <v>220</v>
          </cell>
          <cell r="C392" t="str">
            <v>Category 220</v>
          </cell>
          <cell r="F392">
            <v>0</v>
          </cell>
          <cell r="G392">
            <v>0</v>
          </cell>
        </row>
        <row r="393">
          <cell r="B393">
            <v>221</v>
          </cell>
          <cell r="C393" t="str">
            <v>Category 221</v>
          </cell>
          <cell r="F393">
            <v>0</v>
          </cell>
          <cell r="G393">
            <v>0</v>
          </cell>
        </row>
        <row r="394">
          <cell r="B394">
            <v>222</v>
          </cell>
          <cell r="C394" t="str">
            <v>Category 222</v>
          </cell>
          <cell r="F394">
            <v>0</v>
          </cell>
          <cell r="G394">
            <v>0</v>
          </cell>
        </row>
        <row r="395">
          <cell r="B395">
            <v>223</v>
          </cell>
          <cell r="C395" t="str">
            <v>Category 223</v>
          </cell>
          <cell r="F395">
            <v>0</v>
          </cell>
          <cell r="G395">
            <v>0</v>
          </cell>
        </row>
        <row r="396">
          <cell r="B396">
            <v>224</v>
          </cell>
          <cell r="C396" t="str">
            <v>Category 224</v>
          </cell>
          <cell r="F396">
            <v>0</v>
          </cell>
          <cell r="G396">
            <v>0</v>
          </cell>
        </row>
        <row r="397">
          <cell r="B397">
            <v>225</v>
          </cell>
          <cell r="C397" t="str">
            <v>Category 225</v>
          </cell>
          <cell r="F397">
            <v>0</v>
          </cell>
          <cell r="G397">
            <v>0</v>
          </cell>
        </row>
        <row r="398">
          <cell r="B398">
            <v>226</v>
          </cell>
          <cell r="C398" t="str">
            <v>Category 226</v>
          </cell>
          <cell r="F398">
            <v>0</v>
          </cell>
          <cell r="G398">
            <v>0</v>
          </cell>
        </row>
        <row r="399">
          <cell r="B399">
            <v>227</v>
          </cell>
          <cell r="C399" t="str">
            <v>Category 227</v>
          </cell>
          <cell r="F399">
            <v>0</v>
          </cell>
          <cell r="G399">
            <v>0</v>
          </cell>
        </row>
        <row r="400">
          <cell r="B400">
            <v>228</v>
          </cell>
          <cell r="C400" t="str">
            <v>Category 228</v>
          </cell>
          <cell r="F400">
            <v>0</v>
          </cell>
          <cell r="G400">
            <v>0</v>
          </cell>
        </row>
        <row r="401">
          <cell r="B401">
            <v>229</v>
          </cell>
          <cell r="C401" t="str">
            <v>Category 229</v>
          </cell>
          <cell r="F401">
            <v>0</v>
          </cell>
          <cell r="G401">
            <v>0</v>
          </cell>
        </row>
        <row r="402">
          <cell r="B402">
            <v>230</v>
          </cell>
          <cell r="C402" t="str">
            <v>Category 230</v>
          </cell>
          <cell r="F402">
            <v>0</v>
          </cell>
          <cell r="G402">
            <v>0</v>
          </cell>
        </row>
        <row r="403">
          <cell r="B403">
            <v>231</v>
          </cell>
          <cell r="C403" t="str">
            <v>Category 231</v>
          </cell>
          <cell r="F403">
            <v>0</v>
          </cell>
          <cell r="G403">
            <v>0</v>
          </cell>
        </row>
        <row r="404">
          <cell r="B404">
            <v>232</v>
          </cell>
          <cell r="C404" t="str">
            <v>Category 232</v>
          </cell>
          <cell r="F404">
            <v>0</v>
          </cell>
          <cell r="G404">
            <v>0</v>
          </cell>
        </row>
        <row r="405">
          <cell r="B405">
            <v>233</v>
          </cell>
          <cell r="C405" t="str">
            <v>Category 233</v>
          </cell>
          <cell r="F405">
            <v>0</v>
          </cell>
          <cell r="G405">
            <v>0</v>
          </cell>
        </row>
        <row r="406">
          <cell r="B406">
            <v>234</v>
          </cell>
          <cell r="C406" t="str">
            <v>Category 234</v>
          </cell>
          <cell r="F406">
            <v>0</v>
          </cell>
          <cell r="G406">
            <v>0</v>
          </cell>
        </row>
        <row r="407">
          <cell r="B407">
            <v>235</v>
          </cell>
          <cell r="C407" t="str">
            <v>Category 235</v>
          </cell>
          <cell r="F407">
            <v>0</v>
          </cell>
          <cell r="G407">
            <v>0</v>
          </cell>
        </row>
        <row r="408">
          <cell r="B408">
            <v>236</v>
          </cell>
          <cell r="C408" t="str">
            <v>Category 236</v>
          </cell>
          <cell r="F408">
            <v>0</v>
          </cell>
          <cell r="G408">
            <v>0</v>
          </cell>
        </row>
        <row r="409">
          <cell r="B409">
            <v>237</v>
          </cell>
          <cell r="C409" t="str">
            <v>Category 237</v>
          </cell>
          <cell r="F409">
            <v>0</v>
          </cell>
          <cell r="G409">
            <v>0</v>
          </cell>
        </row>
        <row r="410">
          <cell r="B410">
            <v>238</v>
          </cell>
          <cell r="C410" t="str">
            <v>Category 238</v>
          </cell>
          <cell r="F410">
            <v>0</v>
          </cell>
          <cell r="G410">
            <v>0</v>
          </cell>
        </row>
        <row r="411">
          <cell r="B411">
            <v>239</v>
          </cell>
          <cell r="C411" t="str">
            <v>Category 239</v>
          </cell>
          <cell r="F411">
            <v>0</v>
          </cell>
          <cell r="G411">
            <v>0</v>
          </cell>
        </row>
        <row r="412">
          <cell r="B412">
            <v>240</v>
          </cell>
          <cell r="C412" t="str">
            <v>Category 240</v>
          </cell>
          <cell r="F412">
            <v>0</v>
          </cell>
          <cell r="G412">
            <v>0</v>
          </cell>
        </row>
        <row r="413">
          <cell r="B413">
            <v>241</v>
          </cell>
          <cell r="C413" t="str">
            <v>Category 241</v>
          </cell>
          <cell r="F413">
            <v>0</v>
          </cell>
          <cell r="G413">
            <v>0</v>
          </cell>
        </row>
        <row r="414">
          <cell r="B414">
            <v>242</v>
          </cell>
          <cell r="C414" t="str">
            <v>Category 242</v>
          </cell>
          <cell r="F414">
            <v>0</v>
          </cell>
          <cell r="G414">
            <v>0</v>
          </cell>
        </row>
        <row r="415">
          <cell r="B415">
            <v>243</v>
          </cell>
          <cell r="C415" t="str">
            <v>Category 243</v>
          </cell>
          <cell r="F415">
            <v>0</v>
          </cell>
          <cell r="G415">
            <v>0</v>
          </cell>
        </row>
        <row r="416">
          <cell r="B416">
            <v>244</v>
          </cell>
          <cell r="C416" t="str">
            <v>Category 244</v>
          </cell>
          <cell r="F416">
            <v>0</v>
          </cell>
          <cell r="G416">
            <v>0</v>
          </cell>
        </row>
        <row r="417">
          <cell r="B417">
            <v>245</v>
          </cell>
          <cell r="C417" t="str">
            <v>Category 245</v>
          </cell>
          <cell r="F417">
            <v>0</v>
          </cell>
          <cell r="G417">
            <v>0</v>
          </cell>
        </row>
        <row r="418">
          <cell r="B418">
            <v>246</v>
          </cell>
          <cell r="C418" t="str">
            <v>Category 246</v>
          </cell>
          <cell r="F418">
            <v>0</v>
          </cell>
          <cell r="G418">
            <v>0</v>
          </cell>
        </row>
        <row r="419">
          <cell r="B419">
            <v>247</v>
          </cell>
          <cell r="C419" t="str">
            <v>Category 247</v>
          </cell>
          <cell r="F419">
            <v>0</v>
          </cell>
          <cell r="G419">
            <v>0</v>
          </cell>
        </row>
        <row r="420">
          <cell r="B420">
            <v>248</v>
          </cell>
          <cell r="C420" t="str">
            <v>Category 248</v>
          </cell>
          <cell r="F420">
            <v>0</v>
          </cell>
          <cell r="G420">
            <v>0</v>
          </cell>
        </row>
        <row r="421">
          <cell r="B421">
            <v>249</v>
          </cell>
          <cell r="C421" t="str">
            <v>Category 249</v>
          </cell>
          <cell r="F421">
            <v>0</v>
          </cell>
          <cell r="G421">
            <v>0</v>
          </cell>
        </row>
        <row r="422">
          <cell r="B422">
            <v>250</v>
          </cell>
          <cell r="C422" t="str">
            <v>Category 250</v>
          </cell>
          <cell r="F422">
            <v>0</v>
          </cell>
          <cell r="G422">
            <v>0</v>
          </cell>
        </row>
        <row r="423">
          <cell r="B423">
            <v>251</v>
          </cell>
          <cell r="C423" t="str">
            <v>Category 251</v>
          </cell>
          <cell r="F423">
            <v>0</v>
          </cell>
          <cell r="G423">
            <v>0</v>
          </cell>
        </row>
        <row r="424">
          <cell r="B424">
            <v>252</v>
          </cell>
          <cell r="C424" t="str">
            <v>Category 252</v>
          </cell>
          <cell r="F424">
            <v>0</v>
          </cell>
          <cell r="G424">
            <v>0</v>
          </cell>
        </row>
        <row r="425">
          <cell r="B425">
            <v>253</v>
          </cell>
          <cell r="C425" t="str">
            <v>Category 253</v>
          </cell>
          <cell r="F425">
            <v>0</v>
          </cell>
          <cell r="G425">
            <v>0</v>
          </cell>
        </row>
        <row r="426">
          <cell r="B426">
            <v>254</v>
          </cell>
          <cell r="C426" t="str">
            <v>Category 254</v>
          </cell>
          <cell r="F426">
            <v>0</v>
          </cell>
          <cell r="G426">
            <v>0</v>
          </cell>
        </row>
        <row r="427">
          <cell r="B427">
            <v>255</v>
          </cell>
          <cell r="C427" t="str">
            <v>Category 255</v>
          </cell>
          <cell r="F427">
            <v>0</v>
          </cell>
          <cell r="G427">
            <v>0</v>
          </cell>
        </row>
        <row r="428">
          <cell r="B428">
            <v>256</v>
          </cell>
          <cell r="C428" t="str">
            <v>Category 256</v>
          </cell>
          <cell r="F428">
            <v>0</v>
          </cell>
          <cell r="G428">
            <v>0</v>
          </cell>
        </row>
        <row r="429">
          <cell r="B429">
            <v>257</v>
          </cell>
          <cell r="C429" t="str">
            <v>Category 257</v>
          </cell>
          <cell r="F429">
            <v>0</v>
          </cell>
          <cell r="G429">
            <v>0</v>
          </cell>
        </row>
        <row r="430">
          <cell r="B430">
            <v>258</v>
          </cell>
          <cell r="C430" t="str">
            <v>Category 258</v>
          </cell>
          <cell r="F430">
            <v>0</v>
          </cell>
          <cell r="G430">
            <v>0</v>
          </cell>
        </row>
        <row r="431">
          <cell r="B431">
            <v>259</v>
          </cell>
          <cell r="C431" t="str">
            <v>Category 259</v>
          </cell>
          <cell r="F431">
            <v>0</v>
          </cell>
          <cell r="G431">
            <v>0</v>
          </cell>
        </row>
        <row r="432">
          <cell r="B432">
            <v>260</v>
          </cell>
          <cell r="C432" t="str">
            <v>Category 260</v>
          </cell>
          <cell r="F432">
            <v>0</v>
          </cell>
          <cell r="G432">
            <v>0</v>
          </cell>
        </row>
        <row r="433">
          <cell r="B433">
            <v>261</v>
          </cell>
          <cell r="C433" t="str">
            <v>Category 261</v>
          </cell>
          <cell r="F433">
            <v>0</v>
          </cell>
          <cell r="G433">
            <v>0</v>
          </cell>
        </row>
        <row r="434">
          <cell r="B434">
            <v>262</v>
          </cell>
          <cell r="C434" t="str">
            <v>Category 262</v>
          </cell>
          <cell r="F434">
            <v>0</v>
          </cell>
          <cell r="G434">
            <v>0</v>
          </cell>
        </row>
        <row r="435">
          <cell r="B435">
            <v>263</v>
          </cell>
          <cell r="C435" t="str">
            <v>Category 263</v>
          </cell>
          <cell r="F435">
            <v>0</v>
          </cell>
          <cell r="G435">
            <v>0</v>
          </cell>
        </row>
        <row r="436">
          <cell r="B436">
            <v>264</v>
          </cell>
          <cell r="C436" t="str">
            <v>Category 264</v>
          </cell>
          <cell r="F436">
            <v>0</v>
          </cell>
          <cell r="G436">
            <v>0</v>
          </cell>
        </row>
        <row r="437">
          <cell r="B437">
            <v>265</v>
          </cell>
          <cell r="C437" t="str">
            <v>Category 265</v>
          </cell>
          <cell r="F437">
            <v>0</v>
          </cell>
          <cell r="G437">
            <v>0</v>
          </cell>
        </row>
        <row r="438">
          <cell r="B438">
            <v>266</v>
          </cell>
          <cell r="C438" t="str">
            <v>Category 266</v>
          </cell>
          <cell r="F438">
            <v>0</v>
          </cell>
          <cell r="G438">
            <v>0</v>
          </cell>
        </row>
      </sheetData>
      <sheetData sheetId="9" refreshError="1"/>
      <sheetData sheetId="10">
        <row r="2">
          <cell r="C2" t="str">
            <v>ESD</v>
          </cell>
          <cell r="D2" t="str">
            <v>ESD 2</v>
          </cell>
          <cell r="E2" t="str">
            <v>MTSC NT</v>
          </cell>
          <cell r="F2" t="str">
            <v>MTSC ET</v>
          </cell>
          <cell r="G2" t="str">
            <v>SYMM</v>
          </cell>
          <cell r="H2" t="str">
            <v>SERV</v>
          </cell>
          <cell r="I2" t="str">
            <v>Tech System OFF</v>
          </cell>
          <cell r="J2" t="str">
            <v>Tech</v>
          </cell>
          <cell r="K2" t="str">
            <v>MRSL</v>
          </cell>
          <cell r="L2" t="str">
            <v>IS</v>
          </cell>
          <cell r="M2" t="str">
            <v>Colombia</v>
          </cell>
          <cell r="N2" t="str">
            <v>FSSL</v>
          </cell>
          <cell r="O2" t="str">
            <v>IS-MGS</v>
          </cell>
          <cell r="P2" t="str">
            <v>SSD</v>
          </cell>
          <cell r="Q2" t="str">
            <v>MCCSS</v>
          </cell>
          <cell r="R2" t="str">
            <v>IST</v>
          </cell>
          <cell r="S2" t="str">
            <v>MISSION SUPPT Tier I</v>
          </cell>
          <cell r="T2" t="str">
            <v>MISSION SUPPT Tier II</v>
          </cell>
          <cell r="U2" t="str">
            <v>e-IC</v>
          </cell>
          <cell r="V2" t="str">
            <v>e-IC MGS</v>
          </cell>
          <cell r="W2" t="str">
            <v>SMA MAIN</v>
          </cell>
          <cell r="X2" t="str">
            <v>SMA MAIN PT</v>
          </cell>
          <cell r="Y2" t="str">
            <v>SMA MAIN Special</v>
          </cell>
          <cell r="Z2" t="str">
            <v>CFIAG</v>
          </cell>
          <cell r="AA2" t="str">
            <v>MASI Special</v>
          </cell>
          <cell r="AB2" t="str">
            <v>MASI</v>
          </cell>
          <cell r="AC2" t="str">
            <v>MASI P/T</v>
          </cell>
          <cell r="AD2" t="str">
            <v>CFIAG P/T</v>
          </cell>
          <cell r="AE2" t="str">
            <v>Remote</v>
          </cell>
          <cell r="AF2" t="str">
            <v>COMM</v>
          </cell>
          <cell r="AG2" t="str">
            <v>ADV PRGMS</v>
          </cell>
          <cell r="AH2" t="str">
            <v>NEW</v>
          </cell>
        </row>
        <row r="3">
          <cell r="B3">
            <v>2009</v>
          </cell>
        </row>
        <row r="4">
          <cell r="A4" t="str">
            <v>2009PRB</v>
          </cell>
          <cell r="B4" t="str">
            <v>PRB</v>
          </cell>
          <cell r="C4">
            <v>0.35099999999999998</v>
          </cell>
          <cell r="D4">
            <v>0.35099999999999998</v>
          </cell>
          <cell r="E4">
            <v>0.35099999999999998</v>
          </cell>
          <cell r="F4">
            <v>0.35099999999999998</v>
          </cell>
          <cell r="G4">
            <v>0.45</v>
          </cell>
          <cell r="H4">
            <v>0.38</v>
          </cell>
          <cell r="I4">
            <v>0.44</v>
          </cell>
          <cell r="J4">
            <v>0.44</v>
          </cell>
          <cell r="K4">
            <v>0.432</v>
          </cell>
          <cell r="L4">
            <v>0.31240000000000001</v>
          </cell>
          <cell r="M4">
            <v>0.8</v>
          </cell>
          <cell r="N4">
            <v>0.4</v>
          </cell>
          <cell r="O4">
            <v>0.35</v>
          </cell>
          <cell r="P4">
            <v>0.43</v>
          </cell>
          <cell r="Q4">
            <v>0.38</v>
          </cell>
          <cell r="R4">
            <v>0.44</v>
          </cell>
          <cell r="S4">
            <v>0.44</v>
          </cell>
          <cell r="T4">
            <v>0.35499999999999998</v>
          </cell>
          <cell r="U4">
            <v>0.44</v>
          </cell>
          <cell r="V4">
            <v>0.45</v>
          </cell>
          <cell r="W4">
            <v>0.38750000000000001</v>
          </cell>
          <cell r="X4">
            <v>0.25</v>
          </cell>
          <cell r="Y4">
            <v>0.42249999999999999</v>
          </cell>
          <cell r="Z4">
            <v>0.42249999999999999</v>
          </cell>
          <cell r="AA4">
            <v>0.42249999999999999</v>
          </cell>
          <cell r="AB4">
            <v>0.38750000000000001</v>
          </cell>
          <cell r="AC4">
            <v>0.25</v>
          </cell>
          <cell r="AD4">
            <v>0.25</v>
          </cell>
          <cell r="AE4">
            <v>0.32</v>
          </cell>
          <cell r="AF4">
            <v>0.42249999999999999</v>
          </cell>
          <cell r="AG4">
            <v>0.37409999999999999</v>
          </cell>
          <cell r="AH4">
            <v>0</v>
          </cell>
        </row>
        <row r="5">
          <cell r="A5" t="str">
            <v>2009Overhead - Offsite</v>
          </cell>
          <cell r="B5" t="str">
            <v>Overhead - Offsite</v>
          </cell>
          <cell r="C5">
            <v>0.17249999999999999</v>
          </cell>
          <cell r="D5">
            <v>6.5000000000000002E-2</v>
          </cell>
          <cell r="E5">
            <v>0.19500000000000001</v>
          </cell>
          <cell r="F5">
            <v>0.26500000000000001</v>
          </cell>
          <cell r="G5">
            <v>0.23</v>
          </cell>
          <cell r="H5">
            <v>0.11650000000000001</v>
          </cell>
          <cell r="I5">
            <v>0.22090000000000001</v>
          </cell>
          <cell r="J5">
            <v>0.3584</v>
          </cell>
          <cell r="K5">
            <v>0.38800000000000001</v>
          </cell>
          <cell r="L5">
            <v>0.1988</v>
          </cell>
          <cell r="M5" t="str">
            <v>n/a</v>
          </cell>
          <cell r="N5">
            <v>0.65</v>
          </cell>
          <cell r="O5" t="str">
            <v>n/a</v>
          </cell>
          <cell r="P5">
            <v>0.32300000000000001</v>
          </cell>
          <cell r="Q5">
            <v>0.12</v>
          </cell>
          <cell r="R5">
            <v>0.16</v>
          </cell>
          <cell r="S5">
            <v>0.23</v>
          </cell>
          <cell r="T5">
            <v>0.23</v>
          </cell>
          <cell r="U5">
            <v>0.25</v>
          </cell>
          <cell r="V5" t="str">
            <v>n/a</v>
          </cell>
          <cell r="W5">
            <v>0.495</v>
          </cell>
          <cell r="X5">
            <v>0.495</v>
          </cell>
          <cell r="Y5">
            <v>0.495</v>
          </cell>
          <cell r="Z5">
            <v>0.495</v>
          </cell>
          <cell r="AA5">
            <v>0.495</v>
          </cell>
          <cell r="AB5">
            <v>0.495</v>
          </cell>
          <cell r="AC5">
            <v>0.495</v>
          </cell>
          <cell r="AD5">
            <v>0.495</v>
          </cell>
          <cell r="AE5" t="str">
            <v>n/a</v>
          </cell>
          <cell r="AF5">
            <v>0.495</v>
          </cell>
          <cell r="AG5">
            <v>0.3</v>
          </cell>
          <cell r="AH5">
            <v>0</v>
          </cell>
        </row>
        <row r="6">
          <cell r="A6" t="str">
            <v>2009Overhead - Onsite</v>
          </cell>
          <cell r="B6" t="str">
            <v>Overhead - Onsite</v>
          </cell>
          <cell r="C6">
            <v>3.1E-2</v>
          </cell>
          <cell r="D6">
            <v>3.1E-2</v>
          </cell>
          <cell r="E6">
            <v>2.5499999999999998E-2</v>
          </cell>
          <cell r="F6">
            <v>2.5499999999999998E-2</v>
          </cell>
          <cell r="G6">
            <v>0.06</v>
          </cell>
          <cell r="H6">
            <v>1.7899999999999999E-2</v>
          </cell>
          <cell r="I6" t="str">
            <v>n/a</v>
          </cell>
          <cell r="J6">
            <v>6.1400000000000003E-2</v>
          </cell>
          <cell r="K6" t="str">
            <v>n/a</v>
          </cell>
          <cell r="L6">
            <v>2.23E-2</v>
          </cell>
          <cell r="M6">
            <v>0.4</v>
          </cell>
          <cell r="N6" t="str">
            <v>n/a</v>
          </cell>
          <cell r="O6">
            <v>0.2</v>
          </cell>
          <cell r="P6">
            <v>9.2999999999999999E-2</v>
          </cell>
          <cell r="Q6">
            <v>7.8E-2</v>
          </cell>
          <cell r="R6">
            <v>0.16</v>
          </cell>
          <cell r="S6">
            <v>0.06</v>
          </cell>
          <cell r="T6">
            <v>0.06</v>
          </cell>
          <cell r="U6">
            <v>2.6200000000000001E-2</v>
          </cell>
          <cell r="V6">
            <v>0.17499999999999999</v>
          </cell>
          <cell r="W6">
            <v>8.5000000000000006E-2</v>
          </cell>
          <cell r="X6">
            <v>8.5000000000000006E-2</v>
          </cell>
          <cell r="Y6">
            <v>8.5000000000000006E-2</v>
          </cell>
          <cell r="Z6">
            <v>0.1825</v>
          </cell>
          <cell r="AA6">
            <v>6.5000000000000002E-2</v>
          </cell>
          <cell r="AB6">
            <v>6.5000000000000002E-2</v>
          </cell>
          <cell r="AC6">
            <v>6.5000000000000002E-2</v>
          </cell>
          <cell r="AD6">
            <v>0.1825</v>
          </cell>
          <cell r="AE6">
            <v>6.5000000000000002E-2</v>
          </cell>
          <cell r="AF6" t="str">
            <v>n/a</v>
          </cell>
          <cell r="AG6">
            <v>6.5000000000000002E-2</v>
          </cell>
          <cell r="AH6">
            <v>0</v>
          </cell>
        </row>
        <row r="7">
          <cell r="A7" t="str">
            <v>2009Material Handling</v>
          </cell>
          <cell r="B7" t="str">
            <v>Material Handling</v>
          </cell>
          <cell r="C7">
            <v>3.1E-2</v>
          </cell>
          <cell r="D7">
            <v>3.1E-2</v>
          </cell>
          <cell r="E7">
            <v>3.1E-2</v>
          </cell>
          <cell r="F7">
            <v>3.1E-2</v>
          </cell>
          <cell r="G7">
            <v>0.14000000000000001</v>
          </cell>
          <cell r="H7">
            <v>2.5000000000000001E-2</v>
          </cell>
          <cell r="I7">
            <v>4.3499999999999997E-2</v>
          </cell>
          <cell r="J7">
            <v>4.3499999999999997E-2</v>
          </cell>
          <cell r="K7">
            <v>2.5000000000000001E-2</v>
          </cell>
          <cell r="L7">
            <v>3.1699999999999999E-2</v>
          </cell>
          <cell r="M7">
            <v>0.03</v>
          </cell>
          <cell r="N7">
            <v>0.03</v>
          </cell>
          <cell r="O7">
            <v>0.03</v>
          </cell>
          <cell r="P7">
            <v>4.9700000000000001E-2</v>
          </cell>
          <cell r="Q7">
            <v>0.06</v>
          </cell>
          <cell r="R7">
            <v>0</v>
          </cell>
          <cell r="S7">
            <v>3.6999999999999998E-2</v>
          </cell>
          <cell r="T7">
            <v>3.6999999999999998E-2</v>
          </cell>
          <cell r="U7">
            <v>3.8199999999999998E-2</v>
          </cell>
          <cell r="V7">
            <v>3.8199999999999998E-2</v>
          </cell>
          <cell r="W7">
            <v>4.2999999999999997E-2</v>
          </cell>
          <cell r="X7">
            <v>4.2999999999999997E-2</v>
          </cell>
          <cell r="Y7">
            <v>4.2999999999999997E-2</v>
          </cell>
          <cell r="Z7">
            <v>4.2999999999999997E-2</v>
          </cell>
          <cell r="AA7">
            <v>4.2999999999999997E-2</v>
          </cell>
          <cell r="AB7">
            <v>4.2999999999999997E-2</v>
          </cell>
          <cell r="AC7">
            <v>4.2999999999999997E-2</v>
          </cell>
          <cell r="AD7">
            <v>4.2999999999999997E-2</v>
          </cell>
          <cell r="AE7">
            <v>4.2999999999999997E-2</v>
          </cell>
          <cell r="AF7">
            <v>4.2999999999999997E-2</v>
          </cell>
          <cell r="AG7">
            <v>0.04</v>
          </cell>
          <cell r="AH7">
            <v>0</v>
          </cell>
        </row>
        <row r="8">
          <cell r="A8" t="str">
            <v>2009G&amp;A</v>
          </cell>
          <cell r="B8" t="str">
            <v>G&amp;A</v>
          </cell>
          <cell r="C8">
            <v>0.10199999999999999</v>
          </cell>
          <cell r="D8">
            <v>0.10199999999999999</v>
          </cell>
          <cell r="E8">
            <v>0.125</v>
          </cell>
          <cell r="F8">
            <v>0.125</v>
          </cell>
          <cell r="G8">
            <v>0.14000000000000001</v>
          </cell>
          <cell r="H8">
            <v>9.7799999999999998E-2</v>
          </cell>
          <cell r="I8">
            <v>0.15379999999999999</v>
          </cell>
          <cell r="J8">
            <v>0.15379999999999999</v>
          </cell>
          <cell r="K8">
            <v>0.19500000000000001</v>
          </cell>
          <cell r="L8">
            <v>9.7500000000000003E-2</v>
          </cell>
          <cell r="M8">
            <v>9.7500000000000003E-2</v>
          </cell>
          <cell r="N8">
            <v>9.7500000000000003E-2</v>
          </cell>
          <cell r="O8">
            <v>9.7500000000000003E-2</v>
          </cell>
          <cell r="P8">
            <v>0.16</v>
          </cell>
          <cell r="Q8">
            <v>0.1769</v>
          </cell>
          <cell r="R8">
            <v>0.14000000000000001</v>
          </cell>
          <cell r="S8">
            <v>0.15</v>
          </cell>
          <cell r="T8">
            <v>0.15</v>
          </cell>
          <cell r="U8">
            <v>0.18290000000000001</v>
          </cell>
          <cell r="V8">
            <v>0.18290000000000001</v>
          </cell>
          <cell r="W8">
            <v>0.13750000000000001</v>
          </cell>
          <cell r="X8">
            <v>0.13750000000000001</v>
          </cell>
          <cell r="Y8">
            <v>0.13750000000000001</v>
          </cell>
          <cell r="Z8">
            <v>0.13750000000000001</v>
          </cell>
          <cell r="AA8">
            <v>0.13750000000000001</v>
          </cell>
          <cell r="AB8">
            <v>0.13750000000000001</v>
          </cell>
          <cell r="AC8">
            <v>0.13750000000000001</v>
          </cell>
          <cell r="AD8">
            <v>0.13750000000000001</v>
          </cell>
          <cell r="AE8">
            <v>0.13750000000000001</v>
          </cell>
          <cell r="AF8">
            <v>0.17499999999999999</v>
          </cell>
          <cell r="AG8">
            <v>0.14149999999999999</v>
          </cell>
          <cell r="AH8">
            <v>0</v>
          </cell>
        </row>
        <row r="9">
          <cell r="B9" t="str">
            <v>Wrap - On</v>
          </cell>
          <cell r="C9">
            <v>1.534954862</v>
          </cell>
          <cell r="D9">
            <v>1.534954862</v>
          </cell>
          <cell r="E9">
            <v>1.5586318125000003</v>
          </cell>
          <cell r="F9">
            <v>1.5586318125000003</v>
          </cell>
          <cell r="G9">
            <v>1.7521800000000001</v>
          </cell>
          <cell r="H9">
            <v>1.5420818555999998</v>
          </cell>
          <cell r="I9" t="str">
            <v>n/a</v>
          </cell>
          <cell r="J9">
            <v>1.7634863807999996</v>
          </cell>
          <cell r="K9" t="str">
            <v>n/a</v>
          </cell>
          <cell r="L9">
            <v>1.4724790056999999</v>
          </cell>
          <cell r="M9">
            <v>2.7656999999999998</v>
          </cell>
          <cell r="N9" t="str">
            <v>n/a</v>
          </cell>
          <cell r="O9">
            <v>1.7779499999999999</v>
          </cell>
          <cell r="P9">
            <v>1.8130683999999997</v>
          </cell>
          <cell r="Q9">
            <v>1.7508035160000002</v>
          </cell>
          <cell r="R9">
            <v>1.9042560000000002</v>
          </cell>
          <cell r="S9">
            <v>1.7553599999999998</v>
          </cell>
          <cell r="T9">
            <v>1.651745</v>
          </cell>
          <cell r="U9">
            <v>1.7480044511999999</v>
          </cell>
          <cell r="V9">
            <v>2.0153658750000001</v>
          </cell>
          <cell r="W9">
            <v>1.71243515625</v>
          </cell>
          <cell r="X9">
            <v>1.542734375</v>
          </cell>
          <cell r="Y9">
            <v>1.7556317187499997</v>
          </cell>
          <cell r="Z9">
            <v>1.9133958593749998</v>
          </cell>
          <cell r="AA9">
            <v>1.7232698437499996</v>
          </cell>
          <cell r="AB9">
            <v>1.6808695312499997</v>
          </cell>
          <cell r="AC9">
            <v>1.5142968749999997</v>
          </cell>
          <cell r="AD9">
            <v>1.6813671875</v>
          </cell>
          <cell r="AE9">
            <v>1.5990974999999998</v>
          </cell>
          <cell r="AF9" t="str">
            <v>n/a</v>
          </cell>
          <cell r="AG9">
            <v>1.6704899347499997</v>
          </cell>
          <cell r="AH9">
            <v>1</v>
          </cell>
        </row>
        <row r="10">
          <cell r="B10" t="str">
            <v>Wrap - Off</v>
          </cell>
          <cell r="C10">
            <v>1.7456203449999999</v>
          </cell>
          <cell r="D10">
            <v>1.5855741300000001</v>
          </cell>
          <cell r="E10">
            <v>1.8162506250000001</v>
          </cell>
          <cell r="F10">
            <v>1.9226418750000003</v>
          </cell>
          <cell r="G10">
            <v>2.0331900000000003</v>
          </cell>
          <cell r="H10">
            <v>1.6914573059999998</v>
          </cell>
          <cell r="I10">
            <v>2.0284911648000001</v>
          </cell>
          <cell r="J10">
            <v>2.2569435647999998</v>
          </cell>
          <cell r="K10">
            <v>2.3752011199999998</v>
          </cell>
          <cell r="L10">
            <v>1.7267023692000001</v>
          </cell>
          <cell r="M10" t="str">
            <v>n/a</v>
          </cell>
          <cell r="N10">
            <v>2.5352249999999992</v>
          </cell>
          <cell r="O10" t="str">
            <v>n/a</v>
          </cell>
          <cell r="P10">
            <v>2.1945923999999999</v>
          </cell>
          <cell r="Q10">
            <v>1.8190166400000003</v>
          </cell>
          <cell r="R10">
            <v>1.9042560000000002</v>
          </cell>
          <cell r="S10">
            <v>2.0368799999999996</v>
          </cell>
          <cell r="T10">
            <v>1.9166474999999998</v>
          </cell>
          <cell r="U10">
            <v>2.1292200000000001</v>
          </cell>
          <cell r="V10" t="str">
            <v>n/a</v>
          </cell>
          <cell r="W10">
            <v>2.3595304687500001</v>
          </cell>
          <cell r="X10">
            <v>2.1257031250000002</v>
          </cell>
          <cell r="Y10">
            <v>2.41905015625</v>
          </cell>
          <cell r="Z10">
            <v>2.41905015625</v>
          </cell>
          <cell r="AA10">
            <v>2.41905015625</v>
          </cell>
          <cell r="AB10">
            <v>2.3595304687500001</v>
          </cell>
          <cell r="AC10">
            <v>2.1257031250000002</v>
          </cell>
          <cell r="AD10">
            <v>2.1257031250000002</v>
          </cell>
          <cell r="AE10" t="str">
            <v>n/a</v>
          </cell>
          <cell r="AF10">
            <v>2.4987990625000003</v>
          </cell>
          <cell r="AG10">
            <v>2.0390956949999999</v>
          </cell>
          <cell r="AH10">
            <v>1</v>
          </cell>
        </row>
        <row r="11">
          <cell r="B11">
            <v>2010</v>
          </cell>
        </row>
        <row r="12">
          <cell r="A12" t="str">
            <v>2010PRB</v>
          </cell>
          <cell r="B12" t="str">
            <v>PRB</v>
          </cell>
          <cell r="C12">
            <v>0.35099999999999998</v>
          </cell>
          <cell r="D12">
            <v>0.35099999999999998</v>
          </cell>
          <cell r="E12">
            <v>0.35099999999999998</v>
          </cell>
          <cell r="F12">
            <v>0.35099999999999998</v>
          </cell>
          <cell r="G12">
            <v>0.45</v>
          </cell>
          <cell r="H12">
            <v>0.38</v>
          </cell>
          <cell r="I12">
            <v>0.44</v>
          </cell>
          <cell r="J12">
            <v>0.44</v>
          </cell>
          <cell r="K12">
            <v>0.432</v>
          </cell>
          <cell r="L12">
            <v>0.31240000000000001</v>
          </cell>
          <cell r="M12">
            <v>0.8</v>
          </cell>
          <cell r="N12">
            <v>0.4</v>
          </cell>
          <cell r="O12">
            <v>0.35</v>
          </cell>
          <cell r="P12">
            <v>0.43</v>
          </cell>
          <cell r="Q12">
            <v>0.38</v>
          </cell>
          <cell r="R12">
            <v>0.43</v>
          </cell>
          <cell r="S12">
            <v>0.43</v>
          </cell>
          <cell r="T12">
            <v>0.35499999999999998</v>
          </cell>
          <cell r="U12">
            <v>0.43</v>
          </cell>
          <cell r="V12">
            <v>0.45</v>
          </cell>
          <cell r="W12">
            <v>0.38750000000000001</v>
          </cell>
          <cell r="X12">
            <v>0.25</v>
          </cell>
          <cell r="Y12">
            <v>0.42249999999999999</v>
          </cell>
          <cell r="Z12">
            <v>0.42249999999999999</v>
          </cell>
          <cell r="AA12">
            <v>0.42249999999999999</v>
          </cell>
          <cell r="AB12">
            <v>0.38750000000000001</v>
          </cell>
          <cell r="AC12">
            <v>0.25</v>
          </cell>
          <cell r="AD12">
            <v>0.25</v>
          </cell>
          <cell r="AE12">
            <v>0.32</v>
          </cell>
          <cell r="AF12">
            <v>0.42249999999999999</v>
          </cell>
          <cell r="AG12">
            <v>0.37409999999999999</v>
          </cell>
          <cell r="AH12">
            <v>0</v>
          </cell>
        </row>
        <row r="13">
          <cell r="A13" t="str">
            <v>2010Overhead - Offsite</v>
          </cell>
          <cell r="B13" t="str">
            <v>Overhead - Offsite</v>
          </cell>
          <cell r="C13">
            <v>0.17249999999999999</v>
          </cell>
          <cell r="D13">
            <v>6.5000000000000002E-2</v>
          </cell>
          <cell r="E13">
            <v>0.19500000000000001</v>
          </cell>
          <cell r="F13">
            <v>0.26500000000000001</v>
          </cell>
          <cell r="G13">
            <v>0.23</v>
          </cell>
          <cell r="H13">
            <v>0.11650000000000001</v>
          </cell>
          <cell r="I13">
            <v>0.22090000000000001</v>
          </cell>
          <cell r="J13">
            <v>0.3584</v>
          </cell>
          <cell r="K13">
            <v>0.38800000000000001</v>
          </cell>
          <cell r="L13">
            <v>0.1988</v>
          </cell>
          <cell r="M13" t="str">
            <v>n/a</v>
          </cell>
          <cell r="N13">
            <v>0.65</v>
          </cell>
          <cell r="O13" t="str">
            <v>n/a</v>
          </cell>
          <cell r="P13">
            <v>0.32300000000000001</v>
          </cell>
          <cell r="Q13">
            <v>0.12</v>
          </cell>
          <cell r="R13">
            <v>0.15079999999999999</v>
          </cell>
          <cell r="S13">
            <v>0.21990000000000001</v>
          </cell>
          <cell r="T13">
            <v>0.21990000000000001</v>
          </cell>
          <cell r="U13">
            <v>0.24099999999999999</v>
          </cell>
          <cell r="V13" t="str">
            <v>n/a</v>
          </cell>
          <cell r="W13">
            <v>0.495</v>
          </cell>
          <cell r="X13">
            <v>0.495</v>
          </cell>
          <cell r="Y13">
            <v>0.495</v>
          </cell>
          <cell r="Z13">
            <v>0.495</v>
          </cell>
          <cell r="AA13">
            <v>0.495</v>
          </cell>
          <cell r="AB13">
            <v>0.495</v>
          </cell>
          <cell r="AC13">
            <v>0.495</v>
          </cell>
          <cell r="AD13">
            <v>0.495</v>
          </cell>
          <cell r="AE13" t="str">
            <v>n/a</v>
          </cell>
          <cell r="AF13">
            <v>0.495</v>
          </cell>
          <cell r="AG13">
            <v>0.3</v>
          </cell>
          <cell r="AH13">
            <v>0</v>
          </cell>
        </row>
        <row r="14">
          <cell r="A14" t="str">
            <v>2010Overhead - Onsite</v>
          </cell>
          <cell r="B14" t="str">
            <v>Overhead - Onsite</v>
          </cell>
          <cell r="C14">
            <v>3.1E-2</v>
          </cell>
          <cell r="D14">
            <v>3.1E-2</v>
          </cell>
          <cell r="E14">
            <v>2.5499999999999998E-2</v>
          </cell>
          <cell r="F14">
            <v>2.5499999999999998E-2</v>
          </cell>
          <cell r="G14">
            <v>0.06</v>
          </cell>
          <cell r="H14">
            <v>1.7899999999999999E-2</v>
          </cell>
          <cell r="I14" t="str">
            <v>n/a</v>
          </cell>
          <cell r="J14">
            <v>6.1400000000000003E-2</v>
          </cell>
          <cell r="K14" t="str">
            <v>n/a</v>
          </cell>
          <cell r="L14">
            <v>2.23E-2</v>
          </cell>
          <cell r="M14">
            <v>0.4</v>
          </cell>
          <cell r="N14" t="str">
            <v>n/a</v>
          </cell>
          <cell r="O14">
            <v>0.2</v>
          </cell>
          <cell r="P14">
            <v>9.2999999999999999E-2</v>
          </cell>
          <cell r="Q14">
            <v>7.8E-2</v>
          </cell>
          <cell r="R14">
            <v>0.15079999999999999</v>
          </cell>
          <cell r="S14">
            <v>0.05</v>
          </cell>
          <cell r="T14">
            <v>0.05</v>
          </cell>
          <cell r="U14">
            <v>1.6500000000000001E-2</v>
          </cell>
          <cell r="V14">
            <v>0.17499999999999999</v>
          </cell>
          <cell r="W14">
            <v>8.5000000000000006E-2</v>
          </cell>
          <cell r="X14">
            <v>8.5000000000000006E-2</v>
          </cell>
          <cell r="Y14">
            <v>8.5000000000000006E-2</v>
          </cell>
          <cell r="Z14">
            <v>0.1825</v>
          </cell>
          <cell r="AA14">
            <v>6.5000000000000002E-2</v>
          </cell>
          <cell r="AB14">
            <v>6.5000000000000002E-2</v>
          </cell>
          <cell r="AC14">
            <v>6.5000000000000002E-2</v>
          </cell>
          <cell r="AD14">
            <v>0.1825</v>
          </cell>
          <cell r="AE14">
            <v>6.5000000000000002E-2</v>
          </cell>
          <cell r="AF14" t="str">
            <v>n/a</v>
          </cell>
          <cell r="AG14">
            <v>6.5000000000000002E-2</v>
          </cell>
          <cell r="AH14">
            <v>0</v>
          </cell>
        </row>
        <row r="15">
          <cell r="A15" t="str">
            <v>2010Material Handling</v>
          </cell>
          <cell r="B15" t="str">
            <v>Material Handling</v>
          </cell>
          <cell r="C15">
            <v>3.0300000000000001E-2</v>
          </cell>
          <cell r="D15">
            <v>3.0300000000000001E-2</v>
          </cell>
          <cell r="E15">
            <v>2.98E-2</v>
          </cell>
          <cell r="F15">
            <v>2.98E-2</v>
          </cell>
          <cell r="G15">
            <v>0.13739999999999999</v>
          </cell>
          <cell r="H15">
            <v>2.4299999999999999E-2</v>
          </cell>
          <cell r="I15">
            <v>4.2999999999999997E-2</v>
          </cell>
          <cell r="J15">
            <v>4.2999999999999997E-2</v>
          </cell>
          <cell r="K15">
            <v>2.3699999999999999E-2</v>
          </cell>
          <cell r="L15">
            <v>3.0700000000000002E-2</v>
          </cell>
          <cell r="M15">
            <v>2.8899999999999999E-2</v>
          </cell>
          <cell r="N15">
            <v>2.8899999999999999E-2</v>
          </cell>
          <cell r="O15">
            <v>2.8899999999999999E-2</v>
          </cell>
          <cell r="P15">
            <v>4.8500000000000001E-2</v>
          </cell>
          <cell r="Q15">
            <v>5.9499999999999997E-2</v>
          </cell>
          <cell r="R15">
            <v>0</v>
          </cell>
          <cell r="S15">
            <v>3.6200000000000003E-2</v>
          </cell>
          <cell r="T15">
            <v>3.6200000000000003E-2</v>
          </cell>
          <cell r="U15">
            <v>3.7199999999999997E-2</v>
          </cell>
          <cell r="V15">
            <v>3.7199999999999997E-2</v>
          </cell>
          <cell r="W15">
            <v>4.1799999999999997E-2</v>
          </cell>
          <cell r="X15">
            <v>4.1799999999999997E-2</v>
          </cell>
          <cell r="Y15">
            <v>4.1799999999999997E-2</v>
          </cell>
          <cell r="Z15">
            <v>4.1799999999999997E-2</v>
          </cell>
          <cell r="AA15">
            <v>4.1799999999999997E-2</v>
          </cell>
          <cell r="AB15">
            <v>4.1799999999999997E-2</v>
          </cell>
          <cell r="AC15">
            <v>4.1799999999999997E-2</v>
          </cell>
          <cell r="AD15">
            <v>4.1799999999999997E-2</v>
          </cell>
          <cell r="AE15">
            <v>4.1799999999999997E-2</v>
          </cell>
          <cell r="AF15">
            <v>4.1799999999999997E-2</v>
          </cell>
          <cell r="AG15">
            <v>3.8800000000000001E-2</v>
          </cell>
          <cell r="AH15">
            <v>0</v>
          </cell>
        </row>
        <row r="16">
          <cell r="A16" t="str">
            <v>2010G&amp;A</v>
          </cell>
          <cell r="B16" t="str">
            <v>G&amp;A</v>
          </cell>
          <cell r="C16">
            <v>9.9400000000000002E-2</v>
          </cell>
          <cell r="D16">
            <v>9.9400000000000002E-2</v>
          </cell>
          <cell r="E16">
            <v>0.12239999999999999</v>
          </cell>
          <cell r="F16">
            <v>0.12239999999999999</v>
          </cell>
          <cell r="G16">
            <v>0.13739999999999999</v>
          </cell>
          <cell r="H16">
            <v>9.4500000000000001E-2</v>
          </cell>
          <cell r="I16">
            <v>0.15110000000000001</v>
          </cell>
          <cell r="J16">
            <v>0.15110000000000001</v>
          </cell>
          <cell r="K16">
            <v>0.19209999999999999</v>
          </cell>
          <cell r="L16">
            <v>9.4700000000000006E-2</v>
          </cell>
          <cell r="M16">
            <v>9.4700000000000006E-2</v>
          </cell>
          <cell r="N16">
            <v>9.4700000000000006E-2</v>
          </cell>
          <cell r="O16">
            <v>9.4700000000000006E-2</v>
          </cell>
          <cell r="P16">
            <v>0.15590000000000001</v>
          </cell>
          <cell r="Q16">
            <v>0.1744</v>
          </cell>
          <cell r="R16">
            <v>0.13819999999999999</v>
          </cell>
          <cell r="S16">
            <v>0.13300000000000001</v>
          </cell>
          <cell r="T16">
            <v>0.13300000000000001</v>
          </cell>
          <cell r="U16">
            <v>0.18379999999999999</v>
          </cell>
          <cell r="V16">
            <v>0.18379999999999999</v>
          </cell>
          <cell r="W16">
            <v>0.13469999999999999</v>
          </cell>
          <cell r="X16">
            <v>0.13469999999999999</v>
          </cell>
          <cell r="Y16">
            <v>0.13469999999999999</v>
          </cell>
          <cell r="Z16">
            <v>0.13469999999999999</v>
          </cell>
          <cell r="AA16">
            <v>0.13469999999999999</v>
          </cell>
          <cell r="AB16">
            <v>0.13469999999999999</v>
          </cell>
          <cell r="AC16">
            <v>0.13469999999999999</v>
          </cell>
          <cell r="AD16">
            <v>0.13469999999999999</v>
          </cell>
          <cell r="AE16">
            <v>0.13469999999999999</v>
          </cell>
          <cell r="AF16">
            <v>0.17219999999999999</v>
          </cell>
          <cell r="AG16">
            <v>0.13819999999999999</v>
          </cell>
          <cell r="AH16">
            <v>0</v>
          </cell>
        </row>
        <row r="17">
          <cell r="B17" t="str">
            <v>Wrap - On</v>
          </cell>
          <cell r="C17">
            <v>1.5313333713999997</v>
          </cell>
          <cell r="D17">
            <v>1.5313333713999997</v>
          </cell>
          <cell r="E17">
            <v>1.5550296412000002</v>
          </cell>
          <cell r="F17">
            <v>1.5550296412000002</v>
          </cell>
          <cell r="G17">
            <v>1.7481837999999998</v>
          </cell>
          <cell r="H17">
            <v>1.5374463389999999</v>
          </cell>
          <cell r="I17" t="str">
            <v>n/a</v>
          </cell>
          <cell r="J17">
            <v>1.7593596575999997</v>
          </cell>
          <cell r="K17" t="str">
            <v>n/a</v>
          </cell>
          <cell r="L17">
            <v>1.4687223394439999</v>
          </cell>
          <cell r="M17">
            <v>2.7586439999999999</v>
          </cell>
          <cell r="N17" t="str">
            <v>n/a</v>
          </cell>
          <cell r="O17">
            <v>1.773414</v>
          </cell>
          <cell r="P17">
            <v>1.8066601409999998</v>
          </cell>
          <cell r="Q17">
            <v>1.7470844159999999</v>
          </cell>
          <cell r="R17">
            <v>1.8730720007999997</v>
          </cell>
          <cell r="S17">
            <v>1.7011995</v>
          </cell>
          <cell r="T17">
            <v>1.61197575</v>
          </cell>
          <cell r="U17">
            <v>1.720765761</v>
          </cell>
          <cell r="V17">
            <v>2.0168992500000003</v>
          </cell>
          <cell r="W17">
            <v>1.7082199312499999</v>
          </cell>
          <cell r="X17">
            <v>1.5389368750000001</v>
          </cell>
          <cell r="Y17">
            <v>1.7513101637499999</v>
          </cell>
          <cell r="Z17">
            <v>1.9086859618750001</v>
          </cell>
          <cell r="AA17">
            <v>1.7190279487499998</v>
          </cell>
          <cell r="AB17">
            <v>1.67673200625</v>
          </cell>
          <cell r="AC17">
            <v>1.5105693749999998</v>
          </cell>
          <cell r="AD17">
            <v>1.6772284375000002</v>
          </cell>
          <cell r="AE17">
            <v>1.59516126</v>
          </cell>
          <cell r="AF17" t="str">
            <v>n/a</v>
          </cell>
          <cell r="AG17">
            <v>1.6656606602999997</v>
          </cell>
          <cell r="AH17">
            <v>1</v>
          </cell>
        </row>
        <row r="18">
          <cell r="B18" t="str">
            <v>Wrap - Off</v>
          </cell>
          <cell r="C18">
            <v>1.7415018214999998</v>
          </cell>
          <cell r="D18">
            <v>1.581833211</v>
          </cell>
          <cell r="E18">
            <v>1.8120530680000002</v>
          </cell>
          <cell r="F18">
            <v>1.9181984360000004</v>
          </cell>
          <cell r="G18">
            <v>2.0285528999999998</v>
          </cell>
          <cell r="H18">
            <v>1.686372765</v>
          </cell>
          <cell r="I18">
            <v>2.0237443056000002</v>
          </cell>
          <cell r="J18">
            <v>2.2516621055999999</v>
          </cell>
          <cell r="K18">
            <v>2.3694370335999997</v>
          </cell>
          <cell r="L18">
            <v>1.7222971148640001</v>
          </cell>
          <cell r="M18" t="str">
            <v>n/a</v>
          </cell>
          <cell r="N18">
            <v>2.5287569999999997</v>
          </cell>
          <cell r="O18" t="str">
            <v>n/a</v>
          </cell>
          <cell r="P18">
            <v>2.1868356509999995</v>
          </cell>
          <cell r="Q18">
            <v>1.81515264</v>
          </cell>
          <cell r="R18">
            <v>1.8730720007999997</v>
          </cell>
          <cell r="S18">
            <v>1.976469781</v>
          </cell>
          <cell r="T18">
            <v>1.8728087785</v>
          </cell>
          <cell r="U18">
            <v>2.100806994</v>
          </cell>
          <cell r="V18" t="str">
            <v>n/a</v>
          </cell>
          <cell r="W18">
            <v>2.35372239375</v>
          </cell>
          <cell r="X18">
            <v>2.1204706250000003</v>
          </cell>
          <cell r="Y18">
            <v>2.4130955712500004</v>
          </cell>
          <cell r="Z18">
            <v>2.4130955712500004</v>
          </cell>
          <cell r="AA18">
            <v>2.4130955712500004</v>
          </cell>
          <cell r="AB18">
            <v>2.35372239375</v>
          </cell>
          <cell r="AC18">
            <v>2.1204706250000003</v>
          </cell>
          <cell r="AD18">
            <v>2.1204706250000003</v>
          </cell>
          <cell r="AE18" t="str">
            <v>n/a</v>
          </cell>
          <cell r="AF18">
            <v>2.4928444774999998</v>
          </cell>
          <cell r="AG18">
            <v>2.033200806</v>
          </cell>
          <cell r="AH18">
            <v>1</v>
          </cell>
        </row>
        <row r="19">
          <cell r="B19">
            <v>2011</v>
          </cell>
        </row>
        <row r="20">
          <cell r="A20" t="str">
            <v>2011PRB</v>
          </cell>
          <cell r="B20" t="str">
            <v>PRB</v>
          </cell>
          <cell r="C20">
            <v>0.35099999999999998</v>
          </cell>
          <cell r="D20">
            <v>0.35099999999999998</v>
          </cell>
          <cell r="E20">
            <v>0.35099999999999998</v>
          </cell>
          <cell r="F20">
            <v>0.35099999999999998</v>
          </cell>
          <cell r="G20">
            <v>0.45</v>
          </cell>
          <cell r="H20">
            <v>0.38</v>
          </cell>
          <cell r="I20">
            <v>0.44</v>
          </cell>
          <cell r="J20">
            <v>0.44</v>
          </cell>
          <cell r="K20">
            <v>0.432</v>
          </cell>
          <cell r="L20">
            <v>0.31240000000000001</v>
          </cell>
          <cell r="M20">
            <v>0.8</v>
          </cell>
          <cell r="N20">
            <v>0.4</v>
          </cell>
          <cell r="O20">
            <v>0.35</v>
          </cell>
          <cell r="P20">
            <v>0.43</v>
          </cell>
          <cell r="Q20">
            <v>0.38</v>
          </cell>
          <cell r="R20">
            <v>0.43</v>
          </cell>
          <cell r="S20">
            <v>0.43</v>
          </cell>
          <cell r="T20">
            <v>0.35499999999999998</v>
          </cell>
          <cell r="U20">
            <v>0.43</v>
          </cell>
          <cell r="V20">
            <v>0.45</v>
          </cell>
          <cell r="W20">
            <v>0.38750000000000001</v>
          </cell>
          <cell r="X20">
            <v>0.25</v>
          </cell>
          <cell r="Y20">
            <v>0.42249999999999999</v>
          </cell>
          <cell r="Z20">
            <v>0.42249999999999999</v>
          </cell>
          <cell r="AA20">
            <v>0.42249999999999999</v>
          </cell>
          <cell r="AB20">
            <v>0.38750000000000001</v>
          </cell>
          <cell r="AC20">
            <v>0.25</v>
          </cell>
          <cell r="AD20">
            <v>0.25</v>
          </cell>
          <cell r="AE20">
            <v>0.32</v>
          </cell>
          <cell r="AF20">
            <v>0.42249999999999999</v>
          </cell>
          <cell r="AG20">
            <v>0.37409999999999999</v>
          </cell>
          <cell r="AH20">
            <v>0</v>
          </cell>
        </row>
        <row r="21">
          <cell r="A21" t="str">
            <v>2011Overhead - Offsite</v>
          </cell>
          <cell r="B21" t="str">
            <v>Overhead - Offsite</v>
          </cell>
          <cell r="C21">
            <v>0.17249999999999999</v>
          </cell>
          <cell r="D21">
            <v>6.5000000000000002E-2</v>
          </cell>
          <cell r="E21">
            <v>0.19500000000000001</v>
          </cell>
          <cell r="F21">
            <v>0.26500000000000001</v>
          </cell>
          <cell r="G21">
            <v>0.23</v>
          </cell>
          <cell r="H21">
            <v>0.11650000000000001</v>
          </cell>
          <cell r="I21">
            <v>0.22090000000000001</v>
          </cell>
          <cell r="J21">
            <v>0.3584</v>
          </cell>
          <cell r="K21">
            <v>0.38800000000000001</v>
          </cell>
          <cell r="L21">
            <v>0.1988</v>
          </cell>
          <cell r="M21" t="str">
            <v>n/a</v>
          </cell>
          <cell r="N21">
            <v>0.65</v>
          </cell>
          <cell r="O21" t="str">
            <v>n/a</v>
          </cell>
          <cell r="P21">
            <v>0.32300000000000001</v>
          </cell>
          <cell r="Q21">
            <v>0.12</v>
          </cell>
          <cell r="R21">
            <v>0.15079999999999999</v>
          </cell>
          <cell r="S21">
            <v>0.21990000000000001</v>
          </cell>
          <cell r="T21">
            <v>0.21990000000000001</v>
          </cell>
          <cell r="U21">
            <v>0.24099999999999999</v>
          </cell>
          <cell r="V21" t="str">
            <v>n/a</v>
          </cell>
          <cell r="W21">
            <v>0.495</v>
          </cell>
          <cell r="X21">
            <v>0.495</v>
          </cell>
          <cell r="Y21">
            <v>0.495</v>
          </cell>
          <cell r="Z21">
            <v>0.495</v>
          </cell>
          <cell r="AA21">
            <v>0.495</v>
          </cell>
          <cell r="AB21">
            <v>0.495</v>
          </cell>
          <cell r="AC21">
            <v>0.495</v>
          </cell>
          <cell r="AD21">
            <v>0.495</v>
          </cell>
          <cell r="AE21" t="str">
            <v>n/a</v>
          </cell>
          <cell r="AF21">
            <v>0.495</v>
          </cell>
          <cell r="AG21">
            <v>0.3</v>
          </cell>
          <cell r="AH21">
            <v>0</v>
          </cell>
        </row>
        <row r="22">
          <cell r="A22" t="str">
            <v>2011Overhead - Onsite</v>
          </cell>
          <cell r="B22" t="str">
            <v>Overhead - Onsite</v>
          </cell>
          <cell r="C22">
            <v>3.1E-2</v>
          </cell>
          <cell r="D22">
            <v>3.1E-2</v>
          </cell>
          <cell r="E22">
            <v>2.5499999999999998E-2</v>
          </cell>
          <cell r="F22">
            <v>2.5499999999999998E-2</v>
          </cell>
          <cell r="G22">
            <v>0.06</v>
          </cell>
          <cell r="H22">
            <v>1.7899999999999999E-2</v>
          </cell>
          <cell r="I22" t="str">
            <v>n/a</v>
          </cell>
          <cell r="J22">
            <v>6.1400000000000003E-2</v>
          </cell>
          <cell r="K22" t="str">
            <v>n/a</v>
          </cell>
          <cell r="L22">
            <v>2.23E-2</v>
          </cell>
          <cell r="M22">
            <v>0.4</v>
          </cell>
          <cell r="N22" t="str">
            <v>n/a</v>
          </cell>
          <cell r="O22">
            <v>0.2</v>
          </cell>
          <cell r="P22">
            <v>9.2999999999999999E-2</v>
          </cell>
          <cell r="Q22">
            <v>7.8E-2</v>
          </cell>
          <cell r="R22">
            <v>0.15079999999999999</v>
          </cell>
          <cell r="S22">
            <v>0.05</v>
          </cell>
          <cell r="T22">
            <v>0.05</v>
          </cell>
          <cell r="U22">
            <v>1.6500000000000001E-2</v>
          </cell>
          <cell r="V22">
            <v>0.17499999999999999</v>
          </cell>
          <cell r="W22">
            <v>8.5000000000000006E-2</v>
          </cell>
          <cell r="X22">
            <v>8.5000000000000006E-2</v>
          </cell>
          <cell r="Y22">
            <v>8.5000000000000006E-2</v>
          </cell>
          <cell r="Z22">
            <v>0.1825</v>
          </cell>
          <cell r="AA22">
            <v>6.5000000000000002E-2</v>
          </cell>
          <cell r="AB22">
            <v>6.5000000000000002E-2</v>
          </cell>
          <cell r="AC22">
            <v>6.5000000000000002E-2</v>
          </cell>
          <cell r="AD22">
            <v>0.1825</v>
          </cell>
          <cell r="AE22">
            <v>6.5000000000000002E-2</v>
          </cell>
          <cell r="AF22" t="str">
            <v>n/a</v>
          </cell>
          <cell r="AG22">
            <v>6.5000000000000002E-2</v>
          </cell>
          <cell r="AH22">
            <v>0</v>
          </cell>
        </row>
        <row r="23">
          <cell r="A23" t="str">
            <v>2011Material Handling</v>
          </cell>
          <cell r="B23" t="str">
            <v>Material Handling</v>
          </cell>
          <cell r="C23">
            <v>2.93E-2</v>
          </cell>
          <cell r="D23">
            <v>2.93E-2</v>
          </cell>
          <cell r="E23">
            <v>2.8899999999999999E-2</v>
          </cell>
          <cell r="F23">
            <v>2.8899999999999999E-2</v>
          </cell>
          <cell r="G23">
            <v>0.13489999999999999</v>
          </cell>
          <cell r="H23">
            <v>2.3699999999999999E-2</v>
          </cell>
          <cell r="I23">
            <v>4.24E-2</v>
          </cell>
          <cell r="J23">
            <v>4.24E-2</v>
          </cell>
          <cell r="K23">
            <v>2.2700000000000001E-2</v>
          </cell>
          <cell r="L23">
            <v>2.9700000000000001E-2</v>
          </cell>
          <cell r="M23">
            <v>2.7900000000000001E-2</v>
          </cell>
          <cell r="N23">
            <v>2.7900000000000001E-2</v>
          </cell>
          <cell r="O23">
            <v>2.7900000000000001E-2</v>
          </cell>
          <cell r="P23">
            <v>4.7600000000000003E-2</v>
          </cell>
          <cell r="Q23">
            <v>5.8500000000000003E-2</v>
          </cell>
          <cell r="R23">
            <v>0</v>
          </cell>
          <cell r="S23">
            <v>3.5200000000000002E-2</v>
          </cell>
          <cell r="T23">
            <v>3.5200000000000002E-2</v>
          </cell>
          <cell r="U23">
            <v>3.6200000000000003E-2</v>
          </cell>
          <cell r="V23">
            <v>3.6200000000000003E-2</v>
          </cell>
          <cell r="W23">
            <v>4.0899999999999999E-2</v>
          </cell>
          <cell r="X23">
            <v>4.0899999999999999E-2</v>
          </cell>
          <cell r="Y23">
            <v>4.0899999999999999E-2</v>
          </cell>
          <cell r="Z23">
            <v>4.0899999999999999E-2</v>
          </cell>
          <cell r="AA23">
            <v>4.0899999999999999E-2</v>
          </cell>
          <cell r="AB23">
            <v>4.0899999999999999E-2</v>
          </cell>
          <cell r="AC23">
            <v>4.0899999999999999E-2</v>
          </cell>
          <cell r="AD23">
            <v>4.0899999999999999E-2</v>
          </cell>
          <cell r="AE23">
            <v>4.0899999999999999E-2</v>
          </cell>
          <cell r="AF23">
            <v>4.0899999999999999E-2</v>
          </cell>
          <cell r="AG23">
            <v>3.78E-2</v>
          </cell>
          <cell r="AH23">
            <v>0</v>
          </cell>
        </row>
        <row r="24">
          <cell r="A24" t="str">
            <v>2011G&amp;A</v>
          </cell>
          <cell r="B24" t="str">
            <v>G&amp;A</v>
          </cell>
          <cell r="C24">
            <v>9.6799999999999997E-2</v>
          </cell>
          <cell r="D24">
            <v>9.6799999999999997E-2</v>
          </cell>
          <cell r="E24">
            <v>0.1202</v>
          </cell>
          <cell r="F24">
            <v>0.1202</v>
          </cell>
          <cell r="G24">
            <v>0.13489999999999999</v>
          </cell>
          <cell r="H24">
            <v>9.1800000000000007E-2</v>
          </cell>
          <cell r="I24">
            <v>0.14829999999999999</v>
          </cell>
          <cell r="J24">
            <v>0.14829999999999999</v>
          </cell>
          <cell r="K24">
            <v>0.18970000000000001</v>
          </cell>
          <cell r="L24">
            <v>9.1999999999999998E-2</v>
          </cell>
          <cell r="M24">
            <v>9.1999999999999998E-2</v>
          </cell>
          <cell r="N24">
            <v>9.1999999999999998E-2</v>
          </cell>
          <cell r="O24">
            <v>9.1999999999999998E-2</v>
          </cell>
          <cell r="P24">
            <v>0.1527</v>
          </cell>
          <cell r="Q24">
            <v>0.1711</v>
          </cell>
          <cell r="R24">
            <v>0.13589999999999999</v>
          </cell>
          <cell r="S24">
            <v>0.13100000000000001</v>
          </cell>
          <cell r="T24">
            <v>0.13100000000000001</v>
          </cell>
          <cell r="U24">
            <v>0.18099999999999999</v>
          </cell>
          <cell r="V24">
            <v>0.18099999999999999</v>
          </cell>
          <cell r="W24">
            <v>0.1321</v>
          </cell>
          <cell r="X24">
            <v>0.1321</v>
          </cell>
          <cell r="Y24">
            <v>0.1321</v>
          </cell>
          <cell r="Z24">
            <v>0.1321</v>
          </cell>
          <cell r="AA24">
            <v>0.1321</v>
          </cell>
          <cell r="AB24">
            <v>0.1321</v>
          </cell>
          <cell r="AC24">
            <v>0.1321</v>
          </cell>
          <cell r="AD24">
            <v>0.1321</v>
          </cell>
          <cell r="AE24">
            <v>0.1321</v>
          </cell>
          <cell r="AF24">
            <v>0.1696</v>
          </cell>
          <cell r="AG24">
            <v>0.13589999999999999</v>
          </cell>
          <cell r="AH24">
            <v>0</v>
          </cell>
        </row>
        <row r="25">
          <cell r="B25" t="str">
            <v>Wrap - On</v>
          </cell>
          <cell r="C25">
            <v>1.5277118807999999</v>
          </cell>
          <cell r="D25">
            <v>1.5277118807999999</v>
          </cell>
          <cell r="E25">
            <v>1.5519816501000003</v>
          </cell>
          <cell r="F25">
            <v>1.5519816501000003</v>
          </cell>
          <cell r="G25">
            <v>1.7443412999999999</v>
          </cell>
          <cell r="H25">
            <v>1.5336536436000001</v>
          </cell>
          <cell r="I25" t="str">
            <v>n/a</v>
          </cell>
          <cell r="J25">
            <v>1.7550800927999997</v>
          </cell>
          <cell r="K25" t="str">
            <v>n/a</v>
          </cell>
          <cell r="L25">
            <v>1.4650998398400001</v>
          </cell>
          <cell r="M25">
            <v>2.7518400000000001</v>
          </cell>
          <cell r="N25" t="str">
            <v>n/a</v>
          </cell>
          <cell r="O25">
            <v>1.7690400000000002</v>
          </cell>
          <cell r="P25">
            <v>1.8016585729999999</v>
          </cell>
          <cell r="Q25">
            <v>1.742175204</v>
          </cell>
          <cell r="R25">
            <v>1.8692870195999998</v>
          </cell>
          <cell r="S25">
            <v>1.6981965000000001</v>
          </cell>
          <cell r="T25">
            <v>1.60913025</v>
          </cell>
          <cell r="U25">
            <v>1.7166956950000001</v>
          </cell>
          <cell r="V25">
            <v>2.01212875</v>
          </cell>
          <cell r="W25">
            <v>1.7043057937499999</v>
          </cell>
          <cell r="X25">
            <v>1.5354106249999997</v>
          </cell>
          <cell r="Y25">
            <v>1.7472972912499996</v>
          </cell>
          <cell r="Z25">
            <v>1.9043124856249998</v>
          </cell>
          <cell r="AA25">
            <v>1.7150890462499995</v>
          </cell>
          <cell r="AB25">
            <v>1.6728900187499995</v>
          </cell>
          <cell r="AC25">
            <v>1.5071081249999996</v>
          </cell>
          <cell r="AD25">
            <v>1.6733853125</v>
          </cell>
          <cell r="AE25">
            <v>1.5915061799999997</v>
          </cell>
          <cell r="AF25" t="str">
            <v>n/a</v>
          </cell>
          <cell r="AG25">
            <v>1.6622948023499997</v>
          </cell>
          <cell r="AH25">
            <v>1</v>
          </cell>
        </row>
        <row r="26">
          <cell r="B26" t="str">
            <v>Wrap - Off</v>
          </cell>
          <cell r="C26">
            <v>1.7373832979999999</v>
          </cell>
          <cell r="D26">
            <v>1.578092292</v>
          </cell>
          <cell r="E26">
            <v>1.8085012890000003</v>
          </cell>
          <cell r="F26">
            <v>1.9144386030000002</v>
          </cell>
          <cell r="G26">
            <v>2.0240941499999998</v>
          </cell>
          <cell r="H26">
            <v>1.6822126860000002</v>
          </cell>
          <cell r="I26">
            <v>2.0188216367999998</v>
          </cell>
          <cell r="J26">
            <v>2.2461850368</v>
          </cell>
          <cell r="K26">
            <v>2.3646667551999996</v>
          </cell>
          <cell r="L26">
            <v>1.7180491910400002</v>
          </cell>
          <cell r="M26" t="str">
            <v>n/a</v>
          </cell>
          <cell r="N26">
            <v>2.5225199999999997</v>
          </cell>
          <cell r="O26" t="str">
            <v>n/a</v>
          </cell>
          <cell r="P26">
            <v>2.1807816029999998</v>
          </cell>
          <cell r="Q26">
            <v>1.8100521600000001</v>
          </cell>
          <cell r="R26">
            <v>1.8692870195999998</v>
          </cell>
          <cell r="S26">
            <v>1.972980867</v>
          </cell>
          <cell r="T26">
            <v>1.8695028494999999</v>
          </cell>
          <cell r="U26">
            <v>2.0958380300000004</v>
          </cell>
          <cell r="V26" t="str">
            <v>n/a</v>
          </cell>
          <cell r="W26">
            <v>2.3483291812499996</v>
          </cell>
          <cell r="X26">
            <v>2.1156118749999999</v>
          </cell>
          <cell r="Y26">
            <v>2.4075663137499999</v>
          </cell>
          <cell r="Z26">
            <v>2.4075663137499999</v>
          </cell>
          <cell r="AA26">
            <v>2.4075663137499999</v>
          </cell>
          <cell r="AB26">
            <v>2.3483291812499996</v>
          </cell>
          <cell r="AC26">
            <v>2.1156118749999999</v>
          </cell>
          <cell r="AD26">
            <v>2.1156118749999999</v>
          </cell>
          <cell r="AE26" t="str">
            <v>n/a</v>
          </cell>
          <cell r="AF26">
            <v>2.4873152200000002</v>
          </cell>
          <cell r="AG26">
            <v>2.0290922469999999</v>
          </cell>
          <cell r="AH26">
            <v>1</v>
          </cell>
        </row>
        <row r="27">
          <cell r="B27">
            <v>2012</v>
          </cell>
        </row>
        <row r="28">
          <cell r="A28" t="str">
            <v>2012PRB</v>
          </cell>
          <cell r="B28" t="str">
            <v>PRB</v>
          </cell>
          <cell r="C28">
            <v>0.35099999999999998</v>
          </cell>
          <cell r="D28">
            <v>0.35099999999999998</v>
          </cell>
          <cell r="E28">
            <v>0.35099999999999998</v>
          </cell>
          <cell r="F28">
            <v>0.35099999999999998</v>
          </cell>
          <cell r="G28">
            <v>0.45</v>
          </cell>
          <cell r="H28">
            <v>0.38</v>
          </cell>
          <cell r="I28">
            <v>0.44</v>
          </cell>
          <cell r="J28">
            <v>0.44</v>
          </cell>
          <cell r="K28">
            <v>0.432</v>
          </cell>
          <cell r="L28">
            <v>0.31240000000000001</v>
          </cell>
          <cell r="M28">
            <v>0.8</v>
          </cell>
          <cell r="N28">
            <v>0.4</v>
          </cell>
          <cell r="O28">
            <v>0.35</v>
          </cell>
          <cell r="P28">
            <v>0.43</v>
          </cell>
          <cell r="Q28">
            <v>0.38</v>
          </cell>
          <cell r="R28">
            <v>0.43</v>
          </cell>
          <cell r="S28">
            <v>0.43</v>
          </cell>
          <cell r="T28">
            <v>0.35499999999999998</v>
          </cell>
          <cell r="U28">
            <v>0.43</v>
          </cell>
          <cell r="V28">
            <v>0.45</v>
          </cell>
          <cell r="W28">
            <v>0.38750000000000001</v>
          </cell>
          <cell r="X28">
            <v>0.25</v>
          </cell>
          <cell r="Y28">
            <v>0.42249999999999999</v>
          </cell>
          <cell r="Z28">
            <v>0.42249999999999999</v>
          </cell>
          <cell r="AA28">
            <v>0.42249999999999999</v>
          </cell>
          <cell r="AB28">
            <v>0.38750000000000001</v>
          </cell>
          <cell r="AC28">
            <v>0.25</v>
          </cell>
          <cell r="AD28">
            <v>0.25</v>
          </cell>
          <cell r="AE28">
            <v>0.32</v>
          </cell>
          <cell r="AF28">
            <v>0.42249999999999999</v>
          </cell>
          <cell r="AG28">
            <v>0.37409999999999999</v>
          </cell>
          <cell r="AH28">
            <v>0</v>
          </cell>
        </row>
        <row r="29">
          <cell r="A29" t="str">
            <v>2012Overhead - Offsite</v>
          </cell>
          <cell r="B29" t="str">
            <v>Overhead - Offsite</v>
          </cell>
          <cell r="C29">
            <v>0.17249999999999999</v>
          </cell>
          <cell r="D29">
            <v>6.5000000000000002E-2</v>
          </cell>
          <cell r="E29">
            <v>0.19500000000000001</v>
          </cell>
          <cell r="F29">
            <v>0.26500000000000001</v>
          </cell>
          <cell r="G29">
            <v>0.23</v>
          </cell>
          <cell r="H29">
            <v>0.11650000000000001</v>
          </cell>
          <cell r="I29">
            <v>0.22090000000000001</v>
          </cell>
          <cell r="J29">
            <v>0.3584</v>
          </cell>
          <cell r="K29">
            <v>0.38800000000000001</v>
          </cell>
          <cell r="L29">
            <v>0.1988</v>
          </cell>
          <cell r="M29" t="str">
            <v>n/a</v>
          </cell>
          <cell r="N29">
            <v>0.65</v>
          </cell>
          <cell r="O29" t="str">
            <v>n/a</v>
          </cell>
          <cell r="P29">
            <v>0.32300000000000001</v>
          </cell>
          <cell r="Q29">
            <v>0.12</v>
          </cell>
          <cell r="R29">
            <v>0.15079999999999999</v>
          </cell>
          <cell r="S29">
            <v>0.21990000000000001</v>
          </cell>
          <cell r="T29">
            <v>0.21990000000000001</v>
          </cell>
          <cell r="U29">
            <v>0.24099999999999999</v>
          </cell>
          <cell r="V29" t="str">
            <v>n/a</v>
          </cell>
          <cell r="W29">
            <v>0.495</v>
          </cell>
          <cell r="X29">
            <v>0.495</v>
          </cell>
          <cell r="Y29">
            <v>0.495</v>
          </cell>
          <cell r="Z29">
            <v>0.495</v>
          </cell>
          <cell r="AA29">
            <v>0.495</v>
          </cell>
          <cell r="AB29">
            <v>0.495</v>
          </cell>
          <cell r="AC29">
            <v>0.495</v>
          </cell>
          <cell r="AD29">
            <v>0.495</v>
          </cell>
          <cell r="AE29" t="str">
            <v>n/a</v>
          </cell>
          <cell r="AF29">
            <v>0.495</v>
          </cell>
          <cell r="AG29">
            <v>0.3</v>
          </cell>
          <cell r="AH29">
            <v>0</v>
          </cell>
        </row>
        <row r="30">
          <cell r="A30" t="str">
            <v>2012Overhead - Onsite</v>
          </cell>
          <cell r="B30" t="str">
            <v>Overhead - Onsite</v>
          </cell>
          <cell r="C30">
            <v>3.1E-2</v>
          </cell>
          <cell r="D30">
            <v>3.1E-2</v>
          </cell>
          <cell r="E30">
            <v>2.5499999999999998E-2</v>
          </cell>
          <cell r="F30">
            <v>2.5499999999999998E-2</v>
          </cell>
          <cell r="G30">
            <v>0.06</v>
          </cell>
          <cell r="H30">
            <v>1.7899999999999999E-2</v>
          </cell>
          <cell r="I30" t="str">
            <v>n/a</v>
          </cell>
          <cell r="J30">
            <v>6.1400000000000003E-2</v>
          </cell>
          <cell r="K30" t="str">
            <v>n/a</v>
          </cell>
          <cell r="L30">
            <v>2.23E-2</v>
          </cell>
          <cell r="M30">
            <v>0.4</v>
          </cell>
          <cell r="N30" t="str">
            <v>n/a</v>
          </cell>
          <cell r="O30">
            <v>0.2</v>
          </cell>
          <cell r="P30">
            <v>9.2999999999999999E-2</v>
          </cell>
          <cell r="Q30">
            <v>7.8E-2</v>
          </cell>
          <cell r="R30">
            <v>0.15079999999999999</v>
          </cell>
          <cell r="S30">
            <v>0.05</v>
          </cell>
          <cell r="T30">
            <v>0.05</v>
          </cell>
          <cell r="U30">
            <v>1.6500000000000001E-2</v>
          </cell>
          <cell r="V30">
            <v>0.17499999999999999</v>
          </cell>
          <cell r="W30">
            <v>8.5000000000000006E-2</v>
          </cell>
          <cell r="X30">
            <v>8.5000000000000006E-2</v>
          </cell>
          <cell r="Y30">
            <v>8.5000000000000006E-2</v>
          </cell>
          <cell r="Z30">
            <v>0.1825</v>
          </cell>
          <cell r="AA30">
            <v>6.5000000000000002E-2</v>
          </cell>
          <cell r="AB30">
            <v>6.5000000000000002E-2</v>
          </cell>
          <cell r="AC30">
            <v>6.5000000000000002E-2</v>
          </cell>
          <cell r="AD30">
            <v>0.1825</v>
          </cell>
          <cell r="AE30">
            <v>6.5000000000000002E-2</v>
          </cell>
          <cell r="AF30" t="str">
            <v>n/a</v>
          </cell>
          <cell r="AG30">
            <v>6.5000000000000002E-2</v>
          </cell>
          <cell r="AH30">
            <v>0</v>
          </cell>
        </row>
        <row r="31">
          <cell r="A31" t="str">
            <v>2012Material Handling</v>
          </cell>
          <cell r="B31" t="str">
            <v>Material Handling</v>
          </cell>
          <cell r="C31">
            <v>2.8400000000000002E-2</v>
          </cell>
          <cell r="D31">
            <v>2.8400000000000002E-2</v>
          </cell>
          <cell r="E31">
            <v>2.8000000000000001E-2</v>
          </cell>
          <cell r="F31">
            <v>2.8000000000000001E-2</v>
          </cell>
          <cell r="G31">
            <v>0.13250000000000001</v>
          </cell>
          <cell r="H31">
            <v>2.3099999999999999E-2</v>
          </cell>
          <cell r="I31">
            <v>4.19E-2</v>
          </cell>
          <cell r="J31">
            <v>4.19E-2</v>
          </cell>
          <cell r="K31">
            <v>2.18E-2</v>
          </cell>
          <cell r="L31">
            <v>2.8799999999999999E-2</v>
          </cell>
          <cell r="M31">
            <v>2.7E-2</v>
          </cell>
          <cell r="N31">
            <v>2.7E-2</v>
          </cell>
          <cell r="O31">
            <v>2.7E-2</v>
          </cell>
          <cell r="P31">
            <v>4.6699999999999998E-2</v>
          </cell>
          <cell r="Q31">
            <v>5.7599999999999998E-2</v>
          </cell>
          <cell r="R31">
            <v>0</v>
          </cell>
          <cell r="S31">
            <v>3.4299999999999997E-2</v>
          </cell>
          <cell r="T31">
            <v>3.4299999999999997E-2</v>
          </cell>
          <cell r="U31">
            <v>3.5299999999999998E-2</v>
          </cell>
          <cell r="V31">
            <v>3.5299999999999998E-2</v>
          </cell>
          <cell r="W31">
            <v>0.04</v>
          </cell>
          <cell r="X31">
            <v>0.04</v>
          </cell>
          <cell r="Y31">
            <v>0.04</v>
          </cell>
          <cell r="Z31">
            <v>0.04</v>
          </cell>
          <cell r="AA31">
            <v>0.04</v>
          </cell>
          <cell r="AB31">
            <v>0.04</v>
          </cell>
          <cell r="AC31">
            <v>0.04</v>
          </cell>
          <cell r="AD31">
            <v>0.04</v>
          </cell>
          <cell r="AE31">
            <v>0.04</v>
          </cell>
          <cell r="AF31">
            <v>0.04</v>
          </cell>
          <cell r="AG31">
            <v>3.6799999999999999E-2</v>
          </cell>
          <cell r="AH31">
            <v>0</v>
          </cell>
        </row>
        <row r="32">
          <cell r="A32" t="str">
            <v>2012G&amp;A</v>
          </cell>
          <cell r="B32" t="str">
            <v>G&amp;A</v>
          </cell>
          <cell r="C32">
            <v>9.4299999999999995E-2</v>
          </cell>
          <cell r="D32">
            <v>9.4299999999999995E-2</v>
          </cell>
          <cell r="E32">
            <v>0.1181</v>
          </cell>
          <cell r="F32">
            <v>0.1181</v>
          </cell>
          <cell r="G32">
            <v>0.13250000000000001</v>
          </cell>
          <cell r="H32">
            <v>8.9300000000000004E-2</v>
          </cell>
          <cell r="I32">
            <v>0.1457</v>
          </cell>
          <cell r="J32">
            <v>0.1457</v>
          </cell>
          <cell r="K32">
            <v>0.18740000000000001</v>
          </cell>
          <cell r="L32">
            <v>8.9499999999999996E-2</v>
          </cell>
          <cell r="M32">
            <v>8.9499999999999996E-2</v>
          </cell>
          <cell r="N32">
            <v>8.9499999999999996E-2</v>
          </cell>
          <cell r="O32">
            <v>8.9499999999999996E-2</v>
          </cell>
          <cell r="P32">
            <v>0.14960000000000001</v>
          </cell>
          <cell r="Q32">
            <v>0.16789999999999999</v>
          </cell>
          <cell r="R32">
            <v>0.1338</v>
          </cell>
          <cell r="S32">
            <v>0.1293</v>
          </cell>
          <cell r="T32">
            <v>0.1293</v>
          </cell>
          <cell r="U32">
            <v>0.17849999999999999</v>
          </cell>
          <cell r="V32">
            <v>0.17849999999999999</v>
          </cell>
          <cell r="W32">
            <v>0.12970000000000001</v>
          </cell>
          <cell r="X32">
            <v>0.12970000000000001</v>
          </cell>
          <cell r="Y32">
            <v>0.12970000000000001</v>
          </cell>
          <cell r="Z32">
            <v>0.12970000000000001</v>
          </cell>
          <cell r="AA32">
            <v>0.12970000000000001</v>
          </cell>
          <cell r="AB32">
            <v>0.12970000000000001</v>
          </cell>
          <cell r="AC32">
            <v>0.12970000000000001</v>
          </cell>
          <cell r="AD32">
            <v>0.12970000000000001</v>
          </cell>
          <cell r="AE32">
            <v>0.12970000000000001</v>
          </cell>
          <cell r="AF32">
            <v>0.1673</v>
          </cell>
          <cell r="AG32">
            <v>0.13370000000000001</v>
          </cell>
          <cell r="AH32">
            <v>0</v>
          </cell>
        </row>
        <row r="33">
          <cell r="B33" t="str">
            <v>Wrap - On</v>
          </cell>
          <cell r="C33">
            <v>1.5242296782999998</v>
          </cell>
          <cell r="D33">
            <v>1.5242296782999998</v>
          </cell>
          <cell r="E33">
            <v>1.5490722040500002</v>
          </cell>
          <cell r="F33">
            <v>1.5490722040500002</v>
          </cell>
          <cell r="G33">
            <v>1.7406524999999999</v>
          </cell>
          <cell r="H33">
            <v>1.5301418885999998</v>
          </cell>
          <cell r="I33" t="str">
            <v>n/a</v>
          </cell>
          <cell r="J33">
            <v>1.7511062111999995</v>
          </cell>
          <cell r="K33" t="str">
            <v>n/a</v>
          </cell>
          <cell r="L33">
            <v>1.4617456735399998</v>
          </cell>
          <cell r="M33">
            <v>2.7455399999999996</v>
          </cell>
          <cell r="N33" t="str">
            <v>n/a</v>
          </cell>
          <cell r="O33">
            <v>1.7649900000000001</v>
          </cell>
          <cell r="P33">
            <v>1.7968133039999998</v>
          </cell>
          <cell r="Q33">
            <v>1.7374147559999999</v>
          </cell>
          <cell r="R33">
            <v>1.8658311671999996</v>
          </cell>
          <cell r="S33">
            <v>1.69564395</v>
          </cell>
          <cell r="T33">
            <v>1.6067115749999998</v>
          </cell>
          <cell r="U33">
            <v>1.7130617075000001</v>
          </cell>
          <cell r="V33">
            <v>2.0078693750000003</v>
          </cell>
          <cell r="W33">
            <v>1.7006927437499999</v>
          </cell>
          <cell r="X33">
            <v>1.5321556249999999</v>
          </cell>
          <cell r="Y33">
            <v>1.7435931012499997</v>
          </cell>
          <cell r="Z33">
            <v>1.9002754306249998</v>
          </cell>
          <cell r="AA33">
            <v>1.7114531362499996</v>
          </cell>
          <cell r="AB33">
            <v>1.6693435687499998</v>
          </cell>
          <cell r="AC33">
            <v>1.5039131249999997</v>
          </cell>
          <cell r="AD33">
            <v>1.6698378125</v>
          </cell>
          <cell r="AE33">
            <v>1.5881322599999999</v>
          </cell>
          <cell r="AF33" t="str">
            <v>n/a</v>
          </cell>
          <cell r="AG33">
            <v>1.6590752860499998</v>
          </cell>
          <cell r="AH33">
            <v>1</v>
          </cell>
        </row>
        <row r="34">
          <cell r="B34" t="str">
            <v>Wrap - Off</v>
          </cell>
          <cell r="C34">
            <v>1.7334231792499999</v>
          </cell>
          <cell r="D34">
            <v>1.5744952544999999</v>
          </cell>
          <cell r="E34">
            <v>1.8051109545000004</v>
          </cell>
          <cell r="F34">
            <v>1.9108496715000003</v>
          </cell>
          <cell r="G34">
            <v>2.01981375</v>
          </cell>
          <cell r="H34">
            <v>1.678360761</v>
          </cell>
          <cell r="I34">
            <v>2.0142505871999998</v>
          </cell>
          <cell r="J34">
            <v>2.2410991872000001</v>
          </cell>
          <cell r="K34">
            <v>2.3600952384</v>
          </cell>
          <cell r="L34">
            <v>1.71411592824</v>
          </cell>
          <cell r="M34" t="str">
            <v>n/a</v>
          </cell>
          <cell r="N34">
            <v>2.5167449999999993</v>
          </cell>
          <cell r="O34" t="str">
            <v>n/a</v>
          </cell>
          <cell r="P34">
            <v>2.1749167439999999</v>
          </cell>
          <cell r="Q34">
            <v>1.80510624</v>
          </cell>
          <cell r="R34">
            <v>1.8658311671999996</v>
          </cell>
          <cell r="S34">
            <v>1.9700152900999999</v>
          </cell>
          <cell r="T34">
            <v>1.86669280985</v>
          </cell>
          <cell r="U34">
            <v>2.0914014550000002</v>
          </cell>
          <cell r="V34" t="str">
            <v>n/a</v>
          </cell>
          <cell r="W34">
            <v>2.34335083125</v>
          </cell>
          <cell r="X34">
            <v>2.1111268750000001</v>
          </cell>
          <cell r="Y34">
            <v>2.4024623837500001</v>
          </cell>
          <cell r="Z34">
            <v>2.4024623837500001</v>
          </cell>
          <cell r="AA34">
            <v>2.4024623837500001</v>
          </cell>
          <cell r="AB34">
            <v>2.34335083125</v>
          </cell>
          <cell r="AC34">
            <v>2.1111268750000001</v>
          </cell>
          <cell r="AD34">
            <v>2.1111268750000001</v>
          </cell>
          <cell r="AE34" t="str">
            <v>n/a</v>
          </cell>
          <cell r="AF34">
            <v>2.4824239537500001</v>
          </cell>
          <cell r="AG34">
            <v>2.0251623209999998</v>
          </cell>
          <cell r="AH34">
            <v>1</v>
          </cell>
        </row>
        <row r="35">
          <cell r="B35">
            <v>2013</v>
          </cell>
        </row>
        <row r="36">
          <cell r="A36" t="str">
            <v>2013PRB</v>
          </cell>
          <cell r="B36" t="str">
            <v>PRB</v>
          </cell>
          <cell r="C36">
            <v>0.35099999999999998</v>
          </cell>
          <cell r="D36">
            <v>0.35099999999999998</v>
          </cell>
          <cell r="E36">
            <v>0.35099999999999998</v>
          </cell>
          <cell r="F36">
            <v>0.35099999999999998</v>
          </cell>
          <cell r="G36">
            <v>0.45</v>
          </cell>
          <cell r="H36">
            <v>0.38</v>
          </cell>
          <cell r="I36">
            <v>0.44</v>
          </cell>
          <cell r="J36">
            <v>0.44</v>
          </cell>
          <cell r="K36">
            <v>0.432</v>
          </cell>
          <cell r="L36">
            <v>0.31240000000000001</v>
          </cell>
          <cell r="M36">
            <v>0.8</v>
          </cell>
          <cell r="N36">
            <v>0.4</v>
          </cell>
          <cell r="O36">
            <v>0.35</v>
          </cell>
          <cell r="P36">
            <v>0.43</v>
          </cell>
          <cell r="Q36">
            <v>0.38</v>
          </cell>
          <cell r="R36">
            <v>0.43</v>
          </cell>
          <cell r="S36">
            <v>0.43</v>
          </cell>
          <cell r="T36">
            <v>0.35499999999999998</v>
          </cell>
          <cell r="U36">
            <v>0.43</v>
          </cell>
          <cell r="V36">
            <v>0.45</v>
          </cell>
          <cell r="W36">
            <v>0.38750000000000001</v>
          </cell>
          <cell r="X36">
            <v>0.25</v>
          </cell>
          <cell r="Y36">
            <v>0.42249999999999999</v>
          </cell>
          <cell r="Z36">
            <v>0.42249999999999999</v>
          </cell>
          <cell r="AA36">
            <v>0.42249999999999999</v>
          </cell>
          <cell r="AB36">
            <v>0.38750000000000001</v>
          </cell>
          <cell r="AC36">
            <v>0.25</v>
          </cell>
          <cell r="AD36">
            <v>0.25</v>
          </cell>
          <cell r="AE36">
            <v>0.32</v>
          </cell>
          <cell r="AF36">
            <v>0.42249999999999999</v>
          </cell>
          <cell r="AG36">
            <v>0.37409999999999999</v>
          </cell>
          <cell r="AH36">
            <v>0</v>
          </cell>
        </row>
        <row r="37">
          <cell r="A37" t="str">
            <v>2013Overhead - Offsite</v>
          </cell>
          <cell r="B37" t="str">
            <v>Overhead - Offsite</v>
          </cell>
          <cell r="C37">
            <v>0.17249999999999999</v>
          </cell>
          <cell r="D37">
            <v>6.5000000000000002E-2</v>
          </cell>
          <cell r="E37">
            <v>0.19500000000000001</v>
          </cell>
          <cell r="F37">
            <v>0.26500000000000001</v>
          </cell>
          <cell r="G37">
            <v>0.23</v>
          </cell>
          <cell r="H37">
            <v>0.11650000000000001</v>
          </cell>
          <cell r="I37">
            <v>0.22090000000000001</v>
          </cell>
          <cell r="J37">
            <v>0.3584</v>
          </cell>
          <cell r="K37">
            <v>0.38800000000000001</v>
          </cell>
          <cell r="L37">
            <v>0.1988</v>
          </cell>
          <cell r="M37" t="str">
            <v>n/a</v>
          </cell>
          <cell r="N37">
            <v>0.65</v>
          </cell>
          <cell r="O37" t="str">
            <v>n/a</v>
          </cell>
          <cell r="P37">
            <v>0.32300000000000001</v>
          </cell>
          <cell r="Q37">
            <v>0.12</v>
          </cell>
          <cell r="R37">
            <v>0.15079999999999999</v>
          </cell>
          <cell r="S37">
            <v>0.21990000000000001</v>
          </cell>
          <cell r="T37">
            <v>0.21990000000000001</v>
          </cell>
          <cell r="U37">
            <v>0.24099999999999999</v>
          </cell>
          <cell r="V37" t="str">
            <v>n/a</v>
          </cell>
          <cell r="W37">
            <v>0.495</v>
          </cell>
          <cell r="X37">
            <v>0.495</v>
          </cell>
          <cell r="Y37">
            <v>0.495</v>
          </cell>
          <cell r="Z37">
            <v>0.495</v>
          </cell>
          <cell r="AA37">
            <v>0.495</v>
          </cell>
          <cell r="AB37">
            <v>0.495</v>
          </cell>
          <cell r="AC37">
            <v>0.495</v>
          </cell>
          <cell r="AD37">
            <v>0.495</v>
          </cell>
          <cell r="AE37" t="str">
            <v>n/a</v>
          </cell>
          <cell r="AF37">
            <v>0.495</v>
          </cell>
          <cell r="AG37">
            <v>0.3</v>
          </cell>
          <cell r="AH37">
            <v>0</v>
          </cell>
        </row>
        <row r="38">
          <cell r="A38" t="str">
            <v>2013Overhead - Onsite</v>
          </cell>
          <cell r="B38" t="str">
            <v>Overhead - Onsite</v>
          </cell>
          <cell r="C38">
            <v>3.1E-2</v>
          </cell>
          <cell r="D38">
            <v>3.1E-2</v>
          </cell>
          <cell r="E38">
            <v>2.5499999999999998E-2</v>
          </cell>
          <cell r="F38">
            <v>2.5499999999999998E-2</v>
          </cell>
          <cell r="G38">
            <v>0.06</v>
          </cell>
          <cell r="H38">
            <v>1.7899999999999999E-2</v>
          </cell>
          <cell r="I38" t="str">
            <v>n/a</v>
          </cell>
          <cell r="J38">
            <v>6.1400000000000003E-2</v>
          </cell>
          <cell r="K38" t="str">
            <v>n/a</v>
          </cell>
          <cell r="L38">
            <v>2.23E-2</v>
          </cell>
          <cell r="M38">
            <v>0.4</v>
          </cell>
          <cell r="N38" t="str">
            <v>n/a</v>
          </cell>
          <cell r="O38">
            <v>0.2</v>
          </cell>
          <cell r="P38">
            <v>9.2999999999999999E-2</v>
          </cell>
          <cell r="Q38">
            <v>7.8E-2</v>
          </cell>
          <cell r="R38">
            <v>0.15079999999999999</v>
          </cell>
          <cell r="S38">
            <v>0.05</v>
          </cell>
          <cell r="T38">
            <v>0.05</v>
          </cell>
          <cell r="U38">
            <v>1.6500000000000001E-2</v>
          </cell>
          <cell r="V38">
            <v>0.17499999999999999</v>
          </cell>
          <cell r="W38">
            <v>8.5000000000000006E-2</v>
          </cell>
          <cell r="X38">
            <v>8.5000000000000006E-2</v>
          </cell>
          <cell r="Y38">
            <v>8.5000000000000006E-2</v>
          </cell>
          <cell r="Z38">
            <v>0.1825</v>
          </cell>
          <cell r="AA38">
            <v>6.5000000000000002E-2</v>
          </cell>
          <cell r="AB38">
            <v>6.5000000000000002E-2</v>
          </cell>
          <cell r="AC38">
            <v>6.5000000000000002E-2</v>
          </cell>
          <cell r="AD38">
            <v>0.1825</v>
          </cell>
          <cell r="AE38">
            <v>6.5000000000000002E-2</v>
          </cell>
          <cell r="AF38" t="str">
            <v>n/a</v>
          </cell>
          <cell r="AG38">
            <v>6.5000000000000002E-2</v>
          </cell>
          <cell r="AH38">
            <v>0</v>
          </cell>
        </row>
        <row r="39">
          <cell r="A39" t="str">
            <v>2013Material Handling</v>
          </cell>
          <cell r="B39" t="str">
            <v>Material Handling</v>
          </cell>
          <cell r="C39">
            <v>2.76E-2</v>
          </cell>
          <cell r="D39">
            <v>2.76E-2</v>
          </cell>
          <cell r="E39">
            <v>2.7099999999999999E-2</v>
          </cell>
          <cell r="F39">
            <v>2.7099999999999999E-2</v>
          </cell>
          <cell r="G39">
            <v>0.13020000000000001</v>
          </cell>
          <cell r="H39">
            <v>2.2599999999999999E-2</v>
          </cell>
          <cell r="I39">
            <v>4.1300000000000003E-2</v>
          </cell>
          <cell r="J39">
            <v>4.1300000000000003E-2</v>
          </cell>
          <cell r="K39">
            <v>2.1000000000000001E-2</v>
          </cell>
          <cell r="L39">
            <v>2.8000000000000001E-2</v>
          </cell>
          <cell r="M39">
            <v>2.6200000000000001E-2</v>
          </cell>
          <cell r="N39">
            <v>2.6200000000000001E-2</v>
          </cell>
          <cell r="O39">
            <v>2.6200000000000001E-2</v>
          </cell>
          <cell r="P39">
            <v>4.5900000000000003E-2</v>
          </cell>
          <cell r="Q39">
            <v>5.6800000000000003E-2</v>
          </cell>
          <cell r="R39">
            <v>0</v>
          </cell>
          <cell r="S39">
            <v>3.3500000000000002E-2</v>
          </cell>
          <cell r="T39">
            <v>3.3500000000000002E-2</v>
          </cell>
          <cell r="U39">
            <v>3.4500000000000003E-2</v>
          </cell>
          <cell r="V39">
            <v>3.4500000000000003E-2</v>
          </cell>
          <cell r="W39">
            <v>3.9100000000000003E-2</v>
          </cell>
          <cell r="X39">
            <v>3.9100000000000003E-2</v>
          </cell>
          <cell r="Y39">
            <v>3.9100000000000003E-2</v>
          </cell>
          <cell r="Z39">
            <v>3.9100000000000003E-2</v>
          </cell>
          <cell r="AA39">
            <v>3.9100000000000003E-2</v>
          </cell>
          <cell r="AB39">
            <v>3.9100000000000003E-2</v>
          </cell>
          <cell r="AC39">
            <v>3.9100000000000003E-2</v>
          </cell>
          <cell r="AD39">
            <v>3.9100000000000003E-2</v>
          </cell>
          <cell r="AE39">
            <v>3.9100000000000003E-2</v>
          </cell>
          <cell r="AF39">
            <v>3.9100000000000003E-2</v>
          </cell>
          <cell r="AG39">
            <v>3.5900000000000001E-2</v>
          </cell>
          <cell r="AH39">
            <v>0</v>
          </cell>
        </row>
        <row r="40">
          <cell r="A40" t="str">
            <v>2013G&amp;A</v>
          </cell>
          <cell r="B40" t="str">
            <v>G&amp;A</v>
          </cell>
          <cell r="C40">
            <v>9.1999999999999998E-2</v>
          </cell>
          <cell r="D40">
            <v>9.1999999999999998E-2</v>
          </cell>
          <cell r="E40">
            <v>0.11609999999999999</v>
          </cell>
          <cell r="F40">
            <v>0.11609999999999999</v>
          </cell>
          <cell r="G40">
            <v>0.13020000000000001</v>
          </cell>
          <cell r="H40">
            <v>8.6900000000000005E-2</v>
          </cell>
          <cell r="I40">
            <v>0.14319999999999999</v>
          </cell>
          <cell r="J40">
            <v>0.14319999999999999</v>
          </cell>
          <cell r="K40">
            <v>0.18529999999999999</v>
          </cell>
          <cell r="L40">
            <v>8.7099999999999997E-2</v>
          </cell>
          <cell r="M40">
            <v>8.72E-2</v>
          </cell>
          <cell r="N40">
            <v>8.72E-2</v>
          </cell>
          <cell r="O40">
            <v>8.72E-2</v>
          </cell>
          <cell r="P40">
            <v>0.14680000000000001</v>
          </cell>
          <cell r="Q40">
            <v>0.16489999999999999</v>
          </cell>
          <cell r="R40">
            <v>0.1318</v>
          </cell>
          <cell r="S40">
            <v>0.12759999999999999</v>
          </cell>
          <cell r="T40">
            <v>0.12759999999999999</v>
          </cell>
          <cell r="U40">
            <v>0.17599999999999999</v>
          </cell>
          <cell r="V40">
            <v>0.17599999999999999</v>
          </cell>
          <cell r="W40">
            <v>0.12740000000000001</v>
          </cell>
          <cell r="X40">
            <v>0.12740000000000001</v>
          </cell>
          <cell r="Y40">
            <v>0.12740000000000001</v>
          </cell>
          <cell r="Z40">
            <v>0.12740000000000001</v>
          </cell>
          <cell r="AA40">
            <v>0.12740000000000001</v>
          </cell>
          <cell r="AB40">
            <v>0.12740000000000001</v>
          </cell>
          <cell r="AC40">
            <v>0.12740000000000001</v>
          </cell>
          <cell r="AD40">
            <v>0.12740000000000001</v>
          </cell>
          <cell r="AE40">
            <v>0.12740000000000001</v>
          </cell>
          <cell r="AF40">
            <v>0.16500000000000001</v>
          </cell>
          <cell r="AG40">
            <v>0.13159999999999999</v>
          </cell>
          <cell r="AH40">
            <v>0</v>
          </cell>
        </row>
        <row r="41">
          <cell r="B41" t="str">
            <v>Wrap - On</v>
          </cell>
          <cell r="C41">
            <v>1.5210260519999999</v>
          </cell>
          <cell r="D41">
            <v>1.5210260519999999</v>
          </cell>
          <cell r="E41">
            <v>1.5463013030500004</v>
          </cell>
          <cell r="F41">
            <v>1.5463013030500004</v>
          </cell>
          <cell r="G41">
            <v>1.7371174</v>
          </cell>
          <cell r="H41">
            <v>1.5267706038</v>
          </cell>
          <cell r="I41" t="str">
            <v>n/a</v>
          </cell>
          <cell r="J41">
            <v>1.7472851711999997</v>
          </cell>
          <cell r="K41" t="str">
            <v>n/a</v>
          </cell>
          <cell r="L41">
            <v>1.4585256738919998</v>
          </cell>
          <cell r="M41">
            <v>2.739744</v>
          </cell>
          <cell r="N41" t="str">
            <v>n/a</v>
          </cell>
          <cell r="O41">
            <v>1.7612639999999999</v>
          </cell>
          <cell r="P41">
            <v>1.792436932</v>
          </cell>
          <cell r="Q41">
            <v>1.7329518360000002</v>
          </cell>
          <cell r="R41">
            <v>1.8625398791999996</v>
          </cell>
          <cell r="S41">
            <v>1.6930913999999999</v>
          </cell>
          <cell r="T41">
            <v>1.6042928999999999</v>
          </cell>
          <cell r="U41">
            <v>1.7094277199999999</v>
          </cell>
          <cell r="V41">
            <v>2.0036100000000001</v>
          </cell>
          <cell r="W41">
            <v>1.6972302374999999</v>
          </cell>
          <cell r="X41">
            <v>1.5290362499999999</v>
          </cell>
          <cell r="Y41">
            <v>1.7400432524999998</v>
          </cell>
          <cell r="Z41">
            <v>1.8964065862499999</v>
          </cell>
          <cell r="AA41">
            <v>1.7079687224999998</v>
          </cell>
          <cell r="AB41">
            <v>1.6659448874999998</v>
          </cell>
          <cell r="AC41">
            <v>1.5008512499999997</v>
          </cell>
          <cell r="AD41">
            <v>1.666438125</v>
          </cell>
          <cell r="AE41">
            <v>1.5848989199999999</v>
          </cell>
          <cell r="AF41" t="str">
            <v>n/a</v>
          </cell>
          <cell r="AG41">
            <v>1.6560021113999999</v>
          </cell>
          <cell r="AH41">
            <v>1</v>
          </cell>
        </row>
        <row r="42">
          <cell r="B42" t="str">
            <v>Wrap - Off</v>
          </cell>
          <cell r="C42">
            <v>1.72977987</v>
          </cell>
          <cell r="D42">
            <v>1.5711859800000001</v>
          </cell>
          <cell r="E42">
            <v>1.8018820645000002</v>
          </cell>
          <cell r="F42">
            <v>1.9074316415000003</v>
          </cell>
          <cell r="G42">
            <v>2.0157117000000002</v>
          </cell>
          <cell r="H42">
            <v>1.6746629129999999</v>
          </cell>
          <cell r="I42">
            <v>2.0098553472000003</v>
          </cell>
          <cell r="J42">
            <v>2.2362089472000002</v>
          </cell>
          <cell r="K42">
            <v>2.3559212447999998</v>
          </cell>
          <cell r="L42">
            <v>1.710339995952</v>
          </cell>
          <cell r="M42" t="str">
            <v>n/a</v>
          </cell>
          <cell r="N42">
            <v>2.5114319999999997</v>
          </cell>
          <cell r="O42" t="str">
            <v>n/a</v>
          </cell>
          <cell r="P42">
            <v>2.1696194520000001</v>
          </cell>
          <cell r="Q42">
            <v>1.8004694400000001</v>
          </cell>
          <cell r="R42">
            <v>1.8625398791999996</v>
          </cell>
          <cell r="S42">
            <v>1.9670497131999998</v>
          </cell>
          <cell r="T42">
            <v>1.8638827701999998</v>
          </cell>
          <cell r="U42">
            <v>2.08696488</v>
          </cell>
          <cell r="V42" t="str">
            <v>n/a</v>
          </cell>
          <cell r="W42">
            <v>2.3385799124999997</v>
          </cell>
          <cell r="X42">
            <v>2.10682875</v>
          </cell>
          <cell r="Y42">
            <v>2.3975711175000001</v>
          </cell>
          <cell r="Z42">
            <v>2.3975711175000001</v>
          </cell>
          <cell r="AA42">
            <v>2.3975711175000001</v>
          </cell>
          <cell r="AB42">
            <v>2.3385799124999997</v>
          </cell>
          <cell r="AC42">
            <v>2.10682875</v>
          </cell>
          <cell r="AD42">
            <v>2.10682875</v>
          </cell>
          <cell r="AE42" t="str">
            <v>n/a</v>
          </cell>
          <cell r="AF42">
            <v>2.4775326875000001</v>
          </cell>
          <cell r="AG42">
            <v>2.0214110279999997</v>
          </cell>
          <cell r="AH42">
            <v>1</v>
          </cell>
        </row>
        <row r="43">
          <cell r="B43">
            <v>2014</v>
          </cell>
        </row>
        <row r="44">
          <cell r="A44" t="str">
            <v>2014PRB</v>
          </cell>
          <cell r="B44" t="str">
            <v>PRB</v>
          </cell>
          <cell r="C44">
            <v>0.35099999999999998</v>
          </cell>
          <cell r="D44">
            <v>0.35099999999999998</v>
          </cell>
          <cell r="E44">
            <v>0.35099999999999998</v>
          </cell>
          <cell r="F44">
            <v>0.35099999999999998</v>
          </cell>
          <cell r="G44">
            <v>0.45</v>
          </cell>
          <cell r="H44">
            <v>0.38</v>
          </cell>
          <cell r="I44">
            <v>0.44</v>
          </cell>
          <cell r="J44">
            <v>0.44</v>
          </cell>
          <cell r="K44">
            <v>0.432</v>
          </cell>
          <cell r="L44">
            <v>0.31240000000000001</v>
          </cell>
          <cell r="M44">
            <v>0.8</v>
          </cell>
          <cell r="N44">
            <v>0.4</v>
          </cell>
          <cell r="O44">
            <v>0.35</v>
          </cell>
          <cell r="P44">
            <v>0.43</v>
          </cell>
          <cell r="Q44">
            <v>0.38</v>
          </cell>
          <cell r="R44">
            <v>0.43</v>
          </cell>
          <cell r="S44">
            <v>0.43</v>
          </cell>
          <cell r="T44">
            <v>0.35499999999999998</v>
          </cell>
          <cell r="U44">
            <v>0.43</v>
          </cell>
          <cell r="V44">
            <v>0.45</v>
          </cell>
          <cell r="W44">
            <v>0.38750000000000001</v>
          </cell>
          <cell r="X44">
            <v>0.25</v>
          </cell>
          <cell r="Y44">
            <v>0.42249999999999999</v>
          </cell>
          <cell r="Z44">
            <v>0.42249999999999999</v>
          </cell>
          <cell r="AA44">
            <v>0.42249999999999999</v>
          </cell>
          <cell r="AB44">
            <v>0.38750000000000001</v>
          </cell>
          <cell r="AC44">
            <v>0.25</v>
          </cell>
          <cell r="AD44">
            <v>0.25</v>
          </cell>
          <cell r="AE44">
            <v>0.32</v>
          </cell>
          <cell r="AF44">
            <v>0.42249999999999999</v>
          </cell>
          <cell r="AG44">
            <v>0.37409999999999999</v>
          </cell>
          <cell r="AH44">
            <v>0</v>
          </cell>
        </row>
        <row r="45">
          <cell r="A45" t="str">
            <v>2014Overhead - Offsite</v>
          </cell>
          <cell r="B45" t="str">
            <v>Overhead - Offsite</v>
          </cell>
          <cell r="C45">
            <v>0.17249999999999999</v>
          </cell>
          <cell r="D45">
            <v>6.5000000000000002E-2</v>
          </cell>
          <cell r="E45">
            <v>0.19500000000000001</v>
          </cell>
          <cell r="F45">
            <v>0.26500000000000001</v>
          </cell>
          <cell r="G45">
            <v>0.23</v>
          </cell>
          <cell r="H45">
            <v>0.11650000000000001</v>
          </cell>
          <cell r="I45">
            <v>0.22090000000000001</v>
          </cell>
          <cell r="J45">
            <v>0.3584</v>
          </cell>
          <cell r="K45">
            <v>0.38800000000000001</v>
          </cell>
          <cell r="L45">
            <v>0.1988</v>
          </cell>
          <cell r="M45" t="str">
            <v>n/a</v>
          </cell>
          <cell r="N45">
            <v>0.65</v>
          </cell>
          <cell r="O45" t="str">
            <v>n/a</v>
          </cell>
          <cell r="P45">
            <v>0.32300000000000001</v>
          </cell>
          <cell r="Q45">
            <v>0.12</v>
          </cell>
          <cell r="R45">
            <v>0.15079999999999999</v>
          </cell>
          <cell r="S45">
            <v>0.21990000000000001</v>
          </cell>
          <cell r="T45">
            <v>0.21990000000000001</v>
          </cell>
          <cell r="U45">
            <v>0.24099999999999999</v>
          </cell>
          <cell r="V45" t="str">
            <v>n/a</v>
          </cell>
          <cell r="W45">
            <v>0.495</v>
          </cell>
          <cell r="X45">
            <v>0.495</v>
          </cell>
          <cell r="Y45">
            <v>0.495</v>
          </cell>
          <cell r="Z45">
            <v>0.495</v>
          </cell>
          <cell r="AA45">
            <v>0.495</v>
          </cell>
          <cell r="AB45">
            <v>0.495</v>
          </cell>
          <cell r="AC45">
            <v>0.495</v>
          </cell>
          <cell r="AD45">
            <v>0.495</v>
          </cell>
          <cell r="AE45" t="str">
            <v>n/a</v>
          </cell>
          <cell r="AF45">
            <v>0.495</v>
          </cell>
          <cell r="AG45">
            <v>0.3</v>
          </cell>
          <cell r="AH45">
            <v>0</v>
          </cell>
        </row>
        <row r="46">
          <cell r="A46" t="str">
            <v>2014Overhead - Onsite</v>
          </cell>
          <cell r="B46" t="str">
            <v>Overhead - Onsite</v>
          </cell>
          <cell r="C46">
            <v>3.1E-2</v>
          </cell>
          <cell r="D46">
            <v>3.1E-2</v>
          </cell>
          <cell r="E46">
            <v>2.5499999999999998E-2</v>
          </cell>
          <cell r="F46">
            <v>2.5499999999999998E-2</v>
          </cell>
          <cell r="G46">
            <v>0.06</v>
          </cell>
          <cell r="H46">
            <v>1.7899999999999999E-2</v>
          </cell>
          <cell r="I46" t="str">
            <v>n/a</v>
          </cell>
          <cell r="J46">
            <v>6.1400000000000003E-2</v>
          </cell>
          <cell r="K46" t="str">
            <v>n/a</v>
          </cell>
          <cell r="L46">
            <v>2.23E-2</v>
          </cell>
          <cell r="M46">
            <v>0.4</v>
          </cell>
          <cell r="N46" t="str">
            <v>n/a</v>
          </cell>
          <cell r="O46">
            <v>0.2</v>
          </cell>
          <cell r="P46">
            <v>9.2999999999999999E-2</v>
          </cell>
          <cell r="Q46">
            <v>7.8E-2</v>
          </cell>
          <cell r="R46">
            <v>0.15079999999999999</v>
          </cell>
          <cell r="S46">
            <v>0.05</v>
          </cell>
          <cell r="T46">
            <v>0.05</v>
          </cell>
          <cell r="U46">
            <v>1.6500000000000001E-2</v>
          </cell>
          <cell r="V46">
            <v>0.17499999999999999</v>
          </cell>
          <cell r="W46">
            <v>8.5000000000000006E-2</v>
          </cell>
          <cell r="X46">
            <v>8.5000000000000006E-2</v>
          </cell>
          <cell r="Y46">
            <v>8.5000000000000006E-2</v>
          </cell>
          <cell r="Z46">
            <v>0.1825</v>
          </cell>
          <cell r="AA46">
            <v>6.5000000000000002E-2</v>
          </cell>
          <cell r="AB46">
            <v>6.5000000000000002E-2</v>
          </cell>
          <cell r="AC46">
            <v>6.5000000000000002E-2</v>
          </cell>
          <cell r="AD46">
            <v>0.1825</v>
          </cell>
          <cell r="AE46">
            <v>6.5000000000000002E-2</v>
          </cell>
          <cell r="AF46" t="str">
            <v>n/a</v>
          </cell>
          <cell r="AG46">
            <v>6.5000000000000002E-2</v>
          </cell>
          <cell r="AH46">
            <v>0</v>
          </cell>
        </row>
        <row r="47">
          <cell r="A47" t="str">
            <v>2014Material Handling</v>
          </cell>
          <cell r="B47" t="str">
            <v>Material Handling</v>
          </cell>
          <cell r="C47">
            <v>2.76E-2</v>
          </cell>
          <cell r="D47">
            <v>2.76E-2</v>
          </cell>
          <cell r="E47">
            <v>2.7099999999999999E-2</v>
          </cell>
          <cell r="F47">
            <v>2.7099999999999999E-2</v>
          </cell>
          <cell r="G47">
            <v>0.13020000000000001</v>
          </cell>
          <cell r="H47">
            <v>2.2599999999999999E-2</v>
          </cell>
          <cell r="I47">
            <v>4.1300000000000003E-2</v>
          </cell>
          <cell r="J47">
            <v>4.1300000000000003E-2</v>
          </cell>
          <cell r="K47">
            <v>2.1000000000000001E-2</v>
          </cell>
          <cell r="L47">
            <v>2.8000000000000001E-2</v>
          </cell>
          <cell r="M47">
            <v>2.6200000000000001E-2</v>
          </cell>
          <cell r="N47">
            <v>2.6200000000000001E-2</v>
          </cell>
          <cell r="O47">
            <v>2.6200000000000001E-2</v>
          </cell>
          <cell r="P47">
            <v>4.5900000000000003E-2</v>
          </cell>
          <cell r="Q47">
            <v>5.6800000000000003E-2</v>
          </cell>
          <cell r="R47">
            <v>0</v>
          </cell>
          <cell r="S47">
            <v>3.3500000000000002E-2</v>
          </cell>
          <cell r="T47">
            <v>3.3500000000000002E-2</v>
          </cell>
          <cell r="U47">
            <v>3.4500000000000003E-2</v>
          </cell>
          <cell r="V47">
            <v>3.4500000000000003E-2</v>
          </cell>
          <cell r="W47">
            <v>3.9100000000000003E-2</v>
          </cell>
          <cell r="X47">
            <v>3.9100000000000003E-2</v>
          </cell>
          <cell r="Y47">
            <v>3.9100000000000003E-2</v>
          </cell>
          <cell r="Z47">
            <v>3.9100000000000003E-2</v>
          </cell>
          <cell r="AA47">
            <v>3.9100000000000003E-2</v>
          </cell>
          <cell r="AB47">
            <v>3.9100000000000003E-2</v>
          </cell>
          <cell r="AC47">
            <v>3.9100000000000003E-2</v>
          </cell>
          <cell r="AD47">
            <v>3.9100000000000003E-2</v>
          </cell>
          <cell r="AE47">
            <v>3.9100000000000003E-2</v>
          </cell>
          <cell r="AF47">
            <v>3.9100000000000003E-2</v>
          </cell>
          <cell r="AG47">
            <v>3.5900000000000001E-2</v>
          </cell>
          <cell r="AH47">
            <v>0</v>
          </cell>
        </row>
        <row r="48">
          <cell r="A48" t="str">
            <v>2014G&amp;A</v>
          </cell>
          <cell r="B48" t="str">
            <v>G&amp;A</v>
          </cell>
          <cell r="C48">
            <v>9.1999999999999998E-2</v>
          </cell>
          <cell r="D48">
            <v>9.1999999999999998E-2</v>
          </cell>
          <cell r="E48">
            <v>0.11609999999999999</v>
          </cell>
          <cell r="F48">
            <v>0.11609999999999999</v>
          </cell>
          <cell r="G48">
            <v>0.13020000000000001</v>
          </cell>
          <cell r="H48">
            <v>8.6900000000000005E-2</v>
          </cell>
          <cell r="I48">
            <v>0.14319999999999999</v>
          </cell>
          <cell r="J48">
            <v>0.14319999999999999</v>
          </cell>
          <cell r="K48">
            <v>0.18529999999999999</v>
          </cell>
          <cell r="L48">
            <v>8.7099999999999997E-2</v>
          </cell>
          <cell r="M48">
            <v>8.72E-2</v>
          </cell>
          <cell r="N48">
            <v>8.72E-2</v>
          </cell>
          <cell r="O48">
            <v>8.72E-2</v>
          </cell>
          <cell r="P48">
            <v>0.14680000000000001</v>
          </cell>
          <cell r="Q48">
            <v>0.16489999999999999</v>
          </cell>
          <cell r="R48">
            <v>0.1318</v>
          </cell>
          <cell r="S48">
            <v>0.12759999999999999</v>
          </cell>
          <cell r="T48">
            <v>0.12759999999999999</v>
          </cell>
          <cell r="U48">
            <v>0.17599999999999999</v>
          </cell>
          <cell r="V48">
            <v>0.17599999999999999</v>
          </cell>
          <cell r="W48">
            <v>0.12740000000000001</v>
          </cell>
          <cell r="X48">
            <v>0.12740000000000001</v>
          </cell>
          <cell r="Y48">
            <v>0.12740000000000001</v>
          </cell>
          <cell r="Z48">
            <v>0.12740000000000001</v>
          </cell>
          <cell r="AA48">
            <v>0.12740000000000001</v>
          </cell>
          <cell r="AB48">
            <v>0.12740000000000001</v>
          </cell>
          <cell r="AC48">
            <v>0.12740000000000001</v>
          </cell>
          <cell r="AD48">
            <v>0.12740000000000001</v>
          </cell>
          <cell r="AE48">
            <v>0.12740000000000001</v>
          </cell>
          <cell r="AF48">
            <v>0.16500000000000001</v>
          </cell>
          <cell r="AG48">
            <v>0.13159999999999999</v>
          </cell>
          <cell r="AH48">
            <v>0</v>
          </cell>
        </row>
        <row r="49">
          <cell r="B49" t="str">
            <v>Wrap - On</v>
          </cell>
          <cell r="C49">
            <v>1.5210260519999999</v>
          </cell>
          <cell r="D49">
            <v>1.5210260519999999</v>
          </cell>
          <cell r="E49">
            <v>1.5463013030500004</v>
          </cell>
          <cell r="F49">
            <v>1.5463013030500004</v>
          </cell>
          <cell r="G49">
            <v>1.7371174</v>
          </cell>
          <cell r="H49">
            <v>1.5267706038</v>
          </cell>
          <cell r="I49" t="str">
            <v>n/a</v>
          </cell>
          <cell r="J49">
            <v>1.7472851711999997</v>
          </cell>
          <cell r="K49" t="str">
            <v>n/a</v>
          </cell>
          <cell r="L49">
            <v>1.4585256738919998</v>
          </cell>
          <cell r="M49">
            <v>2.739744</v>
          </cell>
          <cell r="N49" t="str">
            <v>n/a</v>
          </cell>
          <cell r="O49">
            <v>1.7612639999999999</v>
          </cell>
          <cell r="P49">
            <v>1.792436932</v>
          </cell>
          <cell r="Q49">
            <v>1.7329518360000002</v>
          </cell>
          <cell r="R49">
            <v>1.8625398791999996</v>
          </cell>
          <cell r="S49">
            <v>1.6930913999999999</v>
          </cell>
          <cell r="T49">
            <v>1.6042928999999999</v>
          </cell>
          <cell r="U49">
            <v>1.7094277199999999</v>
          </cell>
          <cell r="V49">
            <v>2.0036100000000001</v>
          </cell>
          <cell r="W49">
            <v>1.6972302374999999</v>
          </cell>
          <cell r="X49">
            <v>1.5290362499999999</v>
          </cell>
          <cell r="Y49">
            <v>1.7400432524999998</v>
          </cell>
          <cell r="Z49">
            <v>1.8964065862499999</v>
          </cell>
          <cell r="AA49">
            <v>1.7079687224999998</v>
          </cell>
          <cell r="AB49">
            <v>1.6659448874999998</v>
          </cell>
          <cell r="AC49">
            <v>1.5008512499999997</v>
          </cell>
          <cell r="AD49">
            <v>1.666438125</v>
          </cell>
          <cell r="AE49">
            <v>1.5848989199999999</v>
          </cell>
          <cell r="AF49" t="str">
            <v>n/a</v>
          </cell>
          <cell r="AG49">
            <v>1.6560021113999999</v>
          </cell>
          <cell r="AH49">
            <v>1</v>
          </cell>
        </row>
        <row r="50">
          <cell r="B50" t="str">
            <v>Wrap - Off</v>
          </cell>
          <cell r="C50">
            <v>1.72977987</v>
          </cell>
          <cell r="D50">
            <v>1.5711859800000001</v>
          </cell>
          <cell r="E50">
            <v>1.8018820645000002</v>
          </cell>
          <cell r="F50">
            <v>1.9074316415000003</v>
          </cell>
          <cell r="G50">
            <v>2.0157117000000002</v>
          </cell>
          <cell r="H50">
            <v>1.6746629129999999</v>
          </cell>
          <cell r="I50">
            <v>2.0098553472000003</v>
          </cell>
          <cell r="J50">
            <v>2.2362089472000002</v>
          </cell>
          <cell r="K50">
            <v>2.3559212447999998</v>
          </cell>
          <cell r="L50">
            <v>1.710339995952</v>
          </cell>
          <cell r="M50" t="str">
            <v>n/a</v>
          </cell>
          <cell r="N50">
            <v>2.5114319999999997</v>
          </cell>
          <cell r="O50" t="str">
            <v>n/a</v>
          </cell>
          <cell r="P50">
            <v>2.1696194520000001</v>
          </cell>
          <cell r="Q50">
            <v>1.8004694400000001</v>
          </cell>
          <cell r="R50">
            <v>1.8625398791999996</v>
          </cell>
          <cell r="S50">
            <v>1.9670497131999998</v>
          </cell>
          <cell r="T50">
            <v>1.8638827701999998</v>
          </cell>
          <cell r="U50">
            <v>2.08696488</v>
          </cell>
          <cell r="V50" t="str">
            <v>n/a</v>
          </cell>
          <cell r="W50">
            <v>2.3385799124999997</v>
          </cell>
          <cell r="X50">
            <v>2.10682875</v>
          </cell>
          <cell r="Y50">
            <v>2.3975711175000001</v>
          </cell>
          <cell r="Z50">
            <v>2.3975711175000001</v>
          </cell>
          <cell r="AA50">
            <v>2.3975711175000001</v>
          </cell>
          <cell r="AB50">
            <v>2.3385799124999997</v>
          </cell>
          <cell r="AC50">
            <v>2.10682875</v>
          </cell>
          <cell r="AD50">
            <v>2.10682875</v>
          </cell>
          <cell r="AE50" t="str">
            <v>n/a</v>
          </cell>
          <cell r="AF50">
            <v>2.4775326875000001</v>
          </cell>
          <cell r="AG50">
            <v>2.0214110279999997</v>
          </cell>
          <cell r="AH50">
            <v>1</v>
          </cell>
        </row>
        <row r="51">
          <cell r="B51">
            <v>2015</v>
          </cell>
        </row>
        <row r="52">
          <cell r="A52" t="str">
            <v>2015PRB</v>
          </cell>
          <cell r="B52" t="str">
            <v>PRB</v>
          </cell>
          <cell r="C52">
            <v>0.35099999999999998</v>
          </cell>
          <cell r="D52">
            <v>0.35099999999999998</v>
          </cell>
          <cell r="E52">
            <v>0.35099999999999998</v>
          </cell>
          <cell r="F52">
            <v>0.35099999999999998</v>
          </cell>
          <cell r="G52">
            <v>0.45</v>
          </cell>
          <cell r="H52">
            <v>0.38</v>
          </cell>
          <cell r="I52">
            <v>0.44</v>
          </cell>
          <cell r="J52">
            <v>0.44</v>
          </cell>
          <cell r="K52">
            <v>0.432</v>
          </cell>
          <cell r="L52">
            <v>0.31240000000000001</v>
          </cell>
          <cell r="M52">
            <v>0.8</v>
          </cell>
          <cell r="N52">
            <v>0.4</v>
          </cell>
          <cell r="O52">
            <v>0.35</v>
          </cell>
          <cell r="P52">
            <v>0.43</v>
          </cell>
          <cell r="Q52">
            <v>0.38</v>
          </cell>
          <cell r="R52">
            <v>0.43</v>
          </cell>
          <cell r="S52">
            <v>0.43</v>
          </cell>
          <cell r="T52">
            <v>0.35499999999999998</v>
          </cell>
          <cell r="U52">
            <v>0.43</v>
          </cell>
          <cell r="V52">
            <v>0.45</v>
          </cell>
          <cell r="W52">
            <v>0.38750000000000001</v>
          </cell>
          <cell r="X52">
            <v>0.25</v>
          </cell>
          <cell r="Y52">
            <v>0.42249999999999999</v>
          </cell>
          <cell r="Z52">
            <v>0.42249999999999999</v>
          </cell>
          <cell r="AA52">
            <v>0.42249999999999999</v>
          </cell>
          <cell r="AB52">
            <v>0.38750000000000001</v>
          </cell>
          <cell r="AC52">
            <v>0.25</v>
          </cell>
          <cell r="AD52">
            <v>0.25</v>
          </cell>
          <cell r="AE52">
            <v>0.32</v>
          </cell>
          <cell r="AF52">
            <v>0.42249999999999999</v>
          </cell>
          <cell r="AG52">
            <v>0.37409999999999999</v>
          </cell>
          <cell r="AH52">
            <v>0</v>
          </cell>
        </row>
        <row r="53">
          <cell r="A53" t="str">
            <v>2015Overhead - Offsite</v>
          </cell>
          <cell r="B53" t="str">
            <v>Overhead - Offsite</v>
          </cell>
          <cell r="C53">
            <v>0.17249999999999999</v>
          </cell>
          <cell r="D53">
            <v>6.5000000000000002E-2</v>
          </cell>
          <cell r="E53">
            <v>0.19500000000000001</v>
          </cell>
          <cell r="F53">
            <v>0.26500000000000001</v>
          </cell>
          <cell r="G53">
            <v>0.23</v>
          </cell>
          <cell r="H53">
            <v>0.11650000000000001</v>
          </cell>
          <cell r="I53">
            <v>0.22090000000000001</v>
          </cell>
          <cell r="J53">
            <v>0.3584</v>
          </cell>
          <cell r="K53">
            <v>0.38800000000000001</v>
          </cell>
          <cell r="L53">
            <v>0.1988</v>
          </cell>
          <cell r="M53" t="str">
            <v>n/a</v>
          </cell>
          <cell r="N53">
            <v>0.65</v>
          </cell>
          <cell r="O53" t="str">
            <v>n/a</v>
          </cell>
          <cell r="P53">
            <v>0.32300000000000001</v>
          </cell>
          <cell r="Q53">
            <v>0.12</v>
          </cell>
          <cell r="R53">
            <v>0.15079999999999999</v>
          </cell>
          <cell r="S53">
            <v>0.21990000000000001</v>
          </cell>
          <cell r="T53">
            <v>0.21990000000000001</v>
          </cell>
          <cell r="U53">
            <v>0.24099999999999999</v>
          </cell>
          <cell r="V53" t="str">
            <v>n/a</v>
          </cell>
          <cell r="W53">
            <v>0.495</v>
          </cell>
          <cell r="X53">
            <v>0.495</v>
          </cell>
          <cell r="Y53">
            <v>0.495</v>
          </cell>
          <cell r="Z53">
            <v>0.495</v>
          </cell>
          <cell r="AA53">
            <v>0.495</v>
          </cell>
          <cell r="AB53">
            <v>0.495</v>
          </cell>
          <cell r="AC53">
            <v>0.495</v>
          </cell>
          <cell r="AD53">
            <v>0.495</v>
          </cell>
          <cell r="AE53" t="str">
            <v>n/a</v>
          </cell>
          <cell r="AF53">
            <v>0.495</v>
          </cell>
          <cell r="AG53">
            <v>0.3</v>
          </cell>
          <cell r="AH53">
            <v>0</v>
          </cell>
        </row>
        <row r="54">
          <cell r="A54" t="str">
            <v>2015Overhead - Onsite</v>
          </cell>
          <cell r="B54" t="str">
            <v>Overhead - Onsite</v>
          </cell>
          <cell r="C54">
            <v>3.1E-2</v>
          </cell>
          <cell r="D54">
            <v>3.1E-2</v>
          </cell>
          <cell r="E54">
            <v>2.5499999999999998E-2</v>
          </cell>
          <cell r="F54">
            <v>2.5499999999999998E-2</v>
          </cell>
          <cell r="G54">
            <v>0.06</v>
          </cell>
          <cell r="H54">
            <v>1.7899999999999999E-2</v>
          </cell>
          <cell r="I54" t="str">
            <v>n/a</v>
          </cell>
          <cell r="J54">
            <v>6.1400000000000003E-2</v>
          </cell>
          <cell r="K54" t="str">
            <v>n/a</v>
          </cell>
          <cell r="L54">
            <v>2.23E-2</v>
          </cell>
          <cell r="M54">
            <v>0.4</v>
          </cell>
          <cell r="N54" t="str">
            <v>n/a</v>
          </cell>
          <cell r="O54">
            <v>0.2</v>
          </cell>
          <cell r="P54">
            <v>9.2999999999999999E-2</v>
          </cell>
          <cell r="Q54">
            <v>7.8E-2</v>
          </cell>
          <cell r="R54">
            <v>0.15079999999999999</v>
          </cell>
          <cell r="S54">
            <v>0.05</v>
          </cell>
          <cell r="T54">
            <v>0.05</v>
          </cell>
          <cell r="U54">
            <v>1.6500000000000001E-2</v>
          </cell>
          <cell r="V54">
            <v>0.17499999999999999</v>
          </cell>
          <cell r="W54">
            <v>8.5000000000000006E-2</v>
          </cell>
          <cell r="X54">
            <v>8.5000000000000006E-2</v>
          </cell>
          <cell r="Y54">
            <v>8.5000000000000006E-2</v>
          </cell>
          <cell r="Z54">
            <v>0.1825</v>
          </cell>
          <cell r="AA54">
            <v>6.5000000000000002E-2</v>
          </cell>
          <cell r="AB54">
            <v>6.5000000000000002E-2</v>
          </cell>
          <cell r="AC54">
            <v>6.5000000000000002E-2</v>
          </cell>
          <cell r="AD54">
            <v>0.1825</v>
          </cell>
          <cell r="AE54">
            <v>6.5000000000000002E-2</v>
          </cell>
          <cell r="AF54" t="str">
            <v>n/a</v>
          </cell>
          <cell r="AG54">
            <v>6.5000000000000002E-2</v>
          </cell>
          <cell r="AH54">
            <v>0</v>
          </cell>
        </row>
        <row r="55">
          <cell r="A55" t="str">
            <v>2015Material Handling</v>
          </cell>
          <cell r="B55" t="str">
            <v>Material Handling</v>
          </cell>
          <cell r="C55">
            <v>2.76E-2</v>
          </cell>
          <cell r="D55">
            <v>2.76E-2</v>
          </cell>
          <cell r="E55">
            <v>2.7099999999999999E-2</v>
          </cell>
          <cell r="F55">
            <v>2.7099999999999999E-2</v>
          </cell>
          <cell r="G55">
            <v>0.13020000000000001</v>
          </cell>
          <cell r="H55">
            <v>2.2599999999999999E-2</v>
          </cell>
          <cell r="I55">
            <v>4.1300000000000003E-2</v>
          </cell>
          <cell r="J55">
            <v>4.1300000000000003E-2</v>
          </cell>
          <cell r="K55">
            <v>2.1000000000000001E-2</v>
          </cell>
          <cell r="L55">
            <v>2.8000000000000001E-2</v>
          </cell>
          <cell r="M55">
            <v>2.6200000000000001E-2</v>
          </cell>
          <cell r="N55">
            <v>2.6200000000000001E-2</v>
          </cell>
          <cell r="O55">
            <v>2.6200000000000001E-2</v>
          </cell>
          <cell r="P55">
            <v>4.5900000000000003E-2</v>
          </cell>
          <cell r="Q55">
            <v>5.6800000000000003E-2</v>
          </cell>
          <cell r="R55">
            <v>0</v>
          </cell>
          <cell r="S55">
            <v>3.3500000000000002E-2</v>
          </cell>
          <cell r="T55">
            <v>3.3500000000000002E-2</v>
          </cell>
          <cell r="U55">
            <v>3.4500000000000003E-2</v>
          </cell>
          <cell r="V55">
            <v>3.4500000000000003E-2</v>
          </cell>
          <cell r="W55">
            <v>3.9100000000000003E-2</v>
          </cell>
          <cell r="X55">
            <v>3.9100000000000003E-2</v>
          </cell>
          <cell r="Y55">
            <v>3.9100000000000003E-2</v>
          </cell>
          <cell r="Z55">
            <v>3.9100000000000003E-2</v>
          </cell>
          <cell r="AA55">
            <v>3.9100000000000003E-2</v>
          </cell>
          <cell r="AB55">
            <v>3.9100000000000003E-2</v>
          </cell>
          <cell r="AC55">
            <v>3.9100000000000003E-2</v>
          </cell>
          <cell r="AD55">
            <v>3.9100000000000003E-2</v>
          </cell>
          <cell r="AE55">
            <v>3.9100000000000003E-2</v>
          </cell>
          <cell r="AF55">
            <v>3.9100000000000003E-2</v>
          </cell>
          <cell r="AG55">
            <v>3.5900000000000001E-2</v>
          </cell>
          <cell r="AH55">
            <v>0</v>
          </cell>
        </row>
        <row r="56">
          <cell r="A56" t="str">
            <v>2015G&amp;A</v>
          </cell>
          <cell r="B56" t="str">
            <v>G&amp;A</v>
          </cell>
          <cell r="C56">
            <v>9.1999999999999998E-2</v>
          </cell>
          <cell r="D56">
            <v>9.1999999999999998E-2</v>
          </cell>
          <cell r="E56">
            <v>0.11609999999999999</v>
          </cell>
          <cell r="F56">
            <v>0.11609999999999999</v>
          </cell>
          <cell r="G56">
            <v>0.13020000000000001</v>
          </cell>
          <cell r="H56">
            <v>8.6900000000000005E-2</v>
          </cell>
          <cell r="I56">
            <v>0.14319999999999999</v>
          </cell>
          <cell r="J56">
            <v>0.14319999999999999</v>
          </cell>
          <cell r="K56">
            <v>0.18529999999999999</v>
          </cell>
          <cell r="L56">
            <v>8.7099999999999997E-2</v>
          </cell>
          <cell r="M56">
            <v>8.72E-2</v>
          </cell>
          <cell r="N56">
            <v>8.72E-2</v>
          </cell>
          <cell r="O56">
            <v>8.72E-2</v>
          </cell>
          <cell r="P56">
            <v>0.14680000000000001</v>
          </cell>
          <cell r="Q56">
            <v>0.16489999999999999</v>
          </cell>
          <cell r="R56">
            <v>0.1318</v>
          </cell>
          <cell r="S56">
            <v>0.12759999999999999</v>
          </cell>
          <cell r="T56">
            <v>0.12759999999999999</v>
          </cell>
          <cell r="U56">
            <v>0.17599999999999999</v>
          </cell>
          <cell r="V56">
            <v>0.17599999999999999</v>
          </cell>
          <cell r="W56">
            <v>0.12740000000000001</v>
          </cell>
          <cell r="X56">
            <v>0.12740000000000001</v>
          </cell>
          <cell r="Y56">
            <v>0.12740000000000001</v>
          </cell>
          <cell r="Z56">
            <v>0.12740000000000001</v>
          </cell>
          <cell r="AA56">
            <v>0.12740000000000001</v>
          </cell>
          <cell r="AB56">
            <v>0.12740000000000001</v>
          </cell>
          <cell r="AC56">
            <v>0.12740000000000001</v>
          </cell>
          <cell r="AD56">
            <v>0.12740000000000001</v>
          </cell>
          <cell r="AE56">
            <v>0.12740000000000001</v>
          </cell>
          <cell r="AF56">
            <v>0.16500000000000001</v>
          </cell>
          <cell r="AG56">
            <v>0.13159999999999999</v>
          </cell>
          <cell r="AH56">
            <v>0</v>
          </cell>
        </row>
        <row r="57">
          <cell r="B57" t="str">
            <v>Wrap - On</v>
          </cell>
          <cell r="C57">
            <v>1.5210260519999999</v>
          </cell>
          <cell r="D57">
            <v>1.5210260519999999</v>
          </cell>
          <cell r="E57">
            <v>1.5463013030500004</v>
          </cell>
          <cell r="F57">
            <v>1.5463013030500004</v>
          </cell>
          <cell r="G57">
            <v>1.7371174</v>
          </cell>
          <cell r="H57">
            <v>1.5267706038</v>
          </cell>
          <cell r="I57" t="str">
            <v>n/a</v>
          </cell>
          <cell r="J57">
            <v>1.7472851711999997</v>
          </cell>
          <cell r="K57" t="str">
            <v>n/a</v>
          </cell>
          <cell r="L57">
            <v>1.4585256738919998</v>
          </cell>
          <cell r="M57">
            <v>2.739744</v>
          </cell>
          <cell r="N57" t="str">
            <v>n/a</v>
          </cell>
          <cell r="O57">
            <v>1.7612639999999999</v>
          </cell>
          <cell r="P57">
            <v>1.792436932</v>
          </cell>
          <cell r="Q57">
            <v>1.7329518360000002</v>
          </cell>
          <cell r="R57">
            <v>1.8625398791999996</v>
          </cell>
          <cell r="S57">
            <v>1.6930913999999999</v>
          </cell>
          <cell r="T57">
            <v>1.6042928999999999</v>
          </cell>
          <cell r="U57">
            <v>1.7094277199999999</v>
          </cell>
          <cell r="V57">
            <v>2.0036100000000001</v>
          </cell>
          <cell r="W57">
            <v>1.6972302374999999</v>
          </cell>
          <cell r="X57">
            <v>1.5290362499999999</v>
          </cell>
          <cell r="Y57">
            <v>1.7400432524999998</v>
          </cell>
          <cell r="Z57">
            <v>1.8964065862499999</v>
          </cell>
          <cell r="AA57">
            <v>1.7079687224999998</v>
          </cell>
          <cell r="AB57">
            <v>1.6659448874999998</v>
          </cell>
          <cell r="AC57">
            <v>1.5008512499999997</v>
          </cell>
          <cell r="AD57">
            <v>1.666438125</v>
          </cell>
          <cell r="AE57">
            <v>1.5848989199999999</v>
          </cell>
          <cell r="AF57" t="str">
            <v>n/a</v>
          </cell>
          <cell r="AG57">
            <v>1.6560021113999999</v>
          </cell>
          <cell r="AH57">
            <v>1</v>
          </cell>
        </row>
        <row r="58">
          <cell r="B58" t="str">
            <v>Wrap - Off</v>
          </cell>
          <cell r="C58">
            <v>1.72977987</v>
          </cell>
          <cell r="D58">
            <v>1.5711859800000001</v>
          </cell>
          <cell r="E58">
            <v>1.8018820645000002</v>
          </cell>
          <cell r="F58">
            <v>1.9074316415000003</v>
          </cell>
          <cell r="G58">
            <v>2.0157117000000002</v>
          </cell>
          <cell r="H58">
            <v>1.6746629129999999</v>
          </cell>
          <cell r="I58">
            <v>2.0098553472000003</v>
          </cell>
          <cell r="J58">
            <v>2.2362089472000002</v>
          </cell>
          <cell r="K58">
            <v>2.3559212447999998</v>
          </cell>
          <cell r="L58">
            <v>1.710339995952</v>
          </cell>
          <cell r="M58" t="str">
            <v>n/a</v>
          </cell>
          <cell r="N58">
            <v>2.5114319999999997</v>
          </cell>
          <cell r="O58" t="str">
            <v>n/a</v>
          </cell>
          <cell r="P58">
            <v>2.1696194520000001</v>
          </cell>
          <cell r="Q58">
            <v>1.8004694400000001</v>
          </cell>
          <cell r="R58">
            <v>1.8625398791999996</v>
          </cell>
          <cell r="S58">
            <v>1.9670497131999998</v>
          </cell>
          <cell r="T58">
            <v>1.8638827701999998</v>
          </cell>
          <cell r="U58">
            <v>2.08696488</v>
          </cell>
          <cell r="V58" t="str">
            <v>n/a</v>
          </cell>
          <cell r="W58">
            <v>2.3385799124999997</v>
          </cell>
          <cell r="X58">
            <v>2.10682875</v>
          </cell>
          <cell r="Y58">
            <v>2.3975711175000001</v>
          </cell>
          <cell r="Z58">
            <v>2.3975711175000001</v>
          </cell>
          <cell r="AA58">
            <v>2.3975711175000001</v>
          </cell>
          <cell r="AB58">
            <v>2.3385799124999997</v>
          </cell>
          <cell r="AC58">
            <v>2.10682875</v>
          </cell>
          <cell r="AD58">
            <v>2.10682875</v>
          </cell>
          <cell r="AE58" t="str">
            <v>n/a</v>
          </cell>
          <cell r="AF58">
            <v>2.4775326875000001</v>
          </cell>
          <cell r="AG58">
            <v>2.0214110279999997</v>
          </cell>
          <cell r="AH58">
            <v>1</v>
          </cell>
        </row>
        <row r="59">
          <cell r="B59">
            <v>2016</v>
          </cell>
        </row>
        <row r="60">
          <cell r="A60" t="str">
            <v>2016PRB</v>
          </cell>
          <cell r="B60" t="str">
            <v>PRB</v>
          </cell>
          <cell r="C60">
            <v>0.35099999999999998</v>
          </cell>
          <cell r="D60">
            <v>0.35099999999999998</v>
          </cell>
          <cell r="E60">
            <v>0.35099999999999998</v>
          </cell>
          <cell r="F60">
            <v>0.35099999999999998</v>
          </cell>
          <cell r="G60">
            <v>0.45</v>
          </cell>
          <cell r="H60">
            <v>0.38</v>
          </cell>
          <cell r="I60">
            <v>0.44</v>
          </cell>
          <cell r="J60">
            <v>0.44</v>
          </cell>
          <cell r="K60">
            <v>0.432</v>
          </cell>
          <cell r="L60">
            <v>0.31240000000000001</v>
          </cell>
          <cell r="M60">
            <v>0.8</v>
          </cell>
          <cell r="N60">
            <v>0.4</v>
          </cell>
          <cell r="O60">
            <v>0.35</v>
          </cell>
          <cell r="P60">
            <v>0.43</v>
          </cell>
          <cell r="Q60">
            <v>0.38</v>
          </cell>
          <cell r="R60">
            <v>0.43</v>
          </cell>
          <cell r="S60">
            <v>0.43</v>
          </cell>
          <cell r="T60">
            <v>0.35499999999999998</v>
          </cell>
          <cell r="U60">
            <v>0.43</v>
          </cell>
          <cell r="V60">
            <v>0.45</v>
          </cell>
          <cell r="W60">
            <v>0.38750000000000001</v>
          </cell>
          <cell r="X60">
            <v>0.25</v>
          </cell>
          <cell r="Y60">
            <v>0.42249999999999999</v>
          </cell>
          <cell r="Z60">
            <v>0.42249999999999999</v>
          </cell>
          <cell r="AA60">
            <v>0.42249999999999999</v>
          </cell>
          <cell r="AB60">
            <v>0.38750000000000001</v>
          </cell>
          <cell r="AC60">
            <v>0.25</v>
          </cell>
          <cell r="AD60">
            <v>0.25</v>
          </cell>
          <cell r="AE60">
            <v>0.32</v>
          </cell>
          <cell r="AF60">
            <v>0.42249999999999999</v>
          </cell>
          <cell r="AG60">
            <v>0.37409999999999999</v>
          </cell>
          <cell r="AH60">
            <v>0</v>
          </cell>
        </row>
        <row r="61">
          <cell r="A61" t="str">
            <v>2016Overhead - Offsite</v>
          </cell>
          <cell r="B61" t="str">
            <v>Overhead - Offsite</v>
          </cell>
          <cell r="C61">
            <v>0.17249999999999999</v>
          </cell>
          <cell r="D61">
            <v>6.5000000000000002E-2</v>
          </cell>
          <cell r="E61">
            <v>0.19500000000000001</v>
          </cell>
          <cell r="F61">
            <v>0.26500000000000001</v>
          </cell>
          <cell r="G61">
            <v>0.23</v>
          </cell>
          <cell r="H61">
            <v>0.11650000000000001</v>
          </cell>
          <cell r="I61">
            <v>0.22090000000000001</v>
          </cell>
          <cell r="J61">
            <v>0.3584</v>
          </cell>
          <cell r="K61">
            <v>0.38800000000000001</v>
          </cell>
          <cell r="L61">
            <v>0.1988</v>
          </cell>
          <cell r="M61" t="str">
            <v>n/a</v>
          </cell>
          <cell r="N61">
            <v>0.65</v>
          </cell>
          <cell r="O61" t="str">
            <v>n/a</v>
          </cell>
          <cell r="P61">
            <v>0.32300000000000001</v>
          </cell>
          <cell r="Q61">
            <v>0.12</v>
          </cell>
          <cell r="R61">
            <v>0.15079999999999999</v>
          </cell>
          <cell r="S61">
            <v>0.21990000000000001</v>
          </cell>
          <cell r="T61">
            <v>0.21990000000000001</v>
          </cell>
          <cell r="U61">
            <v>0.24099999999999999</v>
          </cell>
          <cell r="V61" t="str">
            <v>n/a</v>
          </cell>
          <cell r="W61">
            <v>0.495</v>
          </cell>
          <cell r="X61">
            <v>0.495</v>
          </cell>
          <cell r="Y61">
            <v>0.495</v>
          </cell>
          <cell r="Z61">
            <v>0.495</v>
          </cell>
          <cell r="AA61">
            <v>0.495</v>
          </cell>
          <cell r="AB61">
            <v>0.495</v>
          </cell>
          <cell r="AC61">
            <v>0.495</v>
          </cell>
          <cell r="AD61">
            <v>0.495</v>
          </cell>
          <cell r="AE61" t="str">
            <v>n/a</v>
          </cell>
          <cell r="AF61">
            <v>0.495</v>
          </cell>
          <cell r="AG61">
            <v>0.3</v>
          </cell>
          <cell r="AH61">
            <v>0</v>
          </cell>
        </row>
        <row r="62">
          <cell r="A62" t="str">
            <v>2016Overhead - Onsite</v>
          </cell>
          <cell r="B62" t="str">
            <v>Overhead - Onsite</v>
          </cell>
          <cell r="C62">
            <v>3.1E-2</v>
          </cell>
          <cell r="D62">
            <v>3.1E-2</v>
          </cell>
          <cell r="E62">
            <v>2.5499999999999998E-2</v>
          </cell>
          <cell r="F62">
            <v>2.5499999999999998E-2</v>
          </cell>
          <cell r="G62">
            <v>0.06</v>
          </cell>
          <cell r="H62">
            <v>1.7899999999999999E-2</v>
          </cell>
          <cell r="I62" t="str">
            <v>n/a</v>
          </cell>
          <cell r="J62">
            <v>6.1400000000000003E-2</v>
          </cell>
          <cell r="K62" t="str">
            <v>n/a</v>
          </cell>
          <cell r="L62">
            <v>2.23E-2</v>
          </cell>
          <cell r="M62">
            <v>0.4</v>
          </cell>
          <cell r="N62" t="str">
            <v>n/a</v>
          </cell>
          <cell r="O62">
            <v>0.2</v>
          </cell>
          <cell r="P62">
            <v>9.2999999999999999E-2</v>
          </cell>
          <cell r="Q62">
            <v>7.8E-2</v>
          </cell>
          <cell r="R62">
            <v>0.15079999999999999</v>
          </cell>
          <cell r="S62">
            <v>0.05</v>
          </cell>
          <cell r="T62">
            <v>0.05</v>
          </cell>
          <cell r="U62">
            <v>1.6500000000000001E-2</v>
          </cell>
          <cell r="V62">
            <v>0.17499999999999999</v>
          </cell>
          <cell r="W62">
            <v>8.5000000000000006E-2</v>
          </cell>
          <cell r="X62">
            <v>8.5000000000000006E-2</v>
          </cell>
          <cell r="Y62">
            <v>8.5000000000000006E-2</v>
          </cell>
          <cell r="Z62">
            <v>0.1825</v>
          </cell>
          <cell r="AA62">
            <v>6.5000000000000002E-2</v>
          </cell>
          <cell r="AB62">
            <v>6.5000000000000002E-2</v>
          </cell>
          <cell r="AC62">
            <v>6.5000000000000002E-2</v>
          </cell>
          <cell r="AD62">
            <v>0.1825</v>
          </cell>
          <cell r="AE62">
            <v>6.5000000000000002E-2</v>
          </cell>
          <cell r="AF62" t="str">
            <v>n/a</v>
          </cell>
          <cell r="AG62">
            <v>6.5000000000000002E-2</v>
          </cell>
          <cell r="AH62">
            <v>0</v>
          </cell>
        </row>
        <row r="63">
          <cell r="A63" t="str">
            <v>2016Material Handling</v>
          </cell>
          <cell r="B63" t="str">
            <v>Material Handling</v>
          </cell>
          <cell r="C63">
            <v>2.76E-2</v>
          </cell>
          <cell r="D63">
            <v>2.76E-2</v>
          </cell>
          <cell r="E63">
            <v>2.7099999999999999E-2</v>
          </cell>
          <cell r="F63">
            <v>2.7099999999999999E-2</v>
          </cell>
          <cell r="G63">
            <v>0.13020000000000001</v>
          </cell>
          <cell r="H63">
            <v>2.2599999999999999E-2</v>
          </cell>
          <cell r="I63">
            <v>4.1300000000000003E-2</v>
          </cell>
          <cell r="J63">
            <v>4.1300000000000003E-2</v>
          </cell>
          <cell r="K63">
            <v>2.1000000000000001E-2</v>
          </cell>
          <cell r="L63">
            <v>2.8000000000000001E-2</v>
          </cell>
          <cell r="M63">
            <v>2.6200000000000001E-2</v>
          </cell>
          <cell r="N63">
            <v>2.6200000000000001E-2</v>
          </cell>
          <cell r="O63">
            <v>2.6200000000000001E-2</v>
          </cell>
          <cell r="P63">
            <v>4.5900000000000003E-2</v>
          </cell>
          <cell r="Q63">
            <v>5.6800000000000003E-2</v>
          </cell>
          <cell r="R63">
            <v>0</v>
          </cell>
          <cell r="S63">
            <v>3.3500000000000002E-2</v>
          </cell>
          <cell r="T63">
            <v>3.3500000000000002E-2</v>
          </cell>
          <cell r="U63">
            <v>3.4500000000000003E-2</v>
          </cell>
          <cell r="V63">
            <v>3.4500000000000003E-2</v>
          </cell>
          <cell r="W63">
            <v>3.9100000000000003E-2</v>
          </cell>
          <cell r="X63">
            <v>3.9100000000000003E-2</v>
          </cell>
          <cell r="Y63">
            <v>3.9100000000000003E-2</v>
          </cell>
          <cell r="Z63">
            <v>3.9100000000000003E-2</v>
          </cell>
          <cell r="AA63">
            <v>3.9100000000000003E-2</v>
          </cell>
          <cell r="AB63">
            <v>3.9100000000000003E-2</v>
          </cell>
          <cell r="AC63">
            <v>3.9100000000000003E-2</v>
          </cell>
          <cell r="AD63">
            <v>3.9100000000000003E-2</v>
          </cell>
          <cell r="AE63">
            <v>3.9100000000000003E-2</v>
          </cell>
          <cell r="AF63">
            <v>3.9100000000000003E-2</v>
          </cell>
          <cell r="AG63">
            <v>3.5900000000000001E-2</v>
          </cell>
          <cell r="AH63">
            <v>0</v>
          </cell>
        </row>
        <row r="64">
          <cell r="A64" t="str">
            <v>2016G&amp;A</v>
          </cell>
          <cell r="B64" t="str">
            <v>G&amp;A</v>
          </cell>
          <cell r="C64">
            <v>9.1999999999999998E-2</v>
          </cell>
          <cell r="D64">
            <v>9.1999999999999998E-2</v>
          </cell>
          <cell r="E64">
            <v>0.11609999999999999</v>
          </cell>
          <cell r="F64">
            <v>0.11609999999999999</v>
          </cell>
          <cell r="G64">
            <v>0.13020000000000001</v>
          </cell>
          <cell r="H64">
            <v>8.6900000000000005E-2</v>
          </cell>
          <cell r="I64">
            <v>0.14319999999999999</v>
          </cell>
          <cell r="J64">
            <v>0.14319999999999999</v>
          </cell>
          <cell r="K64">
            <v>0.18529999999999999</v>
          </cell>
          <cell r="L64">
            <v>8.7099999999999997E-2</v>
          </cell>
          <cell r="M64">
            <v>8.72E-2</v>
          </cell>
          <cell r="N64">
            <v>8.72E-2</v>
          </cell>
          <cell r="O64">
            <v>8.72E-2</v>
          </cell>
          <cell r="P64">
            <v>0.14680000000000001</v>
          </cell>
          <cell r="Q64">
            <v>0.16489999999999999</v>
          </cell>
          <cell r="R64">
            <v>0.1318</v>
          </cell>
          <cell r="S64">
            <v>0.12759999999999999</v>
          </cell>
          <cell r="T64">
            <v>0.12759999999999999</v>
          </cell>
          <cell r="U64">
            <v>0.17599999999999999</v>
          </cell>
          <cell r="V64">
            <v>0.17599999999999999</v>
          </cell>
          <cell r="W64">
            <v>0.12740000000000001</v>
          </cell>
          <cell r="X64">
            <v>0.12740000000000001</v>
          </cell>
          <cell r="Y64">
            <v>0.12740000000000001</v>
          </cell>
          <cell r="Z64">
            <v>0.12740000000000001</v>
          </cell>
          <cell r="AA64">
            <v>0.12740000000000001</v>
          </cell>
          <cell r="AB64">
            <v>0.12740000000000001</v>
          </cell>
          <cell r="AC64">
            <v>0.12740000000000001</v>
          </cell>
          <cell r="AD64">
            <v>0.12740000000000001</v>
          </cell>
          <cell r="AE64">
            <v>0.12740000000000001</v>
          </cell>
          <cell r="AF64">
            <v>0.16500000000000001</v>
          </cell>
          <cell r="AG64">
            <v>0.13159999999999999</v>
          </cell>
          <cell r="AH64">
            <v>0</v>
          </cell>
        </row>
        <row r="65">
          <cell r="B65" t="str">
            <v>Wrap - On</v>
          </cell>
          <cell r="C65">
            <v>1.5210260519999999</v>
          </cell>
          <cell r="D65">
            <v>1.5210260519999999</v>
          </cell>
          <cell r="E65">
            <v>1.5463013030500004</v>
          </cell>
          <cell r="F65">
            <v>1.5463013030500004</v>
          </cell>
          <cell r="G65">
            <v>1.7371174</v>
          </cell>
          <cell r="H65">
            <v>1.5267706038</v>
          </cell>
          <cell r="I65" t="str">
            <v>n/a</v>
          </cell>
          <cell r="J65">
            <v>1.7472851711999997</v>
          </cell>
          <cell r="K65" t="str">
            <v>n/a</v>
          </cell>
          <cell r="L65">
            <v>1.4585256738919998</v>
          </cell>
          <cell r="M65">
            <v>2.739744</v>
          </cell>
          <cell r="N65" t="str">
            <v>n/a</v>
          </cell>
          <cell r="O65">
            <v>1.7612639999999999</v>
          </cell>
          <cell r="P65">
            <v>1.792436932</v>
          </cell>
          <cell r="Q65">
            <v>1.7329518360000002</v>
          </cell>
          <cell r="R65">
            <v>1.8625398791999996</v>
          </cell>
          <cell r="S65">
            <v>1.6930913999999999</v>
          </cell>
          <cell r="T65">
            <v>1.6042928999999999</v>
          </cell>
          <cell r="U65">
            <v>1.7094277199999999</v>
          </cell>
          <cell r="V65">
            <v>2.0036100000000001</v>
          </cell>
          <cell r="W65">
            <v>1.6972302374999999</v>
          </cell>
          <cell r="X65">
            <v>1.5290362499999999</v>
          </cell>
          <cell r="Y65">
            <v>1.7400432524999998</v>
          </cell>
          <cell r="Z65">
            <v>1.8964065862499999</v>
          </cell>
          <cell r="AA65">
            <v>1.7079687224999998</v>
          </cell>
          <cell r="AB65">
            <v>1.6659448874999998</v>
          </cell>
          <cell r="AC65">
            <v>1.5008512499999997</v>
          </cell>
          <cell r="AD65">
            <v>1.666438125</v>
          </cell>
          <cell r="AE65">
            <v>1.5848989199999999</v>
          </cell>
          <cell r="AF65" t="str">
            <v>n/a</v>
          </cell>
          <cell r="AG65">
            <v>1.6560021113999999</v>
          </cell>
          <cell r="AH65">
            <v>1</v>
          </cell>
        </row>
        <row r="66">
          <cell r="B66" t="str">
            <v>Wrap - Off</v>
          </cell>
          <cell r="C66">
            <v>1.72977987</v>
          </cell>
          <cell r="D66">
            <v>1.5711859800000001</v>
          </cell>
          <cell r="E66">
            <v>1.8018820645000002</v>
          </cell>
          <cell r="F66">
            <v>1.9074316415000003</v>
          </cell>
          <cell r="G66">
            <v>2.0157117000000002</v>
          </cell>
          <cell r="H66">
            <v>1.6746629129999999</v>
          </cell>
          <cell r="I66">
            <v>2.0098553472000003</v>
          </cell>
          <cell r="J66">
            <v>2.2362089472000002</v>
          </cell>
          <cell r="K66">
            <v>2.3559212447999998</v>
          </cell>
          <cell r="L66">
            <v>1.710339995952</v>
          </cell>
          <cell r="M66" t="str">
            <v>n/a</v>
          </cell>
          <cell r="N66">
            <v>2.5114319999999997</v>
          </cell>
          <cell r="O66" t="str">
            <v>n/a</v>
          </cell>
          <cell r="P66">
            <v>2.1696194520000001</v>
          </cell>
          <cell r="Q66">
            <v>1.8004694400000001</v>
          </cell>
          <cell r="R66">
            <v>1.8625398791999996</v>
          </cell>
          <cell r="S66">
            <v>1.9670497131999998</v>
          </cell>
          <cell r="T66">
            <v>1.8638827701999998</v>
          </cell>
          <cell r="U66">
            <v>2.08696488</v>
          </cell>
          <cell r="V66" t="str">
            <v>n/a</v>
          </cell>
          <cell r="W66">
            <v>2.3385799124999997</v>
          </cell>
          <cell r="X66">
            <v>2.10682875</v>
          </cell>
          <cell r="Y66">
            <v>2.3975711175000001</v>
          </cell>
          <cell r="Z66">
            <v>2.3975711175000001</v>
          </cell>
          <cell r="AA66">
            <v>2.3975711175000001</v>
          </cell>
          <cell r="AB66">
            <v>2.3385799124999997</v>
          </cell>
          <cell r="AC66">
            <v>2.10682875</v>
          </cell>
          <cell r="AD66">
            <v>2.10682875</v>
          </cell>
          <cell r="AE66" t="str">
            <v>n/a</v>
          </cell>
          <cell r="AF66">
            <v>2.4775326875000001</v>
          </cell>
          <cell r="AG66">
            <v>2.0214110279999997</v>
          </cell>
          <cell r="AH66">
            <v>1</v>
          </cell>
        </row>
      </sheetData>
      <sheetData sheetId="11" refreshError="1"/>
      <sheetData sheetId="12" refreshError="1"/>
      <sheetData sheetId="13" refreshError="1"/>
      <sheetData sheetId="14" refreshError="1"/>
      <sheetData sheetId="15" refreshError="1"/>
      <sheetData sheetId="16" refreshError="1"/>
      <sheetData sheetId="17"/>
      <sheetData sheetId="18">
        <row r="8">
          <cell r="O8">
            <v>40086</v>
          </cell>
          <cell r="P8">
            <v>1</v>
          </cell>
          <cell r="Q8">
            <v>654753.62130952382</v>
          </cell>
          <cell r="R8">
            <v>0</v>
          </cell>
          <cell r="S8">
            <v>0</v>
          </cell>
        </row>
        <row r="9">
          <cell r="O9">
            <v>40117</v>
          </cell>
          <cell r="P9">
            <v>2</v>
          </cell>
          <cell r="Q9">
            <v>483687.61130952381</v>
          </cell>
          <cell r="R9">
            <v>0</v>
          </cell>
          <cell r="S9">
            <v>0</v>
          </cell>
        </row>
        <row r="10">
          <cell r="O10">
            <v>40147</v>
          </cell>
          <cell r="P10">
            <v>3</v>
          </cell>
          <cell r="Q10">
            <v>483687.61130952381</v>
          </cell>
          <cell r="R10">
            <v>0</v>
          </cell>
          <cell r="S10">
            <v>0</v>
          </cell>
        </row>
        <row r="11">
          <cell r="O11">
            <v>40178</v>
          </cell>
          <cell r="P11">
            <v>4</v>
          </cell>
          <cell r="Q11">
            <v>2511861.9175595241</v>
          </cell>
          <cell r="R11">
            <v>0</v>
          </cell>
          <cell r="S11">
            <v>0</v>
          </cell>
        </row>
        <row r="12">
          <cell r="O12">
            <v>40209</v>
          </cell>
          <cell r="P12">
            <v>5</v>
          </cell>
          <cell r="Q12">
            <v>2511861.9175595241</v>
          </cell>
          <cell r="R12">
            <v>0</v>
          </cell>
          <cell r="S12">
            <v>0</v>
          </cell>
        </row>
        <row r="13">
          <cell r="O13">
            <v>40237</v>
          </cell>
          <cell r="P13">
            <v>6</v>
          </cell>
          <cell r="Q13">
            <v>2511861.9175595241</v>
          </cell>
          <cell r="R13">
            <v>0</v>
          </cell>
          <cell r="S13">
            <v>0</v>
          </cell>
        </row>
        <row r="14">
          <cell r="O14">
            <v>40268</v>
          </cell>
          <cell r="P14">
            <v>7</v>
          </cell>
          <cell r="Q14">
            <v>2511861.9175595241</v>
          </cell>
          <cell r="R14">
            <v>0</v>
          </cell>
          <cell r="S14">
            <v>0</v>
          </cell>
        </row>
        <row r="16">
          <cell r="O16">
            <v>40298</v>
          </cell>
          <cell r="P16">
            <v>8</v>
          </cell>
          <cell r="Q16">
            <v>1570120.5741666667</v>
          </cell>
          <cell r="R16">
            <v>0</v>
          </cell>
          <cell r="S16">
            <v>0</v>
          </cell>
        </row>
        <row r="17">
          <cell r="O17">
            <v>40329</v>
          </cell>
          <cell r="P17">
            <v>9</v>
          </cell>
          <cell r="Q17">
            <v>1570120.5741666667</v>
          </cell>
          <cell r="R17">
            <v>0</v>
          </cell>
          <cell r="S17">
            <v>0</v>
          </cell>
        </row>
        <row r="18">
          <cell r="O18">
            <v>40359</v>
          </cell>
          <cell r="P18">
            <v>10</v>
          </cell>
          <cell r="Q18">
            <v>1570120.5741666667</v>
          </cell>
          <cell r="R18">
            <v>2494276.1632906254</v>
          </cell>
          <cell r="S18">
            <v>2771417.9592118058</v>
          </cell>
        </row>
        <row r="19">
          <cell r="O19">
            <v>40390</v>
          </cell>
          <cell r="P19">
            <v>11</v>
          </cell>
          <cell r="Q19">
            <v>1570120.5741666667</v>
          </cell>
          <cell r="R19">
            <v>2771417.9592118058</v>
          </cell>
          <cell r="S19">
            <v>2771417.9592118058</v>
          </cell>
        </row>
        <row r="20">
          <cell r="O20">
            <v>40421</v>
          </cell>
          <cell r="P20">
            <v>12</v>
          </cell>
          <cell r="Q20">
            <v>1570120.5741666667</v>
          </cell>
          <cell r="R20">
            <v>2771417.9592118058</v>
          </cell>
          <cell r="S20">
            <v>2771417.9592118058</v>
          </cell>
        </row>
        <row r="21">
          <cell r="O21">
            <v>40451</v>
          </cell>
          <cell r="P21">
            <v>13</v>
          </cell>
          <cell r="Q21">
            <v>1570120.5741666667</v>
          </cell>
          <cell r="R21">
            <v>2771417.9592118058</v>
          </cell>
          <cell r="S21">
            <v>2771417.9592118058</v>
          </cell>
        </row>
        <row r="22">
          <cell r="O22">
            <v>40482</v>
          </cell>
          <cell r="P22">
            <v>14</v>
          </cell>
          <cell r="Q22">
            <v>1570120.5741666667</v>
          </cell>
          <cell r="R22">
            <v>2771417.9592118058</v>
          </cell>
          <cell r="S22">
            <v>2771417.9592118058</v>
          </cell>
        </row>
        <row r="23">
          <cell r="O23">
            <v>40512</v>
          </cell>
          <cell r="P23">
            <v>15</v>
          </cell>
          <cell r="Q23">
            <v>1570120.5741666667</v>
          </cell>
          <cell r="R23">
            <v>2771417.9592118058</v>
          </cell>
          <cell r="S23">
            <v>2771417.9592118058</v>
          </cell>
        </row>
        <row r="24">
          <cell r="O24">
            <v>40543</v>
          </cell>
          <cell r="P24">
            <v>16</v>
          </cell>
          <cell r="Q24">
            <v>1570120.5741666667</v>
          </cell>
          <cell r="R24">
            <v>2771417.9592118058</v>
          </cell>
          <cell r="S24">
            <v>2771417.9592118058</v>
          </cell>
        </row>
        <row r="25">
          <cell r="O25">
            <v>40574</v>
          </cell>
          <cell r="P25">
            <v>17</v>
          </cell>
          <cell r="Q25">
            <v>1570120.5741666667</v>
          </cell>
          <cell r="R25">
            <v>2771417.9592118058</v>
          </cell>
          <cell r="S25">
            <v>2771417.9592118058</v>
          </cell>
        </row>
        <row r="26">
          <cell r="O26">
            <v>40602</v>
          </cell>
          <cell r="P26">
            <v>18</v>
          </cell>
          <cell r="Q26">
            <v>1570120.5741666667</v>
          </cell>
          <cell r="R26">
            <v>2771417.9592118058</v>
          </cell>
          <cell r="S26">
            <v>2771417.9592118058</v>
          </cell>
        </row>
        <row r="27">
          <cell r="O27">
            <v>40633</v>
          </cell>
          <cell r="P27">
            <v>19</v>
          </cell>
          <cell r="Q27">
            <v>1570120.5741666667</v>
          </cell>
          <cell r="R27">
            <v>2771417.9592118058</v>
          </cell>
          <cell r="S27">
            <v>2771417.9592118058</v>
          </cell>
        </row>
        <row r="29">
          <cell r="O29">
            <v>40663</v>
          </cell>
          <cell r="P29">
            <v>20</v>
          </cell>
          <cell r="Q29">
            <v>1561199.25</v>
          </cell>
          <cell r="R29">
            <v>2771417.9592118058</v>
          </cell>
          <cell r="S29">
            <v>2771417.9592118058</v>
          </cell>
        </row>
        <row r="30">
          <cell r="O30">
            <v>40694</v>
          </cell>
          <cell r="P30">
            <v>21</v>
          </cell>
          <cell r="Q30">
            <v>1561199.25</v>
          </cell>
          <cell r="R30">
            <v>2771417.9592118058</v>
          </cell>
          <cell r="S30">
            <v>2771417.9592118058</v>
          </cell>
        </row>
        <row r="31">
          <cell r="O31">
            <v>40724</v>
          </cell>
          <cell r="P31">
            <v>22</v>
          </cell>
          <cell r="Q31">
            <v>1561199.25</v>
          </cell>
          <cell r="R31">
            <v>1808678.2601711808</v>
          </cell>
          <cell r="S31">
            <v>1701707.1825000001</v>
          </cell>
        </row>
        <row r="32">
          <cell r="O32">
            <v>40755</v>
          </cell>
          <cell r="P32">
            <v>23</v>
          </cell>
          <cell r="Q32">
            <v>1561199.25</v>
          </cell>
          <cell r="R32">
            <v>1701707.1825000001</v>
          </cell>
          <cell r="S32">
            <v>1701707.1825000001</v>
          </cell>
        </row>
        <row r="33">
          <cell r="O33">
            <v>40786</v>
          </cell>
          <cell r="P33">
            <v>24</v>
          </cell>
          <cell r="Q33">
            <v>1561199.25</v>
          </cell>
          <cell r="R33">
            <v>1701707.1825000001</v>
          </cell>
          <cell r="S33">
            <v>1701707.1825000001</v>
          </cell>
        </row>
        <row r="34">
          <cell r="O34">
            <v>40816</v>
          </cell>
          <cell r="P34">
            <v>25</v>
          </cell>
          <cell r="Q34">
            <v>1561199.25</v>
          </cell>
          <cell r="R34">
            <v>1701707.1825000001</v>
          </cell>
          <cell r="S34">
            <v>1701707.1825000001</v>
          </cell>
        </row>
        <row r="35">
          <cell r="O35">
            <v>40847</v>
          </cell>
          <cell r="P35">
            <v>26</v>
          </cell>
          <cell r="Q35">
            <v>1561199.25</v>
          </cell>
          <cell r="R35">
            <v>1701707.1825000001</v>
          </cell>
          <cell r="S35">
            <v>1701707.1825000001</v>
          </cell>
        </row>
        <row r="36">
          <cell r="O36">
            <v>40877</v>
          </cell>
          <cell r="P36">
            <v>27</v>
          </cell>
          <cell r="Q36">
            <v>1561199.25</v>
          </cell>
          <cell r="R36">
            <v>1701707.1825000001</v>
          </cell>
          <cell r="S36">
            <v>1701707.1825000001</v>
          </cell>
        </row>
        <row r="37">
          <cell r="O37">
            <v>40908</v>
          </cell>
          <cell r="P37">
            <v>28</v>
          </cell>
          <cell r="Q37">
            <v>1561199.25</v>
          </cell>
          <cell r="R37">
            <v>1701707.1825000001</v>
          </cell>
          <cell r="S37">
            <v>1701707.1825000001</v>
          </cell>
        </row>
        <row r="38">
          <cell r="O38">
            <v>40939</v>
          </cell>
          <cell r="P38">
            <v>29</v>
          </cell>
          <cell r="Q38">
            <v>1561199.25</v>
          </cell>
          <cell r="R38">
            <v>1701707.1825000001</v>
          </cell>
          <cell r="S38">
            <v>1701707.1825000001</v>
          </cell>
        </row>
        <row r="39">
          <cell r="O39">
            <v>40968</v>
          </cell>
          <cell r="P39">
            <v>30</v>
          </cell>
          <cell r="Q39">
            <v>1561199.25</v>
          </cell>
          <cell r="R39">
            <v>1701707.1825000001</v>
          </cell>
          <cell r="S39">
            <v>1701707.1825000001</v>
          </cell>
        </row>
        <row r="40">
          <cell r="O40">
            <v>40999</v>
          </cell>
          <cell r="P40">
            <v>31</v>
          </cell>
          <cell r="Q40">
            <v>1561199.25</v>
          </cell>
          <cell r="R40">
            <v>1701707.1825000001</v>
          </cell>
          <cell r="S40">
            <v>1701707.1825000001</v>
          </cell>
        </row>
        <row r="42">
          <cell r="O42">
            <v>41029</v>
          </cell>
          <cell r="P42">
            <v>32</v>
          </cell>
          <cell r="Q42">
            <v>1637106.8808333334</v>
          </cell>
          <cell r="R42">
            <v>1701707.1825000001</v>
          </cell>
          <cell r="S42">
            <v>1701707.1825000001</v>
          </cell>
        </row>
        <row r="43">
          <cell r="O43">
            <v>41060</v>
          </cell>
          <cell r="P43">
            <v>33</v>
          </cell>
          <cell r="Q43">
            <v>1637106.8808333334</v>
          </cell>
          <cell r="R43">
            <v>1701707.1825000001</v>
          </cell>
          <cell r="S43">
            <v>1701707.1825000001</v>
          </cell>
        </row>
        <row r="44">
          <cell r="O44">
            <v>41090</v>
          </cell>
          <cell r="P44">
            <v>34</v>
          </cell>
          <cell r="Q44">
            <v>1637106.8808333334</v>
          </cell>
          <cell r="R44">
            <v>1776172.5683475002</v>
          </cell>
          <cell r="S44">
            <v>1784446.5001083333</v>
          </cell>
        </row>
        <row r="45">
          <cell r="O45">
            <v>41121</v>
          </cell>
          <cell r="P45">
            <v>35</v>
          </cell>
          <cell r="Q45">
            <v>1637106.8808333334</v>
          </cell>
          <cell r="R45">
            <v>1784446.5001083333</v>
          </cell>
          <cell r="S45">
            <v>1784446.5001083333</v>
          </cell>
        </row>
        <row r="46">
          <cell r="O46">
            <v>41152</v>
          </cell>
          <cell r="P46">
            <v>36</v>
          </cell>
          <cell r="Q46">
            <v>1637106.8808333334</v>
          </cell>
          <cell r="R46">
            <v>1784446.5001083333</v>
          </cell>
          <cell r="S46">
            <v>1784446.5001083333</v>
          </cell>
        </row>
        <row r="47">
          <cell r="O47">
            <v>41182</v>
          </cell>
          <cell r="P47">
            <v>37</v>
          </cell>
          <cell r="Q47">
            <v>1637106.8808333334</v>
          </cell>
          <cell r="R47">
            <v>1784446.5001083333</v>
          </cell>
          <cell r="S47">
            <v>1784446.5001083333</v>
          </cell>
        </row>
        <row r="48">
          <cell r="O48">
            <v>41213</v>
          </cell>
          <cell r="P48">
            <v>38</v>
          </cell>
          <cell r="Q48">
            <v>1637106.8808333334</v>
          </cell>
          <cell r="R48">
            <v>1784446.5001083333</v>
          </cell>
          <cell r="S48">
            <v>1784446.5001083333</v>
          </cell>
        </row>
        <row r="49">
          <cell r="O49">
            <v>41243</v>
          </cell>
          <cell r="P49">
            <v>39</v>
          </cell>
          <cell r="Q49">
            <v>1637106.8808333334</v>
          </cell>
          <cell r="R49">
            <v>1784446.5001083333</v>
          </cell>
          <cell r="S49">
            <v>1784446.5001083333</v>
          </cell>
        </row>
        <row r="50">
          <cell r="O50">
            <v>41274</v>
          </cell>
          <cell r="P50">
            <v>40</v>
          </cell>
          <cell r="Q50">
            <v>1637106.8808333334</v>
          </cell>
          <cell r="R50">
            <v>1784446.5001083333</v>
          </cell>
          <cell r="S50">
            <v>1784446.5001083333</v>
          </cell>
        </row>
        <row r="51">
          <cell r="O51">
            <v>41305</v>
          </cell>
          <cell r="P51">
            <v>41</v>
          </cell>
          <cell r="Q51">
            <v>1637106.8808333334</v>
          </cell>
          <cell r="R51">
            <v>1784446.5001083333</v>
          </cell>
          <cell r="S51">
            <v>1784446.5001083333</v>
          </cell>
        </row>
        <row r="52">
          <cell r="O52">
            <v>41333</v>
          </cell>
          <cell r="P52">
            <v>42</v>
          </cell>
          <cell r="Q52">
            <v>1637106.8808333334</v>
          </cell>
          <cell r="R52">
            <v>1784446.5001083333</v>
          </cell>
          <cell r="S52">
            <v>1784446.5001083333</v>
          </cell>
        </row>
        <row r="53">
          <cell r="O53">
            <v>41364</v>
          </cell>
          <cell r="P53">
            <v>43</v>
          </cell>
          <cell r="Q53">
            <v>1637106.8808333334</v>
          </cell>
          <cell r="R53">
            <v>1784446.5001083333</v>
          </cell>
          <cell r="S53">
            <v>1784446.5001083333</v>
          </cell>
        </row>
        <row r="55">
          <cell r="O55">
            <v>41394</v>
          </cell>
          <cell r="P55">
            <v>44</v>
          </cell>
          <cell r="Q55">
            <v>1710509.3783333332</v>
          </cell>
          <cell r="R55">
            <v>1784446.5001083333</v>
          </cell>
          <cell r="S55">
            <v>1784446.5001083333</v>
          </cell>
        </row>
        <row r="56">
          <cell r="O56">
            <v>41425</v>
          </cell>
          <cell r="P56">
            <v>45</v>
          </cell>
          <cell r="Q56">
            <v>1710509.3783333332</v>
          </cell>
          <cell r="R56">
            <v>1784446.5001083333</v>
          </cell>
          <cell r="S56">
            <v>1784446.5001083333</v>
          </cell>
        </row>
        <row r="57">
          <cell r="O57">
            <v>41455</v>
          </cell>
          <cell r="P57">
            <v>46</v>
          </cell>
          <cell r="Q57">
            <v>1710509.3783333332</v>
          </cell>
          <cell r="R57">
            <v>1856454.3501558334</v>
          </cell>
          <cell r="S57">
            <v>1864455.2223833334</v>
          </cell>
        </row>
        <row r="58">
          <cell r="O58">
            <v>41486</v>
          </cell>
          <cell r="P58">
            <v>47</v>
          </cell>
          <cell r="Q58">
            <v>1710509.3783333332</v>
          </cell>
          <cell r="R58">
            <v>1864455.2223833334</v>
          </cell>
          <cell r="S58">
            <v>1864455.2223833334</v>
          </cell>
        </row>
        <row r="59">
          <cell r="O59">
            <v>41517</v>
          </cell>
          <cell r="P59">
            <v>48</v>
          </cell>
          <cell r="Q59">
            <v>1710509.3783333332</v>
          </cell>
          <cell r="R59">
            <v>1864455.2223833334</v>
          </cell>
          <cell r="S59">
            <v>1864455.2223833334</v>
          </cell>
        </row>
        <row r="60">
          <cell r="O60">
            <v>41547</v>
          </cell>
          <cell r="P60">
            <v>49</v>
          </cell>
          <cell r="Q60">
            <v>1710509.3783333332</v>
          </cell>
          <cell r="R60">
            <v>1864455.2223833334</v>
          </cell>
          <cell r="S60">
            <v>1864455.2223833334</v>
          </cell>
        </row>
        <row r="61">
          <cell r="O61">
            <v>41578</v>
          </cell>
          <cell r="P61">
            <v>50</v>
          </cell>
          <cell r="Q61">
            <v>1710509.3783333332</v>
          </cell>
          <cell r="R61">
            <v>1864455.2223833334</v>
          </cell>
          <cell r="S61">
            <v>1864455.2223833334</v>
          </cell>
        </row>
        <row r="62">
          <cell r="O62">
            <v>41608</v>
          </cell>
          <cell r="P62">
            <v>51</v>
          </cell>
          <cell r="Q62">
            <v>1710509.3783333332</v>
          </cell>
          <cell r="R62">
            <v>1864455.2223833334</v>
          </cell>
          <cell r="S62">
            <v>1864455.2223833334</v>
          </cell>
        </row>
        <row r="63">
          <cell r="O63">
            <v>41639</v>
          </cell>
          <cell r="P63">
            <v>52</v>
          </cell>
          <cell r="Q63">
            <v>1710509.3783333332</v>
          </cell>
          <cell r="R63">
            <v>1864455.2223833334</v>
          </cell>
          <cell r="S63">
            <v>1864455.2223833334</v>
          </cell>
        </row>
        <row r="64">
          <cell r="O64">
            <v>41670</v>
          </cell>
          <cell r="P64">
            <v>53</v>
          </cell>
          <cell r="Q64">
            <v>1710509.3783333332</v>
          </cell>
          <cell r="R64">
            <v>1864455.2223833334</v>
          </cell>
          <cell r="S64">
            <v>1864455.2223833334</v>
          </cell>
        </row>
        <row r="65">
          <cell r="O65">
            <v>41698</v>
          </cell>
          <cell r="P65">
            <v>54</v>
          </cell>
          <cell r="Q65">
            <v>1710509.3783333332</v>
          </cell>
          <cell r="R65">
            <v>1864455.2223833334</v>
          </cell>
          <cell r="S65">
            <v>1864455.2223833334</v>
          </cell>
        </row>
        <row r="66">
          <cell r="O66">
            <v>41729</v>
          </cell>
          <cell r="P66">
            <v>55</v>
          </cell>
          <cell r="Q66">
            <v>1710509.3783333332</v>
          </cell>
          <cell r="R66">
            <v>1864455.2223833334</v>
          </cell>
          <cell r="S66">
            <v>1864455.2223833334</v>
          </cell>
        </row>
        <row r="68">
          <cell r="O68">
            <v>41759</v>
          </cell>
          <cell r="P68">
            <v>56</v>
          </cell>
          <cell r="Q68">
            <v>1790281.6174999999</v>
          </cell>
          <cell r="R68">
            <v>1864455.2223833334</v>
          </cell>
          <cell r="S68">
            <v>1864455.2223833334</v>
          </cell>
        </row>
        <row r="69">
          <cell r="O69">
            <v>41790</v>
          </cell>
          <cell r="P69">
            <v>57</v>
          </cell>
          <cell r="Q69">
            <v>1790281.6174999999</v>
          </cell>
          <cell r="R69">
            <v>1864455.2223833334</v>
          </cell>
          <cell r="S69">
            <v>1864455.2223833334</v>
          </cell>
        </row>
        <row r="70">
          <cell r="O70">
            <v>41820</v>
          </cell>
          <cell r="P70">
            <v>58</v>
          </cell>
          <cell r="Q70">
            <v>1790281.6174999999</v>
          </cell>
          <cell r="R70">
            <v>1942711.7890058332</v>
          </cell>
          <cell r="S70">
            <v>1951406.9630749999</v>
          </cell>
        </row>
        <row r="71">
          <cell r="O71">
            <v>41851</v>
          </cell>
          <cell r="P71">
            <v>59</v>
          </cell>
          <cell r="Q71">
            <v>1790281.6174999999</v>
          </cell>
          <cell r="R71">
            <v>1951406.9630749999</v>
          </cell>
          <cell r="S71">
            <v>1951406.9630749999</v>
          </cell>
        </row>
        <row r="72">
          <cell r="O72">
            <v>41882</v>
          </cell>
          <cell r="P72">
            <v>60</v>
          </cell>
          <cell r="Q72">
            <v>1790281.6174999999</v>
          </cell>
          <cell r="R72">
            <v>1951406.9630749999</v>
          </cell>
          <cell r="S72">
            <v>1951406.9630749999</v>
          </cell>
        </row>
        <row r="73">
          <cell r="O73">
            <v>41912</v>
          </cell>
          <cell r="P73">
            <v>61</v>
          </cell>
          <cell r="Q73">
            <v>1790281.6174999999</v>
          </cell>
          <cell r="R73">
            <v>1951406.9630749999</v>
          </cell>
          <cell r="S73">
            <v>1951406.9630749999</v>
          </cell>
        </row>
        <row r="74">
          <cell r="O74">
            <v>41943</v>
          </cell>
          <cell r="P74">
            <v>62</v>
          </cell>
          <cell r="Q74">
            <v>1790281.6174999999</v>
          </cell>
          <cell r="R74">
            <v>1951406.9630749999</v>
          </cell>
          <cell r="S74">
            <v>1951406.9630749999</v>
          </cell>
        </row>
        <row r="75">
          <cell r="O75">
            <v>41973</v>
          </cell>
          <cell r="P75">
            <v>63</v>
          </cell>
          <cell r="Q75">
            <v>1790281.6174999999</v>
          </cell>
          <cell r="R75">
            <v>1951406.9630749999</v>
          </cell>
          <cell r="S75">
            <v>1951406.9630749999</v>
          </cell>
        </row>
        <row r="76">
          <cell r="O76">
            <v>42004</v>
          </cell>
          <cell r="P76">
            <v>64</v>
          </cell>
          <cell r="Q76">
            <v>1790281.6174999999</v>
          </cell>
          <cell r="R76">
            <v>1951406.9630749999</v>
          </cell>
          <cell r="S76">
            <v>1951406.9630749999</v>
          </cell>
        </row>
        <row r="77">
          <cell r="O77">
            <v>42035</v>
          </cell>
          <cell r="P77">
            <v>65</v>
          </cell>
          <cell r="Q77">
            <v>1790281.6174999999</v>
          </cell>
          <cell r="R77">
            <v>1951406.9630749999</v>
          </cell>
          <cell r="S77">
            <v>1951406.9630749999</v>
          </cell>
        </row>
        <row r="78">
          <cell r="O78">
            <v>42063</v>
          </cell>
          <cell r="P78">
            <v>66</v>
          </cell>
          <cell r="Q78">
            <v>1790281.6174999999</v>
          </cell>
          <cell r="R78">
            <v>1951406.9630749999</v>
          </cell>
          <cell r="S78">
            <v>1951406.9630749999</v>
          </cell>
        </row>
        <row r="79">
          <cell r="O79">
            <v>42094</v>
          </cell>
          <cell r="P79">
            <v>67</v>
          </cell>
          <cell r="Q79">
            <v>1790281.6174999999</v>
          </cell>
          <cell r="R79">
            <v>1951406.9630749999</v>
          </cell>
          <cell r="S79">
            <v>1951406.9630749999</v>
          </cell>
        </row>
        <row r="81">
          <cell r="O81">
            <v>42124</v>
          </cell>
          <cell r="P81">
            <v>68</v>
          </cell>
          <cell r="R81">
            <v>1951406.9630749999</v>
          </cell>
          <cell r="S81">
            <v>1951406.9630749999</v>
          </cell>
        </row>
        <row r="82">
          <cell r="O82">
            <v>42155</v>
          </cell>
          <cell r="P82">
            <v>69</v>
          </cell>
          <cell r="R82">
            <v>2146547.6593824998</v>
          </cell>
          <cell r="S82">
            <v>1951406.9630749999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ow r="57">
          <cell r="L57">
            <v>120881205.92734167</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8">
          <cell r="F8" t="str">
            <v>MobilizationDSI</v>
          </cell>
          <cell r="G8" t="str">
            <v>MobilizationES-KO</v>
          </cell>
          <cell r="H8" t="str">
            <v>MobilizationDFS</v>
          </cell>
          <cell r="I8" t="str">
            <v>MobilizationCobham</v>
          </cell>
          <cell r="J8" t="str">
            <v>MobilizationMedical Technician</v>
          </cell>
          <cell r="K8" t="str">
            <v>MobilizationThales</v>
          </cell>
          <cell r="L8" t="str">
            <v>MobilizationNautel</v>
          </cell>
          <cell r="M8" t="str">
            <v>MobilizationATIS</v>
          </cell>
          <cell r="N8" t="str">
            <v>MobilizationSellex</v>
          </cell>
          <cell r="O8" t="str">
            <v>MobilizationSub 10</v>
          </cell>
          <cell r="P8" t="str">
            <v>MobilizationSub 11</v>
          </cell>
          <cell r="Q8" t="str">
            <v>MobilizationSub 12</v>
          </cell>
          <cell r="R8" t="str">
            <v>MobilizationSub 13</v>
          </cell>
          <cell r="S8" t="str">
            <v>MobilizationSub 14</v>
          </cell>
          <cell r="T8" t="str">
            <v>MobilizationSub 15</v>
          </cell>
          <cell r="V8" t="str">
            <v>Contract Year 1DSI</v>
          </cell>
          <cell r="W8" t="str">
            <v>Contract Year 1ES-KO</v>
          </cell>
          <cell r="X8" t="str">
            <v>Contract Year 1DFS</v>
          </cell>
          <cell r="Y8" t="str">
            <v>Contract Year 1Cobham</v>
          </cell>
          <cell r="Z8" t="str">
            <v>Contract Year 1Medical Technician</v>
          </cell>
          <cell r="AA8" t="str">
            <v>Contract Year 1Thales</v>
          </cell>
          <cell r="AB8" t="str">
            <v>Contract Year 1Nautel</v>
          </cell>
          <cell r="AC8" t="str">
            <v>Contract Year 1ATIS</v>
          </cell>
          <cell r="AD8" t="str">
            <v>Contract Year 1Sellex</v>
          </cell>
          <cell r="AE8" t="str">
            <v>Contract Year 1Sub 10</v>
          </cell>
          <cell r="AF8" t="str">
            <v>Contract Year 1Sub 11</v>
          </cell>
          <cell r="AG8" t="str">
            <v>Contract Year 1Sub 12</v>
          </cell>
          <cell r="AH8" t="str">
            <v>Contract Year 1Sub 13</v>
          </cell>
          <cell r="AI8" t="str">
            <v>Contract Year 1Sub 14</v>
          </cell>
          <cell r="AJ8" t="str">
            <v>Contract Year 1Sub 15</v>
          </cell>
          <cell r="AL8" t="str">
            <v>Contract Year 2DSI</v>
          </cell>
          <cell r="AM8" t="str">
            <v>Contract Year 2ES-KO</v>
          </cell>
          <cell r="AN8" t="str">
            <v>Contract Year 2DFS</v>
          </cell>
          <cell r="AO8" t="str">
            <v>Contract Year 2Cobham</v>
          </cell>
          <cell r="AP8" t="str">
            <v>Contract Year 2Medical Technician</v>
          </cell>
          <cell r="AQ8" t="str">
            <v>Contract Year 2Thales</v>
          </cell>
          <cell r="AR8" t="str">
            <v>Contract Year 2Nautel</v>
          </cell>
          <cell r="AS8" t="str">
            <v>Contract Year 2ATIS</v>
          </cell>
          <cell r="AT8" t="str">
            <v>Contract Year 2Sellex</v>
          </cell>
          <cell r="AU8" t="str">
            <v>Contract Year 2Sub 10</v>
          </cell>
          <cell r="AV8" t="str">
            <v>Contract Year 2Sub 11</v>
          </cell>
          <cell r="AW8" t="str">
            <v>Contract Year 2Sub 12</v>
          </cell>
          <cell r="AX8" t="str">
            <v>Contract Year 2Sub 13</v>
          </cell>
          <cell r="AY8" t="str">
            <v>Contract Year 2Sub 14</v>
          </cell>
          <cell r="AZ8" t="str">
            <v>Contract Year 2Sub 15</v>
          </cell>
          <cell r="BB8" t="str">
            <v>Contract Year 3DSI</v>
          </cell>
          <cell r="BC8" t="str">
            <v>Contract Year 3ES-KO</v>
          </cell>
          <cell r="BD8" t="str">
            <v>Contract Year 3DFS</v>
          </cell>
          <cell r="BE8" t="str">
            <v>Contract Year 3Cobham</v>
          </cell>
          <cell r="BF8" t="str">
            <v>Contract Year 3Medical Technician</v>
          </cell>
          <cell r="BG8" t="str">
            <v>Contract Year 3Thales</v>
          </cell>
          <cell r="BH8" t="str">
            <v>Contract Year 3Nautel</v>
          </cell>
          <cell r="BI8" t="str">
            <v>Contract Year 3ATIS</v>
          </cell>
          <cell r="BJ8" t="str">
            <v>Contract Year 3Sellex</v>
          </cell>
          <cell r="BK8" t="str">
            <v>Contract Year 3Sub 10</v>
          </cell>
          <cell r="BL8" t="str">
            <v>Contract Year 3Sub 11</v>
          </cell>
          <cell r="BM8" t="str">
            <v>Contract Year 3Sub 12</v>
          </cell>
          <cell r="BN8" t="str">
            <v>Contract Year 3Sub 13</v>
          </cell>
          <cell r="BO8" t="str">
            <v>Contract Year 3Sub 14</v>
          </cell>
          <cell r="BP8" t="str">
            <v>Contract Year 3Sub 15</v>
          </cell>
          <cell r="BR8" t="str">
            <v>Option Year 1DSI</v>
          </cell>
          <cell r="BS8" t="str">
            <v>Option Year 1ES-KO</v>
          </cell>
          <cell r="BT8" t="str">
            <v>Option Year 1DFS</v>
          </cell>
          <cell r="BU8" t="str">
            <v>Option Year 1Cobham</v>
          </cell>
          <cell r="BV8" t="str">
            <v>Option Year 1Medical Technician</v>
          </cell>
          <cell r="BW8" t="str">
            <v>Option Year 1Thales</v>
          </cell>
          <cell r="BX8" t="str">
            <v>Option Year 1Nautel</v>
          </cell>
          <cell r="BY8" t="str">
            <v>Option Year 1ATIS</v>
          </cell>
          <cell r="BZ8" t="str">
            <v>Option Year 1Sellex</v>
          </cell>
          <cell r="CA8" t="str">
            <v>Option Year 1Sub 10</v>
          </cell>
          <cell r="CB8" t="str">
            <v>Option Year 1Sub 11</v>
          </cell>
          <cell r="CC8" t="str">
            <v>Option Year 1Sub 12</v>
          </cell>
          <cell r="CD8" t="str">
            <v>Option Year 1Sub 13</v>
          </cell>
          <cell r="CE8" t="str">
            <v>Option Year 1Sub 14</v>
          </cell>
          <cell r="CF8" t="str">
            <v>Option Year 1Sub 15</v>
          </cell>
          <cell r="CH8" t="str">
            <v>Option Year 2DSI</v>
          </cell>
          <cell r="CI8" t="str">
            <v>Option Year 2ES-KO</v>
          </cell>
          <cell r="CJ8" t="str">
            <v>Option Year 2DFS</v>
          </cell>
          <cell r="CK8" t="str">
            <v>Option Year 2Cobham</v>
          </cell>
          <cell r="CL8" t="str">
            <v>Option Year 2Medical Technician</v>
          </cell>
          <cell r="CM8" t="str">
            <v>Option Year 2Thales</v>
          </cell>
          <cell r="CN8" t="str">
            <v>Option Year 2Nautel</v>
          </cell>
          <cell r="CO8" t="str">
            <v>Option Year 2ATIS</v>
          </cell>
          <cell r="CP8" t="str">
            <v>Option Year 2Sellex</v>
          </cell>
          <cell r="CQ8" t="str">
            <v>Option Year 2Sub 10</v>
          </cell>
          <cell r="CR8" t="str">
            <v>Option Year 2Sub 11</v>
          </cell>
          <cell r="CS8" t="str">
            <v>Option Year 2Sub 12</v>
          </cell>
          <cell r="CT8" t="str">
            <v>Option Year 2Sub 13</v>
          </cell>
          <cell r="CU8" t="str">
            <v>Option Year 2Sub 14</v>
          </cell>
          <cell r="CV8" t="str">
            <v>Option Year 2Sub 15</v>
          </cell>
          <cell r="CX8" t="str">
            <v>Optional Pricing - Entire PoPDSI</v>
          </cell>
          <cell r="CY8" t="str">
            <v>Optional Pricing - Entire PoPES-KO</v>
          </cell>
          <cell r="CZ8" t="str">
            <v>Optional Pricing - Entire PoPDFS</v>
          </cell>
          <cell r="DA8" t="str">
            <v>Optional Pricing - Entire PoPCobham</v>
          </cell>
          <cell r="DB8" t="str">
            <v>Optional Pricing - Entire PoPMedical Technician</v>
          </cell>
          <cell r="DC8" t="str">
            <v>Optional Pricing - Entire PoPThales</v>
          </cell>
          <cell r="DD8" t="str">
            <v>Optional Pricing - Entire PoPNautel</v>
          </cell>
          <cell r="DE8" t="str">
            <v>Optional Pricing - Entire PoPATIS</v>
          </cell>
          <cell r="DF8" t="str">
            <v>Optional Pricing - Entire PoPSellex</v>
          </cell>
          <cell r="DG8" t="str">
            <v>Optional Pricing - Entire PoPSub 10</v>
          </cell>
          <cell r="DH8" t="str">
            <v>Optional Pricing - Entire PoPSub 11</v>
          </cell>
          <cell r="DI8" t="str">
            <v>Optional Pricing - Entire PoPSub 12</v>
          </cell>
          <cell r="DJ8" t="str">
            <v>Optional Pricing - Entire PoPSub 13</v>
          </cell>
          <cell r="DK8" t="str">
            <v>Optional Pricing - Entire PoPSub 14</v>
          </cell>
          <cell r="DL8" t="str">
            <v>Optional Pricing - Entire PoPSub 15</v>
          </cell>
          <cell r="DN8" t="str">
            <v>Option Year 7DSI</v>
          </cell>
          <cell r="DO8" t="str">
            <v>Option Year 7ES-KO</v>
          </cell>
          <cell r="DP8" t="str">
            <v>Option Year 7DFS</v>
          </cell>
          <cell r="DQ8" t="str">
            <v>Option Year 7Cobham</v>
          </cell>
          <cell r="DR8" t="str">
            <v>Option Year 7Medical Technician</v>
          </cell>
          <cell r="DS8" t="str">
            <v>Option Year 7Thales</v>
          </cell>
          <cell r="DT8" t="str">
            <v>Option Year 7Nautel</v>
          </cell>
          <cell r="DU8" t="str">
            <v>Option Year 7ATIS</v>
          </cell>
          <cell r="DV8" t="str">
            <v>Option Year 7Sellex</v>
          </cell>
          <cell r="DW8" t="str">
            <v>Option Year 7Sub 10</v>
          </cell>
          <cell r="DX8" t="str">
            <v>Option Year 7Sub 11</v>
          </cell>
          <cell r="DY8" t="str">
            <v>Option Year 7Sub 12</v>
          </cell>
          <cell r="DZ8" t="str">
            <v>Option Year 7Sub 13</v>
          </cell>
          <cell r="EA8" t="str">
            <v>Option Year 7Sub 14</v>
          </cell>
          <cell r="EB8" t="str">
            <v>Option Year 7Sub 15</v>
          </cell>
          <cell r="ED8" t="str">
            <v>Option Year 8DSI</v>
          </cell>
          <cell r="EE8" t="str">
            <v>Option Year 8ES-KO</v>
          </cell>
          <cell r="EF8" t="str">
            <v>Option Year 8DFS</v>
          </cell>
          <cell r="EG8" t="str">
            <v>Option Year 8Cobham</v>
          </cell>
          <cell r="EH8" t="str">
            <v>Option Year 8Medical Technician</v>
          </cell>
          <cell r="EI8" t="str">
            <v>Option Year 8Thales</v>
          </cell>
          <cell r="EJ8" t="str">
            <v>Option Year 8Nautel</v>
          </cell>
          <cell r="EK8" t="str">
            <v>Option Year 8ATIS</v>
          </cell>
          <cell r="EL8" t="str">
            <v>Option Year 8Sellex</v>
          </cell>
          <cell r="EM8" t="str">
            <v>Option Year 8Sub 10</v>
          </cell>
          <cell r="EN8" t="str">
            <v>Option Year 8Sub 11</v>
          </cell>
          <cell r="EO8" t="str">
            <v>Option Year 8Sub 12</v>
          </cell>
          <cell r="EP8" t="str">
            <v>Option Year 8Sub 13</v>
          </cell>
          <cell r="EQ8" t="str">
            <v>Option Year 8Sub 14</v>
          </cell>
          <cell r="ER8" t="str">
            <v>Option Year 8Sub 15</v>
          </cell>
          <cell r="ET8" t="str">
            <v>Option Year 9DSI</v>
          </cell>
          <cell r="EU8" t="str">
            <v>Option Year 9ES-KO</v>
          </cell>
          <cell r="EV8" t="str">
            <v>Option Year 9DFS</v>
          </cell>
          <cell r="EW8" t="str">
            <v>Option Year 9Cobham</v>
          </cell>
          <cell r="EX8" t="str">
            <v>Option Year 9Medical Technician</v>
          </cell>
          <cell r="EY8" t="str">
            <v>Option Year 9Thales</v>
          </cell>
          <cell r="EZ8" t="str">
            <v>Option Year 9Nautel</v>
          </cell>
          <cell r="FA8" t="str">
            <v>Option Year 9ATIS</v>
          </cell>
          <cell r="FB8" t="str">
            <v>Option Year 9Sellex</v>
          </cell>
          <cell r="FC8" t="str">
            <v>Option Year 9Sub 10</v>
          </cell>
          <cell r="FD8" t="str">
            <v>Option Year 9Sub 11</v>
          </cell>
          <cell r="FE8" t="str">
            <v>Option Year 9Sub 12</v>
          </cell>
          <cell r="FF8" t="str">
            <v>Option Year 9Sub 13</v>
          </cell>
          <cell r="FG8" t="str">
            <v>Option Year 9Sub 14</v>
          </cell>
          <cell r="FH8" t="str">
            <v>Option Year 9Sub 15</v>
          </cell>
          <cell r="FJ8" t="str">
            <v>Option Year 10DSI</v>
          </cell>
          <cell r="FK8" t="str">
            <v>Option Year 10ES-KO</v>
          </cell>
          <cell r="FL8" t="str">
            <v>Option Year 10DFS</v>
          </cell>
          <cell r="FM8" t="str">
            <v>Option Year 10Cobham</v>
          </cell>
          <cell r="FN8" t="str">
            <v>Option Year 10Medical Technician</v>
          </cell>
          <cell r="FO8" t="str">
            <v>Option Year 10Thales</v>
          </cell>
          <cell r="FP8" t="str">
            <v>Option Year 10Nautel</v>
          </cell>
          <cell r="FQ8" t="str">
            <v>Option Year 10ATIS</v>
          </cell>
          <cell r="FR8" t="str">
            <v>Option Year 10Sellex</v>
          </cell>
          <cell r="FS8" t="str">
            <v>Option Year 10Sub 10</v>
          </cell>
          <cell r="FT8" t="str">
            <v>Option Year 10Sub 11</v>
          </cell>
          <cell r="FU8" t="str">
            <v>Option Year 10Sub 12</v>
          </cell>
          <cell r="FV8" t="str">
            <v>Option Year 10Sub 13</v>
          </cell>
          <cell r="FW8" t="str">
            <v>Option Year 10Sub 14</v>
          </cell>
          <cell r="FX8" t="str">
            <v>Option Year 10Sub 15</v>
          </cell>
          <cell r="FZ8" t="str">
            <v>Option Year 11DSI</v>
          </cell>
          <cell r="GA8" t="str">
            <v>Option Year 11ES-KO</v>
          </cell>
          <cell r="GB8" t="str">
            <v>Option Year 11DFS</v>
          </cell>
          <cell r="GC8" t="str">
            <v>Option Year 11Cobham</v>
          </cell>
          <cell r="GD8" t="str">
            <v>Option Year 11Medical Technician</v>
          </cell>
          <cell r="GE8" t="str">
            <v>Option Year 11Thales</v>
          </cell>
          <cell r="GF8" t="str">
            <v>Option Year 11Nautel</v>
          </cell>
          <cell r="GG8" t="str">
            <v>Option Year 11ATIS</v>
          </cell>
          <cell r="GH8" t="str">
            <v>Option Year 11Sellex</v>
          </cell>
          <cell r="GI8" t="str">
            <v>Option Year 11Sub 10</v>
          </cell>
          <cell r="GJ8" t="str">
            <v>Option Year 11Sub 11</v>
          </cell>
          <cell r="GK8" t="str">
            <v>Option Year 11Sub 12</v>
          </cell>
          <cell r="GL8" t="str">
            <v>Option Year 11Sub 13</v>
          </cell>
          <cell r="GM8" t="str">
            <v>Option Year 11Sub 14</v>
          </cell>
          <cell r="GN8" t="str">
            <v>Option Year 11Sub 15</v>
          </cell>
          <cell r="GP8" t="str">
            <v>Option Year 12DSI</v>
          </cell>
          <cell r="GQ8" t="str">
            <v>Option Year 12ES-KO</v>
          </cell>
          <cell r="GR8" t="str">
            <v>Option Year 12DFS</v>
          </cell>
          <cell r="GS8" t="str">
            <v>Option Year 12Cobham</v>
          </cell>
          <cell r="GT8" t="str">
            <v>Option Year 12Medical Technician</v>
          </cell>
          <cell r="GU8" t="str">
            <v>Option Year 12Thales</v>
          </cell>
          <cell r="GV8" t="str">
            <v>Option Year 12Nautel</v>
          </cell>
          <cell r="GW8" t="str">
            <v>Option Year 12ATIS</v>
          </cell>
          <cell r="GX8" t="str">
            <v>Option Year 12Sellex</v>
          </cell>
          <cell r="GY8" t="str">
            <v>Option Year 12Sub 10</v>
          </cell>
          <cell r="GZ8" t="str">
            <v>Option Year 12Sub 11</v>
          </cell>
          <cell r="HA8" t="str">
            <v>Option Year 12Sub 12</v>
          </cell>
          <cell r="HB8" t="str">
            <v>Option Year 12Sub 13</v>
          </cell>
          <cell r="HC8" t="str">
            <v>Option Year 12Sub 14</v>
          </cell>
          <cell r="HD8" t="str">
            <v>Option Year 12Sub 15</v>
          </cell>
          <cell r="HF8" t="str">
            <v>Option Year 13DSI</v>
          </cell>
          <cell r="HG8" t="str">
            <v>Option Year 13ES-KO</v>
          </cell>
          <cell r="HH8" t="str">
            <v>Option Year 13DFS</v>
          </cell>
          <cell r="HI8" t="str">
            <v>Option Year 13Cobham</v>
          </cell>
          <cell r="HJ8" t="str">
            <v>Option Year 13Medical Technician</v>
          </cell>
          <cell r="HK8" t="str">
            <v>Option Year 13Thales</v>
          </cell>
          <cell r="HL8" t="str">
            <v>Option Year 13Nautel</v>
          </cell>
          <cell r="HM8" t="str">
            <v>Option Year 13ATIS</v>
          </cell>
          <cell r="HN8" t="str">
            <v>Option Year 13Sellex</v>
          </cell>
          <cell r="HO8" t="str">
            <v>Option Year 13Sub 10</v>
          </cell>
          <cell r="HP8" t="str">
            <v>Option Year 13Sub 11</v>
          </cell>
          <cell r="HQ8" t="str">
            <v>Option Year 13Sub 12</v>
          </cell>
          <cell r="HR8" t="str">
            <v>Option Year 13Sub 13</v>
          </cell>
          <cell r="HS8" t="str">
            <v>Option Year 13Sub 14</v>
          </cell>
          <cell r="HT8" t="str">
            <v>Option Year 13Sub 15</v>
          </cell>
          <cell r="HV8" t="str">
            <v>Option Year 14DSI</v>
          </cell>
          <cell r="HW8" t="str">
            <v>Option Year 14ES-KO</v>
          </cell>
          <cell r="HX8" t="str">
            <v>Option Year 14DFS</v>
          </cell>
          <cell r="HY8" t="str">
            <v>Option Year 14Cobham</v>
          </cell>
          <cell r="HZ8" t="str">
            <v>Option Year 14Medical Technician</v>
          </cell>
          <cell r="IA8" t="str">
            <v>Option Year 14Thales</v>
          </cell>
          <cell r="IB8" t="str">
            <v>Option Year 14Nautel</v>
          </cell>
          <cell r="IC8" t="str">
            <v>Option Year 14ATIS</v>
          </cell>
          <cell r="ID8" t="str">
            <v>Option Year 14Sellex</v>
          </cell>
          <cell r="IE8" t="str">
            <v>Option Year 14Sub 10</v>
          </cell>
          <cell r="IF8" t="str">
            <v>Option Year 14Sub 11</v>
          </cell>
          <cell r="IG8" t="str">
            <v>Option Year 14Sub 12</v>
          </cell>
          <cell r="IH8" t="str">
            <v>Option Year 14Sub 13</v>
          </cell>
          <cell r="II8" t="str">
            <v>Option Year 14Sub 14</v>
          </cell>
          <cell r="IJ8" t="str">
            <v>Option Year 14Sub 15</v>
          </cell>
        </row>
      </sheetData>
      <sheetData sheetId="56" refreshError="1"/>
      <sheetData sheetId="57">
        <row r="11">
          <cell r="AL11" t="str">
            <v>LOOKUP TABLE - DO NOT DELETE</v>
          </cell>
        </row>
        <row r="12">
          <cell r="AL12" t="str">
            <v>MobilizationISPRBContr/Govt</v>
          </cell>
          <cell r="AM12">
            <v>0.31240000000000001</v>
          </cell>
        </row>
        <row r="13">
          <cell r="AL13" t="str">
            <v>MobilizationISOverheadContr</v>
          </cell>
          <cell r="AM13">
            <v>0.1988</v>
          </cell>
        </row>
        <row r="14">
          <cell r="AL14" t="str">
            <v>MobilizationISOverheadGovt</v>
          </cell>
          <cell r="AM14">
            <v>2.23E-2</v>
          </cell>
        </row>
        <row r="15">
          <cell r="AL15" t="str">
            <v>MobilizationISMHContr/Govt</v>
          </cell>
          <cell r="AM15">
            <v>3.1300000000000001E-2</v>
          </cell>
        </row>
        <row r="16">
          <cell r="AL16" t="str">
            <v>MobilizationISG&amp;AContr/Govt</v>
          </cell>
          <cell r="AM16">
            <v>9.6299999999999997E-2</v>
          </cell>
        </row>
        <row r="17">
          <cell r="AL17" t="str">
            <v>MobilizationISTBD1Contr/Govt</v>
          </cell>
          <cell r="AM17">
            <v>0</v>
          </cell>
        </row>
        <row r="18">
          <cell r="AL18" t="str">
            <v>MobilizationISTBD2Contr/Govt</v>
          </cell>
          <cell r="AM18">
            <v>0</v>
          </cell>
        </row>
        <row r="19">
          <cell r="AL19" t="str">
            <v>MobilizationISTBD3Contr/Govt</v>
          </cell>
          <cell r="AM19">
            <v>0</v>
          </cell>
        </row>
        <row r="24">
          <cell r="AL24" t="str">
            <v>Contract Year 1ISPRBContr/Govt</v>
          </cell>
          <cell r="AM24">
            <v>0.31240000000000001</v>
          </cell>
        </row>
        <row r="25">
          <cell r="AL25" t="str">
            <v>Contract Year 1ISOverheadContr</v>
          </cell>
          <cell r="AM25">
            <v>0.1988</v>
          </cell>
        </row>
        <row r="26">
          <cell r="AL26" t="str">
            <v>Contract Year 1ISOverheadGovt</v>
          </cell>
          <cell r="AM26">
            <v>2.23E-2</v>
          </cell>
        </row>
        <row r="27">
          <cell r="AL27" t="str">
            <v>Contract Year 1ISMHContr/Govt</v>
          </cell>
          <cell r="AM27">
            <v>3.0499999999999999E-2</v>
          </cell>
        </row>
        <row r="28">
          <cell r="AL28" t="str">
            <v>Contract Year 1ISG&amp;AContr/Govt</v>
          </cell>
          <cell r="AM28">
            <v>9.4E-2</v>
          </cell>
        </row>
        <row r="29">
          <cell r="AL29" t="str">
            <v>Contract Year 1ISTBD1Contr/Govt</v>
          </cell>
          <cell r="AM29">
            <v>0</v>
          </cell>
        </row>
        <row r="30">
          <cell r="AL30" t="str">
            <v>Contract Year 1ISTBD2Contr/Govt</v>
          </cell>
          <cell r="AM30">
            <v>0</v>
          </cell>
        </row>
        <row r="31">
          <cell r="AL31" t="str">
            <v>Contract Year 1ISTBD3Contr/Govt</v>
          </cell>
          <cell r="AM31">
            <v>0</v>
          </cell>
        </row>
        <row r="36">
          <cell r="AL36" t="str">
            <v>Contract Year 2ISPRBContr/Govt</v>
          </cell>
          <cell r="AM36">
            <v>0.31240000000000001</v>
          </cell>
        </row>
        <row r="37">
          <cell r="AL37" t="str">
            <v>Contract Year 2ISOverheadContr</v>
          </cell>
          <cell r="AM37">
            <v>0.1988</v>
          </cell>
        </row>
        <row r="38">
          <cell r="AL38" t="str">
            <v>Contract Year 2ISOverheadGovt</v>
          </cell>
          <cell r="AM38">
            <v>2.23E-2</v>
          </cell>
        </row>
        <row r="39">
          <cell r="AL39" t="str">
            <v>Contract Year 2ISMHContr/Govt</v>
          </cell>
          <cell r="AM39">
            <v>2.9499999999999998E-2</v>
          </cell>
        </row>
        <row r="40">
          <cell r="AL40" t="str">
            <v>Contract Year 2ISG&amp;AContr/Govt</v>
          </cell>
          <cell r="AM40">
            <v>9.1399999999999995E-2</v>
          </cell>
        </row>
        <row r="41">
          <cell r="AL41" t="str">
            <v>Contract Year 2ISTBD1Contr/Govt</v>
          </cell>
          <cell r="AM41">
            <v>0</v>
          </cell>
        </row>
        <row r="42">
          <cell r="AL42" t="str">
            <v>Contract Year 2ISTBD2Contr/Govt</v>
          </cell>
          <cell r="AM42">
            <v>0</v>
          </cell>
        </row>
        <row r="43">
          <cell r="AL43" t="str">
            <v>Contract Year 2ISTBD3Contr/Govt</v>
          </cell>
          <cell r="AM43">
            <v>0</v>
          </cell>
        </row>
        <row r="48">
          <cell r="AL48" t="str">
            <v>Contract Year 3ISPRBContr/Govt</v>
          </cell>
          <cell r="AM48">
            <v>0.31240000000000001</v>
          </cell>
        </row>
        <row r="49">
          <cell r="AL49" t="str">
            <v>Contract Year 3ISOverheadContr</v>
          </cell>
          <cell r="AM49">
            <v>0.1988</v>
          </cell>
        </row>
        <row r="50">
          <cell r="AL50" t="str">
            <v>Contract Year 3ISOverheadGovt</v>
          </cell>
          <cell r="AM50">
            <v>2.23E-2</v>
          </cell>
        </row>
        <row r="51">
          <cell r="AL51" t="str">
            <v>Contract Year 3ISMHContr/Govt</v>
          </cell>
          <cell r="AM51">
            <v>2.86E-2</v>
          </cell>
        </row>
        <row r="52">
          <cell r="AL52" t="str">
            <v>Contract Year 3ISG&amp;AContr/Govt</v>
          </cell>
          <cell r="AM52">
            <v>8.8900000000000007E-2</v>
          </cell>
        </row>
        <row r="53">
          <cell r="AL53" t="str">
            <v>Contract Year 3ISTBD1Contr/Govt</v>
          </cell>
          <cell r="AM53">
            <v>0</v>
          </cell>
        </row>
        <row r="54">
          <cell r="AL54" t="str">
            <v>Contract Year 3ISTBD2Contr/Govt</v>
          </cell>
          <cell r="AM54">
            <v>0</v>
          </cell>
        </row>
        <row r="55">
          <cell r="AL55" t="str">
            <v>Contract Year 3ISTBD3Contr/Govt</v>
          </cell>
          <cell r="AM55">
            <v>0</v>
          </cell>
        </row>
        <row r="60">
          <cell r="AL60" t="str">
            <v>Option Year 1ISPRBContr/Govt</v>
          </cell>
          <cell r="AM60">
            <v>0.31240000000000001</v>
          </cell>
        </row>
        <row r="61">
          <cell r="AL61" t="str">
            <v>Option Year 1ISOverheadContr</v>
          </cell>
          <cell r="AM61">
            <v>0.1988</v>
          </cell>
        </row>
        <row r="62">
          <cell r="AL62" t="str">
            <v>Option Year 1ISOverheadGovt</v>
          </cell>
          <cell r="AM62">
            <v>2.23E-2</v>
          </cell>
        </row>
        <row r="63">
          <cell r="AL63" t="str">
            <v>Option Year 1ISMHContr/Govt</v>
          </cell>
          <cell r="AM63">
            <v>2.8000000000000001E-2</v>
          </cell>
        </row>
        <row r="64">
          <cell r="AL64" t="str">
            <v>Option Year 1ISG&amp;AContr/Govt</v>
          </cell>
          <cell r="AM64">
            <v>8.7099999999999997E-2</v>
          </cell>
        </row>
        <row r="65">
          <cell r="AL65" t="str">
            <v>Option Year 1ISTBD1Contr/Govt</v>
          </cell>
          <cell r="AM65">
            <v>0</v>
          </cell>
        </row>
        <row r="66">
          <cell r="AL66" t="str">
            <v>Option Year 1ISTBD2Contr/Govt</v>
          </cell>
          <cell r="AM66">
            <v>0</v>
          </cell>
        </row>
        <row r="67">
          <cell r="AL67" t="str">
            <v>Option Year 1ISTBD3Contr/Govt</v>
          </cell>
          <cell r="AM67">
            <v>0</v>
          </cell>
        </row>
        <row r="72">
          <cell r="AL72" t="str">
            <v>Option Year 2ISPRBContr/Govt</v>
          </cell>
          <cell r="AM72">
            <v>0.31240000000000001</v>
          </cell>
        </row>
        <row r="73">
          <cell r="AL73" t="str">
            <v>Option Year 2ISOverheadContr</v>
          </cell>
          <cell r="AM73">
            <v>0.1988</v>
          </cell>
        </row>
        <row r="74">
          <cell r="AL74" t="str">
            <v>Option Year 2ISOverheadGovt</v>
          </cell>
          <cell r="AM74">
            <v>2.23E-2</v>
          </cell>
        </row>
        <row r="75">
          <cell r="AL75" t="str">
            <v>Option Year 2ISMHContr/Govt</v>
          </cell>
          <cell r="AM75">
            <v>2.8000000000000001E-2</v>
          </cell>
        </row>
        <row r="76">
          <cell r="AL76" t="str">
            <v>Option Year 2ISG&amp;AContr/Govt</v>
          </cell>
          <cell r="AM76">
            <v>8.7099999999999997E-2</v>
          </cell>
        </row>
        <row r="77">
          <cell r="AL77" t="str">
            <v>Option Year 2ISTBD1Contr/Govt</v>
          </cell>
          <cell r="AM77">
            <v>0</v>
          </cell>
        </row>
        <row r="78">
          <cell r="AL78" t="str">
            <v>Option Year 2ISTBD2Contr/Govt</v>
          </cell>
          <cell r="AM78">
            <v>0</v>
          </cell>
        </row>
        <row r="79">
          <cell r="AL79" t="str">
            <v>Option Year 2ISTBD3Contr/Govt</v>
          </cell>
          <cell r="AM79">
            <v>0</v>
          </cell>
        </row>
        <row r="84">
          <cell r="AL84" t="str">
            <v>Optional Pricing - Entire PoPISPRBContr/Govt</v>
          </cell>
          <cell r="AM84">
            <v>0.31240000000000001</v>
          </cell>
        </row>
        <row r="85">
          <cell r="AL85" t="str">
            <v>Optional Pricing - Entire PoPISOverheadContr</v>
          </cell>
          <cell r="AM85">
            <v>0.1988</v>
          </cell>
        </row>
        <row r="86">
          <cell r="AL86" t="str">
            <v>Optional Pricing - Entire PoPISOverheadGovt</v>
          </cell>
          <cell r="AM86">
            <v>2.23E-2</v>
          </cell>
        </row>
        <row r="87">
          <cell r="AL87" t="str">
            <v>Optional Pricing - Entire PoPISMHContr/Govt</v>
          </cell>
          <cell r="AM87">
            <v>2.92E-2</v>
          </cell>
        </row>
        <row r="88">
          <cell r="AL88" t="str">
            <v>Optional Pricing - Entire PoPISG&amp;AContr/Govt</v>
          </cell>
          <cell r="AM88">
            <v>9.0399999999999994E-2</v>
          </cell>
        </row>
        <row r="89">
          <cell r="AL89" t="str">
            <v>Optional Pricing - Entire PoPISTBD1Contr/Govt</v>
          </cell>
          <cell r="AM89">
            <v>0</v>
          </cell>
        </row>
        <row r="90">
          <cell r="AL90" t="str">
            <v>Optional Pricing - Entire PoPISTBD2Contr/Govt</v>
          </cell>
          <cell r="AM90">
            <v>0</v>
          </cell>
        </row>
        <row r="91">
          <cell r="AL91" t="str">
            <v>Optional Pricing - Entire PoPISTBD3Contr/Govt</v>
          </cell>
          <cell r="AM91">
            <v>0</v>
          </cell>
        </row>
        <row r="96">
          <cell r="AL96" t="str">
            <v>Option Year 7ISPRBContr/Govt</v>
          </cell>
          <cell r="AM96">
            <v>0.31240000000000001</v>
          </cell>
        </row>
        <row r="97">
          <cell r="AL97" t="str">
            <v>Option Year 7ISOverheadContr</v>
          </cell>
          <cell r="AM97">
            <v>0.1988</v>
          </cell>
        </row>
        <row r="98">
          <cell r="AL98" t="str">
            <v>Option Year 7ISOverheadGovt</v>
          </cell>
          <cell r="AM98">
            <v>2.23E-2</v>
          </cell>
        </row>
        <row r="99">
          <cell r="AL99" t="str">
            <v>Option Year 7ISMHContr/Govt</v>
          </cell>
          <cell r="AM99">
            <v>2.8000000000000001E-2</v>
          </cell>
        </row>
        <row r="100">
          <cell r="AL100" t="str">
            <v>Option Year 7ISG&amp;AContr/Govt</v>
          </cell>
          <cell r="AM100">
            <v>8.7099999999999997E-2</v>
          </cell>
        </row>
        <row r="101">
          <cell r="AL101" t="str">
            <v>Option Year 7ISTBD1Contr/Govt</v>
          </cell>
          <cell r="AM101">
            <v>0</v>
          </cell>
        </row>
        <row r="102">
          <cell r="AL102" t="str">
            <v>Option Year 7ISTBD2Contr/Govt</v>
          </cell>
          <cell r="AM102">
            <v>0</v>
          </cell>
        </row>
        <row r="103">
          <cell r="AL103" t="str">
            <v>Option Year 7ISTBD3Contr/Govt</v>
          </cell>
          <cell r="AM103">
            <v>0</v>
          </cell>
        </row>
        <row r="108">
          <cell r="AL108" t="str">
            <v>Option Year 8ISPRBContr/Govt</v>
          </cell>
          <cell r="AM108">
            <v>0.31240000000000001</v>
          </cell>
        </row>
        <row r="109">
          <cell r="AL109" t="str">
            <v>Option Year 8ISOverheadContr</v>
          </cell>
          <cell r="AM109">
            <v>0.1988</v>
          </cell>
        </row>
        <row r="110">
          <cell r="AL110" t="str">
            <v>Option Year 8ISOverheadGovt</v>
          </cell>
          <cell r="AM110">
            <v>2.23E-2</v>
          </cell>
        </row>
        <row r="111">
          <cell r="AL111" t="str">
            <v>Option Year 8ISMHContr/Govt</v>
          </cell>
          <cell r="AM111">
            <v>2.8000000000000001E-2</v>
          </cell>
        </row>
        <row r="112">
          <cell r="AL112" t="str">
            <v>Option Year 8ISG&amp;AContr/Govt</v>
          </cell>
          <cell r="AM112">
            <v>8.7099999999999997E-2</v>
          </cell>
        </row>
        <row r="113">
          <cell r="AL113" t="str">
            <v>Option Year 8ISTBD1Contr/Govt</v>
          </cell>
          <cell r="AM113">
            <v>0</v>
          </cell>
        </row>
        <row r="114">
          <cell r="AL114" t="str">
            <v>Option Year 8ISTBD2Contr/Govt</v>
          </cell>
          <cell r="AM114">
            <v>0</v>
          </cell>
        </row>
        <row r="115">
          <cell r="AL115" t="str">
            <v>Option Year 8ISTBD3Contr/Govt</v>
          </cell>
          <cell r="AM115">
            <v>0</v>
          </cell>
        </row>
        <row r="120">
          <cell r="AL120" t="str">
            <v>Option Year 9ISPRBContr/Govt</v>
          </cell>
          <cell r="AM120">
            <v>0.31240000000000001</v>
          </cell>
        </row>
        <row r="121">
          <cell r="AL121" t="str">
            <v>Option Year 9ISOverheadContr</v>
          </cell>
          <cell r="AM121">
            <v>0.1988</v>
          </cell>
        </row>
        <row r="122">
          <cell r="AL122" t="str">
            <v>Option Year 9ISOverheadGovt</v>
          </cell>
          <cell r="AM122">
            <v>2.23E-2</v>
          </cell>
        </row>
        <row r="123">
          <cell r="AL123" t="str">
            <v>Option Year 9ISMHContr/Govt</v>
          </cell>
          <cell r="AM123">
            <v>2.8000000000000001E-2</v>
          </cell>
        </row>
        <row r="124">
          <cell r="AL124" t="str">
            <v>Option Year 9ISG&amp;AContr/Govt</v>
          </cell>
          <cell r="AM124">
            <v>8.7099999999999997E-2</v>
          </cell>
        </row>
        <row r="125">
          <cell r="AL125" t="str">
            <v>Option Year 9ISTBD1Contr/Govt</v>
          </cell>
          <cell r="AM125">
            <v>0</v>
          </cell>
        </row>
        <row r="126">
          <cell r="AL126" t="str">
            <v>Option Year 9ISTBD2Contr/Govt</v>
          </cell>
          <cell r="AM126">
            <v>0</v>
          </cell>
        </row>
        <row r="127">
          <cell r="AL127" t="str">
            <v>Option Year 9ISTBD3Contr/Govt</v>
          </cell>
          <cell r="AM127">
            <v>0</v>
          </cell>
        </row>
        <row r="132">
          <cell r="AL132" t="str">
            <v>Option Year 10ISPRBContr/Govt</v>
          </cell>
          <cell r="AM132">
            <v>0.31240000000000001</v>
          </cell>
        </row>
        <row r="133">
          <cell r="AL133" t="str">
            <v>Option Year 10ISOverheadContr</v>
          </cell>
          <cell r="AM133">
            <v>0.1988</v>
          </cell>
        </row>
        <row r="134">
          <cell r="AL134" t="str">
            <v>Option Year 10ISOverheadGovt</v>
          </cell>
          <cell r="AM134">
            <v>2.23E-2</v>
          </cell>
        </row>
        <row r="135">
          <cell r="AL135" t="str">
            <v>Option Year 10ISMHContr/Govt</v>
          </cell>
          <cell r="AM135">
            <v>2.8000000000000001E-2</v>
          </cell>
        </row>
        <row r="136">
          <cell r="AL136" t="str">
            <v>Option Year 10ISG&amp;AContr/Govt</v>
          </cell>
          <cell r="AM136">
            <v>8.7099999999999997E-2</v>
          </cell>
        </row>
        <row r="137">
          <cell r="AL137" t="str">
            <v>Option Year 10ISTBD1Contr/Govt</v>
          </cell>
          <cell r="AM137">
            <v>0</v>
          </cell>
        </row>
        <row r="138">
          <cell r="AL138" t="str">
            <v>Option Year 10ISTBD2Contr/Govt</v>
          </cell>
          <cell r="AM138">
            <v>0</v>
          </cell>
        </row>
        <row r="139">
          <cell r="AL139" t="str">
            <v>Option Year 10ISTBD3Contr/Govt</v>
          </cell>
          <cell r="AM139">
            <v>0</v>
          </cell>
        </row>
        <row r="144">
          <cell r="AL144" t="str">
            <v>Option Year 11ISPRBContr/Govt</v>
          </cell>
          <cell r="AM144">
            <v>0.31240000000000001</v>
          </cell>
        </row>
        <row r="145">
          <cell r="AL145" t="str">
            <v>Option Year 11ISOverheadContr</v>
          </cell>
          <cell r="AM145">
            <v>0.1988</v>
          </cell>
        </row>
        <row r="146">
          <cell r="AL146" t="str">
            <v>Option Year 11ISOverheadGovt</v>
          </cell>
          <cell r="AM146">
            <v>2.23E-2</v>
          </cell>
        </row>
        <row r="147">
          <cell r="AL147" t="str">
            <v>Option Year 11ISMHContr/Govt</v>
          </cell>
          <cell r="AM147">
            <v>2.8000000000000001E-2</v>
          </cell>
        </row>
        <row r="148">
          <cell r="AL148" t="str">
            <v>Option Year 11ISG&amp;AContr/Govt</v>
          </cell>
          <cell r="AM148">
            <v>8.7099999999999997E-2</v>
          </cell>
        </row>
        <row r="149">
          <cell r="AL149" t="str">
            <v>Option Year 11ISTBD1Contr/Govt</v>
          </cell>
          <cell r="AM149">
            <v>0</v>
          </cell>
        </row>
        <row r="150">
          <cell r="AL150" t="str">
            <v>Option Year 11ISTBD2Contr/Govt</v>
          </cell>
          <cell r="AM150">
            <v>0</v>
          </cell>
        </row>
        <row r="151">
          <cell r="AL151" t="str">
            <v>Option Year 11ISTBD3Contr/Govt</v>
          </cell>
          <cell r="AM151">
            <v>0</v>
          </cell>
        </row>
        <row r="156">
          <cell r="AL156" t="str">
            <v>Option Year 12ISPRBContr/Govt</v>
          </cell>
          <cell r="AM156">
            <v>0.31240000000000001</v>
          </cell>
        </row>
        <row r="157">
          <cell r="AL157" t="str">
            <v>Option Year 12ISOverheadContr</v>
          </cell>
          <cell r="AM157">
            <v>0.1988</v>
          </cell>
        </row>
        <row r="158">
          <cell r="AL158" t="str">
            <v>Option Year 12ISOverheadGovt</v>
          </cell>
          <cell r="AM158">
            <v>2.23E-2</v>
          </cell>
        </row>
        <row r="159">
          <cell r="AL159" t="str">
            <v>Option Year 12ISMHContr/Govt</v>
          </cell>
          <cell r="AM159">
            <v>2.8000000000000001E-2</v>
          </cell>
        </row>
        <row r="160">
          <cell r="AL160" t="str">
            <v>Option Year 12ISG&amp;AContr/Govt</v>
          </cell>
          <cell r="AM160">
            <v>8.7099999999999997E-2</v>
          </cell>
        </row>
        <row r="161">
          <cell r="AL161" t="str">
            <v>Option Year 12ISTBD1Contr/Govt</v>
          </cell>
          <cell r="AM161">
            <v>0</v>
          </cell>
        </row>
        <row r="162">
          <cell r="AL162" t="str">
            <v>Option Year 12ISTBD2Contr/Govt</v>
          </cell>
          <cell r="AM162">
            <v>0</v>
          </cell>
        </row>
        <row r="163">
          <cell r="AL163" t="str">
            <v>Option Year 12ISTBD3Contr/Govt</v>
          </cell>
          <cell r="AM163">
            <v>0</v>
          </cell>
        </row>
        <row r="168">
          <cell r="AL168" t="str">
            <v>Option Year 13ISPRBContr/Govt</v>
          </cell>
          <cell r="AM168">
            <v>0.31240000000000001</v>
          </cell>
        </row>
        <row r="169">
          <cell r="AL169" t="str">
            <v>Option Year 13ISOverheadContr</v>
          </cell>
          <cell r="AM169">
            <v>0.1988</v>
          </cell>
        </row>
        <row r="170">
          <cell r="AL170" t="str">
            <v>Option Year 13ISOverheadGovt</v>
          </cell>
          <cell r="AM170">
            <v>2.23E-2</v>
          </cell>
        </row>
        <row r="171">
          <cell r="AL171" t="str">
            <v>Option Year 13ISMHContr/Govt</v>
          </cell>
          <cell r="AM171">
            <v>2.8000000000000001E-2</v>
          </cell>
        </row>
        <row r="172">
          <cell r="AL172" t="str">
            <v>Option Year 13ISG&amp;AContr/Govt</v>
          </cell>
          <cell r="AM172">
            <v>8.7099999999999997E-2</v>
          </cell>
        </row>
        <row r="173">
          <cell r="AL173" t="str">
            <v>Option Year 13ISTBD1Contr/Govt</v>
          </cell>
          <cell r="AM173">
            <v>0</v>
          </cell>
        </row>
        <row r="174">
          <cell r="AL174" t="str">
            <v>Option Year 13ISTBD2Contr/Govt</v>
          </cell>
          <cell r="AM174">
            <v>0</v>
          </cell>
        </row>
        <row r="175">
          <cell r="AL175" t="str">
            <v>Option Year 13ISTBD3Contr/Govt</v>
          </cell>
          <cell r="AM175">
            <v>0</v>
          </cell>
        </row>
        <row r="180">
          <cell r="AL180" t="str">
            <v>Option Year 14ISPRBContr/Govt</v>
          </cell>
          <cell r="AM180">
            <v>0.31240000000000001</v>
          </cell>
        </row>
        <row r="181">
          <cell r="AL181" t="str">
            <v>Option Year 14ISOverheadContr</v>
          </cell>
          <cell r="AM181">
            <v>0.1988</v>
          </cell>
        </row>
        <row r="182">
          <cell r="AL182" t="str">
            <v>Option Year 14ISOverheadGovt</v>
          </cell>
          <cell r="AM182">
            <v>2.23E-2</v>
          </cell>
        </row>
        <row r="183">
          <cell r="AL183" t="str">
            <v>Option Year 14ISMHContr/Govt</v>
          </cell>
          <cell r="AM183">
            <v>2.8000000000000001E-2</v>
          </cell>
        </row>
        <row r="184">
          <cell r="AL184" t="str">
            <v>Option Year 14ISG&amp;AContr/Govt</v>
          </cell>
          <cell r="AM184">
            <v>8.7099999999999997E-2</v>
          </cell>
        </row>
        <row r="185">
          <cell r="AL185" t="str">
            <v>Option Year 14ISTBD1Contr/Govt</v>
          </cell>
          <cell r="AM185">
            <v>0</v>
          </cell>
        </row>
        <row r="186">
          <cell r="AL186" t="str">
            <v>Option Year 14ISTBD2Contr/Govt</v>
          </cell>
          <cell r="AM186">
            <v>0</v>
          </cell>
        </row>
        <row r="187">
          <cell r="AL187" t="str">
            <v>Option Year 14ISTBD3Contr/Govt</v>
          </cell>
          <cell r="AM187">
            <v>0</v>
          </cell>
        </row>
        <row r="193">
          <cell r="AL193" t="str">
            <v>LOOKUP TABLE - DO NOT DELETE</v>
          </cell>
        </row>
        <row r="194">
          <cell r="AL194" t="str">
            <v>MobilizationESDPRBContr/Govt</v>
          </cell>
          <cell r="AM194">
            <v>0.35099999999999998</v>
          </cell>
        </row>
        <row r="195">
          <cell r="AL195" t="str">
            <v>MobilizationESDOverheadContr</v>
          </cell>
          <cell r="AM195">
            <v>0.17249999999999999</v>
          </cell>
        </row>
        <row r="196">
          <cell r="AL196" t="str">
            <v>MobilizationESDOverheadGovt</v>
          </cell>
          <cell r="AM196">
            <v>3.1E-2</v>
          </cell>
        </row>
        <row r="197">
          <cell r="AL197" t="str">
            <v>MobilizationESDMHContr/Govt</v>
          </cell>
          <cell r="AM197">
            <v>3.0700000000000002E-2</v>
          </cell>
        </row>
        <row r="198">
          <cell r="AL198" t="str">
            <v>MobilizationESDG&amp;AContr/Govt</v>
          </cell>
          <cell r="AM198">
            <v>0.1009</v>
          </cell>
        </row>
        <row r="199">
          <cell r="AL199" t="str">
            <v>MobilizationESDTBD1Contr/Govt</v>
          </cell>
          <cell r="AM199">
            <v>0</v>
          </cell>
        </row>
        <row r="200">
          <cell r="AL200" t="str">
            <v>MobilizationESDTBD2Contr/Govt</v>
          </cell>
          <cell r="AM200">
            <v>0</v>
          </cell>
        </row>
        <row r="201">
          <cell r="AL201" t="str">
            <v>MobilizationESDTBD3Contr/Govt</v>
          </cell>
          <cell r="AM201">
            <v>0</v>
          </cell>
        </row>
        <row r="206">
          <cell r="AL206" t="str">
            <v>Contract Year 1ESDPRBContr/Govt</v>
          </cell>
          <cell r="AM206">
            <v>0.35099999999999998</v>
          </cell>
        </row>
        <row r="207">
          <cell r="AL207" t="str">
            <v>Contract Year 1ESDOverheadContr</v>
          </cell>
          <cell r="AM207">
            <v>0.17249999999999999</v>
          </cell>
        </row>
        <row r="208">
          <cell r="AL208" t="str">
            <v>Contract Year 1ESDOverheadGovt</v>
          </cell>
          <cell r="AM208">
            <v>3.1E-2</v>
          </cell>
        </row>
        <row r="209">
          <cell r="AL209" t="str">
            <v>Contract Year 1ESDMHContr/Govt</v>
          </cell>
          <cell r="AM209">
            <v>3.0099999999999998E-2</v>
          </cell>
        </row>
        <row r="210">
          <cell r="AL210" t="str">
            <v>Contract Year 1ESDG&amp;AContr/Govt</v>
          </cell>
          <cell r="AM210">
            <v>9.8799999999999999E-2</v>
          </cell>
        </row>
        <row r="211">
          <cell r="AL211" t="str">
            <v>Contract Year 1ESDTBD1Contr/Govt</v>
          </cell>
          <cell r="AM211">
            <v>0</v>
          </cell>
        </row>
        <row r="212">
          <cell r="AL212" t="str">
            <v>Contract Year 1ESDTBD2Contr/Govt</v>
          </cell>
          <cell r="AM212">
            <v>0</v>
          </cell>
        </row>
        <row r="213">
          <cell r="AL213" t="str">
            <v>Contract Year 1ESDTBD3Contr/Govt</v>
          </cell>
          <cell r="AM213">
            <v>0</v>
          </cell>
        </row>
        <row r="218">
          <cell r="AL218" t="str">
            <v>Contract Year 2ESDPRBContr/Govt</v>
          </cell>
          <cell r="AM218">
            <v>0.35099999999999998</v>
          </cell>
        </row>
        <row r="219">
          <cell r="AL219" t="str">
            <v>Contract Year 2ESDOverheadContr</v>
          </cell>
          <cell r="AM219">
            <v>0.17249999999999999</v>
          </cell>
        </row>
        <row r="220">
          <cell r="AL220" t="str">
            <v>Contract Year 2ESDOverheadGovt</v>
          </cell>
          <cell r="AM220">
            <v>3.1E-2</v>
          </cell>
        </row>
        <row r="221">
          <cell r="AL221" t="str">
            <v>Contract Year 2ESDMHContr/Govt</v>
          </cell>
          <cell r="AM221">
            <v>2.9100000000000001E-2</v>
          </cell>
        </row>
        <row r="222">
          <cell r="AL222" t="str">
            <v>Contract Year 2ESDG&amp;AContr/Govt</v>
          </cell>
          <cell r="AM222">
            <v>9.6199999999999994E-2</v>
          </cell>
        </row>
        <row r="223">
          <cell r="AL223" t="str">
            <v>Contract Year 2ESDTBD1Contr/Govt</v>
          </cell>
          <cell r="AM223">
            <v>0</v>
          </cell>
        </row>
        <row r="224">
          <cell r="AL224" t="str">
            <v>Contract Year 2ESDTBD2Contr/Govt</v>
          </cell>
          <cell r="AM224">
            <v>0</v>
          </cell>
        </row>
        <row r="225">
          <cell r="AL225" t="str">
            <v>Contract Year 2ESDTBD3Contr/Govt</v>
          </cell>
          <cell r="AM225">
            <v>0</v>
          </cell>
        </row>
        <row r="230">
          <cell r="AL230" t="str">
            <v>Contract Year 3ESDPRBContr/Govt</v>
          </cell>
          <cell r="AM230">
            <v>0.35099999999999998</v>
          </cell>
        </row>
        <row r="231">
          <cell r="AL231" t="str">
            <v>Contract Year 3ESDOverheadContr</v>
          </cell>
          <cell r="AM231">
            <v>0.17249999999999999</v>
          </cell>
        </row>
        <row r="232">
          <cell r="AL232" t="str">
            <v>Contract Year 3ESDOverheadGovt</v>
          </cell>
          <cell r="AM232">
            <v>3.1E-2</v>
          </cell>
        </row>
        <row r="233">
          <cell r="AL233" t="str">
            <v>Contract Year 3ESDMHContr/Govt</v>
          </cell>
          <cell r="AM233">
            <v>2.8199999999999999E-2</v>
          </cell>
        </row>
        <row r="234">
          <cell r="AL234" t="str">
            <v>Contract Year 3ESDG&amp;AContr/Govt</v>
          </cell>
          <cell r="AM234">
            <v>9.3700000000000006E-2</v>
          </cell>
        </row>
        <row r="235">
          <cell r="AL235" t="str">
            <v>Contract Year 3ESDTBD1Contr/Govt</v>
          </cell>
          <cell r="AM235">
            <v>0</v>
          </cell>
        </row>
        <row r="236">
          <cell r="AL236" t="str">
            <v>Contract Year 3ESDTBD2Contr/Govt</v>
          </cell>
          <cell r="AM236">
            <v>0</v>
          </cell>
        </row>
        <row r="237">
          <cell r="AL237" t="str">
            <v>Contract Year 3ESDTBD3Contr/Govt</v>
          </cell>
          <cell r="AM237">
            <v>0</v>
          </cell>
        </row>
        <row r="242">
          <cell r="AL242" t="str">
            <v>Option Year 1ESDPRBContr/Govt</v>
          </cell>
          <cell r="AM242">
            <v>0.35099999999999998</v>
          </cell>
        </row>
        <row r="243">
          <cell r="AL243" t="str">
            <v>Option Year 1ESDOverheadContr</v>
          </cell>
          <cell r="AM243">
            <v>0.17249999999999999</v>
          </cell>
        </row>
        <row r="244">
          <cell r="AL244" t="str">
            <v>Option Year 1ESDOverheadGovt</v>
          </cell>
          <cell r="AM244">
            <v>3.1E-2</v>
          </cell>
        </row>
        <row r="245">
          <cell r="AL245" t="str">
            <v>Option Year 1ESDMHContr/Govt</v>
          </cell>
          <cell r="AM245">
            <v>2.76E-2</v>
          </cell>
        </row>
        <row r="246">
          <cell r="AL246" t="str">
            <v>Option Year 1ESDG&amp;AContr/Govt</v>
          </cell>
          <cell r="AM246">
            <v>9.1999999999999998E-2</v>
          </cell>
        </row>
        <row r="247">
          <cell r="AL247" t="str">
            <v>Option Year 1ESDTBD1Contr/Govt</v>
          </cell>
          <cell r="AM247">
            <v>0</v>
          </cell>
        </row>
        <row r="248">
          <cell r="AL248" t="str">
            <v>Option Year 1ESDTBD2Contr/Govt</v>
          </cell>
          <cell r="AM248">
            <v>0</v>
          </cell>
        </row>
        <row r="249">
          <cell r="AL249" t="str">
            <v>Option Year 1ESDTBD3Contr/Govt</v>
          </cell>
          <cell r="AM249">
            <v>0</v>
          </cell>
        </row>
        <row r="254">
          <cell r="AL254" t="str">
            <v>Option Year 2ESDPRBContr/Govt</v>
          </cell>
          <cell r="AM254">
            <v>0.35099999999999998</v>
          </cell>
        </row>
        <row r="255">
          <cell r="AL255" t="str">
            <v>Option Year 2ESDOverheadContr</v>
          </cell>
          <cell r="AM255">
            <v>0.17249999999999999</v>
          </cell>
        </row>
        <row r="256">
          <cell r="AL256" t="str">
            <v>Option Year 2ESDOverheadGovt</v>
          </cell>
          <cell r="AM256">
            <v>3.1E-2</v>
          </cell>
        </row>
        <row r="257">
          <cell r="AL257" t="str">
            <v>Option Year 2ESDMHContr/Govt</v>
          </cell>
          <cell r="AM257">
            <v>2.76E-2</v>
          </cell>
        </row>
        <row r="258">
          <cell r="AL258" t="str">
            <v>Option Year 2ESDG&amp;AContr/Govt</v>
          </cell>
          <cell r="AM258">
            <v>9.1999999999999998E-2</v>
          </cell>
        </row>
        <row r="259">
          <cell r="AL259" t="str">
            <v>Option Year 2ESDTBD1Contr/Govt</v>
          </cell>
          <cell r="AM259">
            <v>0</v>
          </cell>
        </row>
        <row r="260">
          <cell r="AL260" t="str">
            <v>Option Year 2ESDTBD2Contr/Govt</v>
          </cell>
          <cell r="AM260">
            <v>0</v>
          </cell>
        </row>
        <row r="261">
          <cell r="AL261" t="str">
            <v>Option Year 2ESDTBD3Contr/Govt</v>
          </cell>
          <cell r="AM261">
            <v>0</v>
          </cell>
        </row>
        <row r="266">
          <cell r="AL266" t="str">
            <v>Optional Pricing - Entire PoPESDPRBContr/Govt</v>
          </cell>
          <cell r="AM266">
            <v>0.35099999999999998</v>
          </cell>
        </row>
        <row r="267">
          <cell r="AL267" t="str">
            <v>Optional Pricing - Entire PoPESDOverheadContr</v>
          </cell>
          <cell r="AM267">
            <v>0.17249999999999999</v>
          </cell>
        </row>
        <row r="268">
          <cell r="AL268" t="str">
            <v>Optional Pricing - Entire PoPESDOverheadGovt</v>
          </cell>
          <cell r="AM268">
            <v>3.1E-2</v>
          </cell>
        </row>
        <row r="269">
          <cell r="AL269" t="str">
            <v>Optional Pricing - Entire PoPESDMHContr/Govt</v>
          </cell>
          <cell r="AM269">
            <v>2.87E-2</v>
          </cell>
        </row>
        <row r="270">
          <cell r="AL270" t="str">
            <v>Optional Pricing - Entire PoPESDG&amp;AContr/Govt</v>
          </cell>
          <cell r="AM270">
            <v>9.5200000000000007E-2</v>
          </cell>
        </row>
        <row r="271">
          <cell r="AL271" t="str">
            <v>Optional Pricing - Entire PoPESDTBD1Contr/Govt</v>
          </cell>
          <cell r="AM271">
            <v>0</v>
          </cell>
        </row>
        <row r="272">
          <cell r="AL272" t="str">
            <v>Optional Pricing - Entire PoPESDTBD2Contr/Govt</v>
          </cell>
          <cell r="AM272">
            <v>0</v>
          </cell>
        </row>
        <row r="273">
          <cell r="AL273" t="str">
            <v>Optional Pricing - Entire PoPESDTBD3Contr/Govt</v>
          </cell>
          <cell r="AM273">
            <v>0</v>
          </cell>
        </row>
        <row r="278">
          <cell r="AL278" t="str">
            <v>Option Year 7ESDPRBContr/Govt</v>
          </cell>
          <cell r="AM278">
            <v>0.35099999999999998</v>
          </cell>
        </row>
        <row r="279">
          <cell r="AL279" t="str">
            <v>Option Year 7ESDOverheadContr</v>
          </cell>
          <cell r="AM279">
            <v>0.17249999999999999</v>
          </cell>
        </row>
        <row r="280">
          <cell r="AL280" t="str">
            <v>Option Year 7ESDOverheadGovt</v>
          </cell>
          <cell r="AM280">
            <v>3.1E-2</v>
          </cell>
        </row>
        <row r="281">
          <cell r="AL281" t="str">
            <v>Option Year 7ESDMHContr/Govt</v>
          </cell>
          <cell r="AM281">
            <v>2.76E-2</v>
          </cell>
        </row>
        <row r="282">
          <cell r="AL282" t="str">
            <v>Option Year 7ESDG&amp;AContr/Govt</v>
          </cell>
          <cell r="AM282">
            <v>9.1999999999999998E-2</v>
          </cell>
        </row>
        <row r="283">
          <cell r="AL283" t="str">
            <v>Option Year 7ESDTBD1Contr/Govt</v>
          </cell>
          <cell r="AM283">
            <v>0</v>
          </cell>
        </row>
        <row r="284">
          <cell r="AL284" t="str">
            <v>Option Year 7ESDTBD2Contr/Govt</v>
          </cell>
          <cell r="AM284">
            <v>0</v>
          </cell>
        </row>
        <row r="285">
          <cell r="AL285" t="str">
            <v>Option Year 7ESDTBD3Contr/Govt</v>
          </cell>
          <cell r="AM285">
            <v>0</v>
          </cell>
        </row>
        <row r="290">
          <cell r="AL290" t="str">
            <v>Option Year 8ESDPRBContr/Govt</v>
          </cell>
          <cell r="AM290">
            <v>0.26329999999999998</v>
          </cell>
        </row>
        <row r="291">
          <cell r="AL291" t="str">
            <v>Option Year 8ESDOverheadContr</v>
          </cell>
          <cell r="AM291">
            <v>0.12939999999999999</v>
          </cell>
        </row>
        <row r="292">
          <cell r="AL292" t="str">
            <v>Option Year 8ESDOverheadGovt</v>
          </cell>
          <cell r="AM292">
            <v>2.3300000000000001E-2</v>
          </cell>
        </row>
        <row r="293">
          <cell r="AL293" t="str">
            <v>Option Year 8ESDMHContr/Govt</v>
          </cell>
          <cell r="AM293">
            <v>2.07E-2</v>
          </cell>
        </row>
        <row r="294">
          <cell r="AL294" t="str">
            <v>Option Year 8ESDG&amp;AContr/Govt</v>
          </cell>
          <cell r="AM294">
            <v>6.9000000000000006E-2</v>
          </cell>
        </row>
        <row r="295">
          <cell r="AL295" t="str">
            <v>Option Year 8ESDTBD1Contr/Govt</v>
          </cell>
          <cell r="AM295">
            <v>0</v>
          </cell>
        </row>
        <row r="296">
          <cell r="AL296" t="str">
            <v>Option Year 8ESDTBD2Contr/Govt</v>
          </cell>
          <cell r="AM296">
            <v>0</v>
          </cell>
        </row>
        <row r="297">
          <cell r="AL297" t="str">
            <v>Option Year 8ESDTBD3Contr/Govt</v>
          </cell>
          <cell r="AM297">
            <v>0</v>
          </cell>
        </row>
        <row r="302">
          <cell r="AL302" t="str">
            <v>Option Year 9ESDPRBContr/Govt</v>
          </cell>
          <cell r="AM302">
            <v>0</v>
          </cell>
        </row>
        <row r="303">
          <cell r="AL303" t="str">
            <v>Option Year 9ESDOverheadContr</v>
          </cell>
          <cell r="AM303">
            <v>0</v>
          </cell>
        </row>
        <row r="304">
          <cell r="AL304" t="str">
            <v>Option Year 9ESDOverheadGovt</v>
          </cell>
          <cell r="AM304">
            <v>0</v>
          </cell>
        </row>
        <row r="305">
          <cell r="AL305" t="str">
            <v>Option Year 9ESDMHContr/Govt</v>
          </cell>
          <cell r="AM305">
            <v>0</v>
          </cell>
        </row>
        <row r="306">
          <cell r="AL306" t="str">
            <v>Option Year 9ESDG&amp;AContr/Govt</v>
          </cell>
          <cell r="AM306">
            <v>0</v>
          </cell>
        </row>
        <row r="307">
          <cell r="AL307" t="str">
            <v>Option Year 9ESDTBD1Contr/Govt</v>
          </cell>
          <cell r="AM307">
            <v>0</v>
          </cell>
        </row>
        <row r="308">
          <cell r="AL308" t="str">
            <v>Option Year 9ESDTBD2Contr/Govt</v>
          </cell>
          <cell r="AM308">
            <v>0</v>
          </cell>
        </row>
        <row r="309">
          <cell r="AL309" t="str">
            <v>Option Year 9ESDTBD3Contr/Govt</v>
          </cell>
          <cell r="AM309">
            <v>0</v>
          </cell>
        </row>
        <row r="314">
          <cell r="AL314" t="str">
            <v>Option Year 10ESDPRBContr/Govt</v>
          </cell>
          <cell r="AM314">
            <v>0</v>
          </cell>
        </row>
        <row r="315">
          <cell r="AL315" t="str">
            <v>Option Year 10ESDOverheadContr</v>
          </cell>
          <cell r="AM315">
            <v>0</v>
          </cell>
        </row>
        <row r="316">
          <cell r="AL316" t="str">
            <v>Option Year 10ESDOverheadGovt</v>
          </cell>
          <cell r="AM316">
            <v>0</v>
          </cell>
        </row>
        <row r="317">
          <cell r="AL317" t="str">
            <v>Option Year 10ESDMHContr/Govt</v>
          </cell>
          <cell r="AM317">
            <v>0</v>
          </cell>
        </row>
        <row r="318">
          <cell r="AL318" t="str">
            <v>Option Year 10ESDG&amp;AContr/Govt</v>
          </cell>
          <cell r="AM318">
            <v>0</v>
          </cell>
        </row>
        <row r="319">
          <cell r="AL319" t="str">
            <v>Option Year 10ESDTBD1Contr/Govt</v>
          </cell>
          <cell r="AM319">
            <v>0</v>
          </cell>
        </row>
        <row r="320">
          <cell r="AL320" t="str">
            <v>Option Year 10ESDTBD2Contr/Govt</v>
          </cell>
          <cell r="AM320">
            <v>0</v>
          </cell>
        </row>
        <row r="321">
          <cell r="AL321" t="str">
            <v>Option Year 10ESDTBD3Contr/Govt</v>
          </cell>
          <cell r="AM321">
            <v>0</v>
          </cell>
        </row>
        <row r="326">
          <cell r="AL326" t="str">
            <v>Option Year 11ESDPRBContr/Govt</v>
          </cell>
          <cell r="AM326">
            <v>0</v>
          </cell>
        </row>
        <row r="327">
          <cell r="AL327" t="str">
            <v>Option Year 11ESDOverheadContr</v>
          </cell>
          <cell r="AM327">
            <v>0</v>
          </cell>
        </row>
        <row r="328">
          <cell r="AL328" t="str">
            <v>Option Year 11ESDOverheadGovt</v>
          </cell>
          <cell r="AM328">
            <v>0</v>
          </cell>
        </row>
        <row r="329">
          <cell r="AL329" t="str">
            <v>Option Year 11ESDMHContr/Govt</v>
          </cell>
          <cell r="AM329">
            <v>0</v>
          </cell>
        </row>
        <row r="330">
          <cell r="AL330" t="str">
            <v>Option Year 11ESDG&amp;AContr/Govt</v>
          </cell>
          <cell r="AM330">
            <v>0</v>
          </cell>
        </row>
        <row r="331">
          <cell r="AL331" t="str">
            <v>Option Year 11ESDTBD1Contr/Govt</v>
          </cell>
          <cell r="AM331">
            <v>0</v>
          </cell>
        </row>
        <row r="332">
          <cell r="AL332" t="str">
            <v>Option Year 11ESDTBD2Contr/Govt</v>
          </cell>
          <cell r="AM332">
            <v>0</v>
          </cell>
        </row>
        <row r="333">
          <cell r="AL333" t="str">
            <v>Option Year 11ESDTBD3Contr/Govt</v>
          </cell>
          <cell r="AM333">
            <v>0</v>
          </cell>
        </row>
        <row r="338">
          <cell r="AL338" t="str">
            <v>Option Year 12ESDPRBContr/Govt</v>
          </cell>
          <cell r="AM338">
            <v>0</v>
          </cell>
        </row>
        <row r="339">
          <cell r="AL339" t="str">
            <v>Option Year 12ESDOverheadContr</v>
          </cell>
          <cell r="AM339">
            <v>0</v>
          </cell>
        </row>
        <row r="340">
          <cell r="AL340" t="str">
            <v>Option Year 12ESDOverheadGovt</v>
          </cell>
          <cell r="AM340">
            <v>0</v>
          </cell>
        </row>
        <row r="341">
          <cell r="AL341" t="str">
            <v>Option Year 12ESDMHContr/Govt</v>
          </cell>
          <cell r="AM341">
            <v>0</v>
          </cell>
        </row>
        <row r="342">
          <cell r="AL342" t="str">
            <v>Option Year 12ESDG&amp;AContr/Govt</v>
          </cell>
          <cell r="AM342">
            <v>0</v>
          </cell>
        </row>
        <row r="343">
          <cell r="AL343" t="str">
            <v>Option Year 12ESDTBD1Contr/Govt</v>
          </cell>
          <cell r="AM343">
            <v>0</v>
          </cell>
        </row>
        <row r="344">
          <cell r="AL344" t="str">
            <v>Option Year 12ESDTBD2Contr/Govt</v>
          </cell>
          <cell r="AM344">
            <v>0</v>
          </cell>
        </row>
        <row r="345">
          <cell r="AL345" t="str">
            <v>Option Year 12ESDTBD3Contr/Govt</v>
          </cell>
          <cell r="AM345">
            <v>0</v>
          </cell>
        </row>
        <row r="350">
          <cell r="AL350" t="str">
            <v>Option Year 13ESDPRBContr/Govt</v>
          </cell>
          <cell r="AM350">
            <v>0</v>
          </cell>
        </row>
        <row r="351">
          <cell r="AL351" t="str">
            <v>Option Year 13ESDOverheadContr</v>
          </cell>
          <cell r="AM351">
            <v>0</v>
          </cell>
        </row>
        <row r="352">
          <cell r="AL352" t="str">
            <v>Option Year 13ESDOverheadGovt</v>
          </cell>
          <cell r="AM352">
            <v>0</v>
          </cell>
        </row>
        <row r="353">
          <cell r="AL353" t="str">
            <v>Option Year 13ESDMHContr/Govt</v>
          </cell>
          <cell r="AM353">
            <v>0</v>
          </cell>
        </row>
        <row r="354">
          <cell r="AL354" t="str">
            <v>Option Year 13ESDG&amp;AContr/Govt</v>
          </cell>
          <cell r="AM354">
            <v>0</v>
          </cell>
        </row>
        <row r="355">
          <cell r="AL355" t="str">
            <v>Option Year 13ESDTBD1Contr/Govt</v>
          </cell>
          <cell r="AM355">
            <v>0</v>
          </cell>
        </row>
        <row r="356">
          <cell r="AL356" t="str">
            <v>Option Year 13ESDTBD2Contr/Govt</v>
          </cell>
          <cell r="AM356">
            <v>0</v>
          </cell>
        </row>
        <row r="357">
          <cell r="AL357" t="str">
            <v>Option Year 13ESDTBD3Contr/Govt</v>
          </cell>
          <cell r="AM357">
            <v>0</v>
          </cell>
        </row>
        <row r="362">
          <cell r="AL362" t="str">
            <v>Option Year 14ESDPRBContr/Govt</v>
          </cell>
          <cell r="AM362">
            <v>0</v>
          </cell>
        </row>
        <row r="363">
          <cell r="AL363" t="str">
            <v>Option Year 14ESDOverheadContr</v>
          </cell>
          <cell r="AM363">
            <v>0</v>
          </cell>
        </row>
        <row r="364">
          <cell r="AL364" t="str">
            <v>Option Year 14ESDOverheadGovt</v>
          </cell>
          <cell r="AM364">
            <v>0</v>
          </cell>
        </row>
        <row r="365">
          <cell r="AL365" t="str">
            <v>Option Year 14ESDMHContr/Govt</v>
          </cell>
          <cell r="AM365">
            <v>0</v>
          </cell>
        </row>
        <row r="366">
          <cell r="AL366" t="str">
            <v>Option Year 14ESDG&amp;AContr/Govt</v>
          </cell>
          <cell r="AM366">
            <v>0</v>
          </cell>
        </row>
        <row r="367">
          <cell r="AL367" t="str">
            <v>Option Year 14ESDTBD1Contr/Govt</v>
          </cell>
          <cell r="AM367">
            <v>0</v>
          </cell>
        </row>
        <row r="368">
          <cell r="AL368" t="str">
            <v>Option Year 14ESDTBD2Contr/Govt</v>
          </cell>
          <cell r="AM368">
            <v>0</v>
          </cell>
        </row>
        <row r="369">
          <cell r="AL369" t="str">
            <v>Option Year 14ESDTBD3Contr/Govt</v>
          </cell>
          <cell r="AM369">
            <v>0</v>
          </cell>
        </row>
        <row r="375">
          <cell r="AL375" t="str">
            <v>LOOKUP TABLE - DO NOT DELETE</v>
          </cell>
        </row>
        <row r="376">
          <cell r="AL376" t="str">
            <v>MobilizationESDPRBContr/Govt</v>
          </cell>
          <cell r="AM376">
            <v>0.35099999999999998</v>
          </cell>
        </row>
        <row r="377">
          <cell r="AL377" t="str">
            <v>MobilizationESDOverheadContr</v>
          </cell>
          <cell r="AM377">
            <v>0.17249999999999999</v>
          </cell>
        </row>
        <row r="378">
          <cell r="AL378" t="str">
            <v>MobilizationESDOverheadGovt</v>
          </cell>
          <cell r="AM378">
            <v>3.1E-2</v>
          </cell>
        </row>
        <row r="379">
          <cell r="AL379" t="str">
            <v>MobilizationESDMHContr/Govt</v>
          </cell>
          <cell r="AM379">
            <v>3.0700000000000002E-2</v>
          </cell>
        </row>
        <row r="380">
          <cell r="AL380" t="str">
            <v>MobilizationESDG&amp;AContr/Govt</v>
          </cell>
          <cell r="AM380">
            <v>0.1009</v>
          </cell>
        </row>
        <row r="381">
          <cell r="AL381" t="str">
            <v>MobilizationESDTBD1Contr/Govt</v>
          </cell>
          <cell r="AM381">
            <v>0</v>
          </cell>
        </row>
        <row r="382">
          <cell r="AL382" t="str">
            <v>MobilizationESDTBD2Contr/Govt</v>
          </cell>
          <cell r="AM382">
            <v>0</v>
          </cell>
        </row>
        <row r="383">
          <cell r="AL383" t="str">
            <v>MobilizationESDTBD3Contr/Govt</v>
          </cell>
          <cell r="AM383">
            <v>0</v>
          </cell>
        </row>
        <row r="388">
          <cell r="AL388" t="str">
            <v>Contract Year 1ESDPRBContr/Govt</v>
          </cell>
          <cell r="AM388">
            <v>0.35099999999999998</v>
          </cell>
        </row>
        <row r="389">
          <cell r="AL389" t="str">
            <v>Contract Year 1ESDOverheadContr</v>
          </cell>
          <cell r="AM389">
            <v>0.17249999999999999</v>
          </cell>
        </row>
        <row r="390">
          <cell r="AL390" t="str">
            <v>Contract Year 1ESDOverheadGovt</v>
          </cell>
          <cell r="AM390">
            <v>3.1E-2</v>
          </cell>
        </row>
        <row r="391">
          <cell r="AL391" t="str">
            <v>Contract Year 1ESDMHContr/Govt</v>
          </cell>
          <cell r="AM391">
            <v>3.0099999999999998E-2</v>
          </cell>
        </row>
        <row r="392">
          <cell r="AL392" t="str">
            <v>Contract Year 1ESDG&amp;AContr/Govt</v>
          </cell>
          <cell r="AM392">
            <v>9.8799999999999999E-2</v>
          </cell>
        </row>
        <row r="393">
          <cell r="AL393" t="str">
            <v>Contract Year 1ESDTBD1Contr/Govt</v>
          </cell>
          <cell r="AM393">
            <v>0</v>
          </cell>
        </row>
        <row r="394">
          <cell r="AL394" t="str">
            <v>Contract Year 1ESDTBD2Contr/Govt</v>
          </cell>
          <cell r="AM394">
            <v>0</v>
          </cell>
        </row>
        <row r="395">
          <cell r="AL395" t="str">
            <v>Contract Year 1ESDTBD3Contr/Govt</v>
          </cell>
          <cell r="AM395">
            <v>0</v>
          </cell>
        </row>
        <row r="400">
          <cell r="AL400" t="str">
            <v>Contract Year 2ESDPRBContr/Govt</v>
          </cell>
          <cell r="AM400">
            <v>0.35099999999999998</v>
          </cell>
        </row>
        <row r="401">
          <cell r="AL401" t="str">
            <v>Contract Year 2ESDOverheadContr</v>
          </cell>
          <cell r="AM401">
            <v>0.17249999999999999</v>
          </cell>
        </row>
        <row r="402">
          <cell r="AL402" t="str">
            <v>Contract Year 2ESDOverheadGovt</v>
          </cell>
          <cell r="AM402">
            <v>3.1E-2</v>
          </cell>
        </row>
        <row r="403">
          <cell r="AL403" t="str">
            <v>Contract Year 2ESDMHContr/Govt</v>
          </cell>
          <cell r="AM403">
            <v>2.9100000000000001E-2</v>
          </cell>
        </row>
        <row r="404">
          <cell r="AL404" t="str">
            <v>Contract Year 2ESDG&amp;AContr/Govt</v>
          </cell>
          <cell r="AM404">
            <v>9.6199999999999994E-2</v>
          </cell>
        </row>
        <row r="405">
          <cell r="AL405" t="str">
            <v>Contract Year 2ESDTBD1Contr/Govt</v>
          </cell>
          <cell r="AM405">
            <v>0</v>
          </cell>
        </row>
        <row r="406">
          <cell r="AL406" t="str">
            <v>Contract Year 2ESDTBD2Contr/Govt</v>
          </cell>
          <cell r="AM406">
            <v>0</v>
          </cell>
        </row>
        <row r="407">
          <cell r="AL407" t="str">
            <v>Contract Year 2ESDTBD3Contr/Govt</v>
          </cell>
          <cell r="AM407">
            <v>0</v>
          </cell>
        </row>
        <row r="412">
          <cell r="AL412" t="str">
            <v>Contract Year 3ESDPRBContr/Govt</v>
          </cell>
          <cell r="AM412">
            <v>0.35099999999999998</v>
          </cell>
        </row>
        <row r="413">
          <cell r="AL413" t="str">
            <v>Contract Year 3ESDOverheadContr</v>
          </cell>
          <cell r="AM413">
            <v>0.17249999999999999</v>
          </cell>
        </row>
        <row r="414">
          <cell r="AL414" t="str">
            <v>Contract Year 3ESDOverheadGovt</v>
          </cell>
          <cell r="AM414">
            <v>3.1E-2</v>
          </cell>
        </row>
        <row r="415">
          <cell r="AL415" t="str">
            <v>Contract Year 3ESDMHContr/Govt</v>
          </cell>
          <cell r="AM415">
            <v>2.8199999999999999E-2</v>
          </cell>
        </row>
        <row r="416">
          <cell r="AL416" t="str">
            <v>Contract Year 3ESDG&amp;AContr/Govt</v>
          </cell>
          <cell r="AM416">
            <v>9.3700000000000006E-2</v>
          </cell>
        </row>
        <row r="417">
          <cell r="AL417" t="str">
            <v>Contract Year 3ESDTBD1Contr/Govt</v>
          </cell>
          <cell r="AM417">
            <v>0</v>
          </cell>
        </row>
        <row r="418">
          <cell r="AL418" t="str">
            <v>Contract Year 3ESDTBD2Contr/Govt</v>
          </cell>
          <cell r="AM418">
            <v>0</v>
          </cell>
        </row>
        <row r="419">
          <cell r="AL419" t="str">
            <v>Contract Year 3ESDTBD3Contr/Govt</v>
          </cell>
          <cell r="AM419">
            <v>0</v>
          </cell>
        </row>
        <row r="424">
          <cell r="AL424" t="str">
            <v>Option Year 1ESDPRBContr/Govt</v>
          </cell>
          <cell r="AM424">
            <v>0.35099999999999998</v>
          </cell>
        </row>
        <row r="425">
          <cell r="AL425" t="str">
            <v>Option Year 1ESDOverheadContr</v>
          </cell>
          <cell r="AM425">
            <v>0.17249999999999999</v>
          </cell>
        </row>
        <row r="426">
          <cell r="AL426" t="str">
            <v>Option Year 1ESDOverheadGovt</v>
          </cell>
          <cell r="AM426">
            <v>3.1E-2</v>
          </cell>
        </row>
        <row r="427">
          <cell r="AL427" t="str">
            <v>Option Year 1ESDMHContr/Govt</v>
          </cell>
          <cell r="AM427">
            <v>2.76E-2</v>
          </cell>
        </row>
        <row r="428">
          <cell r="AL428" t="str">
            <v>Option Year 1ESDG&amp;AContr/Govt</v>
          </cell>
          <cell r="AM428">
            <v>9.1999999999999998E-2</v>
          </cell>
        </row>
        <row r="429">
          <cell r="AL429" t="str">
            <v>Option Year 1ESDTBD1Contr/Govt</v>
          </cell>
          <cell r="AM429">
            <v>0</v>
          </cell>
        </row>
        <row r="430">
          <cell r="AL430" t="str">
            <v>Option Year 1ESDTBD2Contr/Govt</v>
          </cell>
          <cell r="AM430">
            <v>0</v>
          </cell>
        </row>
        <row r="431">
          <cell r="AL431" t="str">
            <v>Option Year 1ESDTBD3Contr/Govt</v>
          </cell>
          <cell r="AM431">
            <v>0</v>
          </cell>
        </row>
        <row r="436">
          <cell r="AL436" t="str">
            <v>Option Year 2ESDPRBContr/Govt</v>
          </cell>
          <cell r="AM436">
            <v>0.35099999999999998</v>
          </cell>
        </row>
        <row r="437">
          <cell r="AL437" t="str">
            <v>Option Year 2ESDOverheadContr</v>
          </cell>
          <cell r="AM437">
            <v>0.17249999999999999</v>
          </cell>
        </row>
        <row r="438">
          <cell r="AL438" t="str">
            <v>Option Year 2ESDOverheadGovt</v>
          </cell>
          <cell r="AM438">
            <v>3.1E-2</v>
          </cell>
        </row>
        <row r="439">
          <cell r="AL439" t="str">
            <v>Option Year 2ESDMHContr/Govt</v>
          </cell>
          <cell r="AM439">
            <v>2.76E-2</v>
          </cell>
        </row>
        <row r="440">
          <cell r="AL440" t="str">
            <v>Option Year 2ESDG&amp;AContr/Govt</v>
          </cell>
          <cell r="AM440">
            <v>9.1999999999999998E-2</v>
          </cell>
        </row>
        <row r="441">
          <cell r="AL441" t="str">
            <v>Option Year 2ESDTBD1Contr/Govt</v>
          </cell>
          <cell r="AM441">
            <v>0</v>
          </cell>
        </row>
        <row r="442">
          <cell r="AL442" t="str">
            <v>Option Year 2ESDTBD2Contr/Govt</v>
          </cell>
          <cell r="AM442">
            <v>0</v>
          </cell>
        </row>
        <row r="443">
          <cell r="AL443" t="str">
            <v>Option Year 2ESDTBD3Contr/Govt</v>
          </cell>
          <cell r="AM443">
            <v>0</v>
          </cell>
        </row>
        <row r="448">
          <cell r="AL448" t="str">
            <v>Optional Pricing - Entire PoPESDPRBContr/Govt</v>
          </cell>
          <cell r="AM448">
            <v>0.35099999999999998</v>
          </cell>
        </row>
        <row r="449">
          <cell r="AL449" t="str">
            <v>Optional Pricing - Entire PoPESDOverheadContr</v>
          </cell>
          <cell r="AM449">
            <v>0.17249999999999999</v>
          </cell>
        </row>
        <row r="450">
          <cell r="AL450" t="str">
            <v>Optional Pricing - Entire PoPESDOverheadGovt</v>
          </cell>
          <cell r="AM450">
            <v>3.1E-2</v>
          </cell>
        </row>
        <row r="451">
          <cell r="AL451" t="str">
            <v>Optional Pricing - Entire PoPESDMHContr/Govt</v>
          </cell>
          <cell r="AM451">
            <v>2.87E-2</v>
          </cell>
        </row>
        <row r="452">
          <cell r="AL452" t="str">
            <v>Optional Pricing - Entire PoPESDG&amp;AContr/Govt</v>
          </cell>
          <cell r="AM452">
            <v>9.5200000000000007E-2</v>
          </cell>
        </row>
        <row r="453">
          <cell r="AL453" t="str">
            <v>Optional Pricing - Entire PoPESDTBD1Contr/Govt</v>
          </cell>
          <cell r="AM453">
            <v>0</v>
          </cell>
        </row>
        <row r="454">
          <cell r="AL454" t="str">
            <v>Optional Pricing - Entire PoPESDTBD2Contr/Govt</v>
          </cell>
          <cell r="AM454">
            <v>0</v>
          </cell>
        </row>
        <row r="455">
          <cell r="AL455" t="str">
            <v>Optional Pricing - Entire PoPESDTBD3Contr/Govt</v>
          </cell>
          <cell r="AM455">
            <v>0</v>
          </cell>
        </row>
        <row r="460">
          <cell r="AL460" t="str">
            <v>Option Year 7ESDPRBContr/Govt</v>
          </cell>
          <cell r="AM460">
            <v>0.35099999999999998</v>
          </cell>
        </row>
        <row r="461">
          <cell r="AL461" t="str">
            <v>Option Year 7ESDOverheadContr</v>
          </cell>
          <cell r="AM461">
            <v>0.17249999999999999</v>
          </cell>
        </row>
        <row r="462">
          <cell r="AL462" t="str">
            <v>Option Year 7ESDOverheadGovt</v>
          </cell>
          <cell r="AM462">
            <v>3.1E-2</v>
          </cell>
        </row>
        <row r="463">
          <cell r="AL463" t="str">
            <v>Option Year 7ESDMHContr/Govt</v>
          </cell>
          <cell r="AM463">
            <v>2.76E-2</v>
          </cell>
        </row>
        <row r="464">
          <cell r="AL464" t="str">
            <v>Option Year 7ESDG&amp;AContr/Govt</v>
          </cell>
          <cell r="AM464">
            <v>9.1999999999999998E-2</v>
          </cell>
        </row>
        <row r="465">
          <cell r="AL465" t="str">
            <v>Option Year 7ESDTBD1Contr/Govt</v>
          </cell>
          <cell r="AM465">
            <v>0</v>
          </cell>
        </row>
        <row r="466">
          <cell r="AL466" t="str">
            <v>Option Year 7ESDTBD2Contr/Govt</v>
          </cell>
          <cell r="AM466">
            <v>0</v>
          </cell>
        </row>
        <row r="467">
          <cell r="AL467" t="str">
            <v>Option Year 7ESDTBD3Contr/Govt</v>
          </cell>
          <cell r="AM467">
            <v>0</v>
          </cell>
        </row>
        <row r="472">
          <cell r="AL472" t="str">
            <v>Option Year 8ESDPRBContr/Govt</v>
          </cell>
          <cell r="AM472">
            <v>0.26329999999999998</v>
          </cell>
        </row>
        <row r="473">
          <cell r="AL473" t="str">
            <v>Option Year 8ESDOverheadContr</v>
          </cell>
          <cell r="AM473">
            <v>0.12939999999999999</v>
          </cell>
        </row>
        <row r="474">
          <cell r="AL474" t="str">
            <v>Option Year 8ESDOverheadGovt</v>
          </cell>
          <cell r="AM474">
            <v>2.3300000000000001E-2</v>
          </cell>
        </row>
        <row r="475">
          <cell r="AL475" t="str">
            <v>Option Year 8ESDMHContr/Govt</v>
          </cell>
          <cell r="AM475">
            <v>2.07E-2</v>
          </cell>
        </row>
        <row r="476">
          <cell r="AL476" t="str">
            <v>Option Year 8ESDG&amp;AContr/Govt</v>
          </cell>
          <cell r="AM476">
            <v>6.9000000000000006E-2</v>
          </cell>
        </row>
        <row r="477">
          <cell r="AL477" t="str">
            <v>Option Year 8ESDTBD1Contr/Govt</v>
          </cell>
          <cell r="AM477">
            <v>0</v>
          </cell>
        </row>
        <row r="478">
          <cell r="AL478" t="str">
            <v>Option Year 8ESDTBD2Contr/Govt</v>
          </cell>
          <cell r="AM478">
            <v>0</v>
          </cell>
        </row>
        <row r="479">
          <cell r="AL479" t="str">
            <v>Option Year 8ESDTBD3Contr/Govt</v>
          </cell>
          <cell r="AM479">
            <v>0</v>
          </cell>
        </row>
        <row r="484">
          <cell r="AL484" t="str">
            <v>Option Year 9ESDPRBContr/Govt</v>
          </cell>
          <cell r="AM484">
            <v>0</v>
          </cell>
        </row>
        <row r="485">
          <cell r="AL485" t="str">
            <v>Option Year 9ESDOverheadContr</v>
          </cell>
          <cell r="AM485">
            <v>0</v>
          </cell>
        </row>
        <row r="486">
          <cell r="AL486" t="str">
            <v>Option Year 9ESDOverheadGovt</v>
          </cell>
          <cell r="AM486">
            <v>0</v>
          </cell>
        </row>
        <row r="487">
          <cell r="AL487" t="str">
            <v>Option Year 9ESDMHContr/Govt</v>
          </cell>
          <cell r="AM487">
            <v>0</v>
          </cell>
        </row>
        <row r="488">
          <cell r="AL488" t="str">
            <v>Option Year 9ESDG&amp;AContr/Govt</v>
          </cell>
          <cell r="AM488">
            <v>0</v>
          </cell>
        </row>
        <row r="489">
          <cell r="AL489" t="str">
            <v>Option Year 9ESDTBD1Contr/Govt</v>
          </cell>
          <cell r="AM489">
            <v>0</v>
          </cell>
        </row>
        <row r="490">
          <cell r="AL490" t="str">
            <v>Option Year 9ESDTBD2Contr/Govt</v>
          </cell>
          <cell r="AM490">
            <v>0</v>
          </cell>
        </row>
        <row r="491">
          <cell r="AL491" t="str">
            <v>Option Year 9ESDTBD3Contr/Govt</v>
          </cell>
          <cell r="AM491">
            <v>0</v>
          </cell>
        </row>
        <row r="496">
          <cell r="AL496" t="str">
            <v>Option Year 10ESDPRBContr/Govt</v>
          </cell>
          <cell r="AM496">
            <v>0</v>
          </cell>
        </row>
        <row r="497">
          <cell r="AL497" t="str">
            <v>Option Year 10ESDOverheadContr</v>
          </cell>
          <cell r="AM497">
            <v>0</v>
          </cell>
        </row>
        <row r="498">
          <cell r="AL498" t="str">
            <v>Option Year 10ESDOverheadGovt</v>
          </cell>
          <cell r="AM498">
            <v>0</v>
          </cell>
        </row>
        <row r="499">
          <cell r="AL499" t="str">
            <v>Option Year 10ESDMHContr/Govt</v>
          </cell>
          <cell r="AM499">
            <v>0</v>
          </cell>
        </row>
        <row r="500">
          <cell r="AL500" t="str">
            <v>Option Year 10ESDG&amp;AContr/Govt</v>
          </cell>
          <cell r="AM500">
            <v>0</v>
          </cell>
        </row>
        <row r="501">
          <cell r="AL501" t="str">
            <v>Option Year 10ESDTBD1Contr/Govt</v>
          </cell>
          <cell r="AM501">
            <v>0</v>
          </cell>
        </row>
        <row r="502">
          <cell r="AL502" t="str">
            <v>Option Year 10ESDTBD2Contr/Govt</v>
          </cell>
          <cell r="AM502">
            <v>0</v>
          </cell>
        </row>
        <row r="503">
          <cell r="AL503" t="str">
            <v>Option Year 10ESDTBD3Contr/Govt</v>
          </cell>
          <cell r="AM503">
            <v>0</v>
          </cell>
        </row>
        <row r="508">
          <cell r="AL508" t="str">
            <v>Option Year 11ESDPRBContr/Govt</v>
          </cell>
          <cell r="AM508">
            <v>0</v>
          </cell>
        </row>
        <row r="509">
          <cell r="AL509" t="str">
            <v>Option Year 11ESDOverheadContr</v>
          </cell>
          <cell r="AM509">
            <v>0</v>
          </cell>
        </row>
        <row r="510">
          <cell r="AL510" t="str">
            <v>Option Year 11ESDOverheadGovt</v>
          </cell>
          <cell r="AM510">
            <v>0</v>
          </cell>
        </row>
        <row r="511">
          <cell r="AL511" t="str">
            <v>Option Year 11ESDMHContr/Govt</v>
          </cell>
          <cell r="AM511">
            <v>0</v>
          </cell>
        </row>
        <row r="512">
          <cell r="AL512" t="str">
            <v>Option Year 11ESDG&amp;AContr/Govt</v>
          </cell>
          <cell r="AM512">
            <v>0</v>
          </cell>
        </row>
        <row r="513">
          <cell r="AL513" t="str">
            <v>Option Year 11ESDTBD1Contr/Govt</v>
          </cell>
          <cell r="AM513">
            <v>0</v>
          </cell>
        </row>
        <row r="514">
          <cell r="AL514" t="str">
            <v>Option Year 11ESDTBD2Contr/Govt</v>
          </cell>
          <cell r="AM514">
            <v>0</v>
          </cell>
        </row>
        <row r="515">
          <cell r="AL515" t="str">
            <v>Option Year 11ESDTBD3Contr/Govt</v>
          </cell>
          <cell r="AM515">
            <v>0</v>
          </cell>
        </row>
        <row r="520">
          <cell r="AL520" t="str">
            <v>Option Year 12ESDPRBContr/Govt</v>
          </cell>
          <cell r="AM520">
            <v>0</v>
          </cell>
        </row>
        <row r="521">
          <cell r="AL521" t="str">
            <v>Option Year 12ESDOverheadContr</v>
          </cell>
          <cell r="AM521">
            <v>0</v>
          </cell>
        </row>
        <row r="522">
          <cell r="AL522" t="str">
            <v>Option Year 12ESDOverheadGovt</v>
          </cell>
          <cell r="AM522">
            <v>0</v>
          </cell>
        </row>
        <row r="523">
          <cell r="AL523" t="str">
            <v>Option Year 12ESDMHContr/Govt</v>
          </cell>
          <cell r="AM523">
            <v>0</v>
          </cell>
        </row>
        <row r="524">
          <cell r="AL524" t="str">
            <v>Option Year 12ESDG&amp;AContr/Govt</v>
          </cell>
          <cell r="AM524">
            <v>0</v>
          </cell>
        </row>
        <row r="525">
          <cell r="AL525" t="str">
            <v>Option Year 12ESDTBD1Contr/Govt</v>
          </cell>
          <cell r="AM525">
            <v>0</v>
          </cell>
        </row>
        <row r="526">
          <cell r="AL526" t="str">
            <v>Option Year 12ESDTBD2Contr/Govt</v>
          </cell>
          <cell r="AM526">
            <v>0</v>
          </cell>
        </row>
        <row r="527">
          <cell r="AL527" t="str">
            <v>Option Year 12ESDTBD3Contr/Govt</v>
          </cell>
          <cell r="AM527">
            <v>0</v>
          </cell>
        </row>
        <row r="532">
          <cell r="AL532" t="str">
            <v>Option Year 13ESDPRBContr/Govt</v>
          </cell>
          <cell r="AM532">
            <v>0</v>
          </cell>
        </row>
        <row r="533">
          <cell r="AL533" t="str">
            <v>Option Year 13ESDOverheadContr</v>
          </cell>
          <cell r="AM533">
            <v>0</v>
          </cell>
        </row>
        <row r="534">
          <cell r="AL534" t="str">
            <v>Option Year 13ESDOverheadGovt</v>
          </cell>
          <cell r="AM534">
            <v>0</v>
          </cell>
        </row>
        <row r="535">
          <cell r="AL535" t="str">
            <v>Option Year 13ESDMHContr/Govt</v>
          </cell>
          <cell r="AM535">
            <v>0</v>
          </cell>
        </row>
        <row r="536">
          <cell r="AL536" t="str">
            <v>Option Year 13ESDG&amp;AContr/Govt</v>
          </cell>
          <cell r="AM536">
            <v>0</v>
          </cell>
        </row>
        <row r="537">
          <cell r="AL537" t="str">
            <v>Option Year 13ESDTBD1Contr/Govt</v>
          </cell>
          <cell r="AM537">
            <v>0</v>
          </cell>
        </row>
        <row r="538">
          <cell r="AL538" t="str">
            <v>Option Year 13ESDTBD2Contr/Govt</v>
          </cell>
          <cell r="AM538">
            <v>0</v>
          </cell>
        </row>
        <row r="539">
          <cell r="AL539" t="str">
            <v>Option Year 13ESDTBD3Contr/Govt</v>
          </cell>
          <cell r="AM539">
            <v>0</v>
          </cell>
        </row>
        <row r="544">
          <cell r="AL544" t="str">
            <v>Option Year 14ESDPRBContr/Govt</v>
          </cell>
          <cell r="AM544">
            <v>0</v>
          </cell>
        </row>
        <row r="545">
          <cell r="AL545" t="str">
            <v>Option Year 14ESDOverheadContr</v>
          </cell>
          <cell r="AM545">
            <v>0</v>
          </cell>
        </row>
        <row r="546">
          <cell r="AL546" t="str">
            <v>Option Year 14ESDOverheadGovt</v>
          </cell>
          <cell r="AM546">
            <v>0</v>
          </cell>
        </row>
        <row r="547">
          <cell r="AL547" t="str">
            <v>Option Year 14ESDMHContr/Govt</v>
          </cell>
          <cell r="AM547">
            <v>0</v>
          </cell>
        </row>
        <row r="548">
          <cell r="AL548" t="str">
            <v>Option Year 14ESDG&amp;AContr/Govt</v>
          </cell>
          <cell r="AM548">
            <v>0</v>
          </cell>
        </row>
        <row r="549">
          <cell r="AL549" t="str">
            <v>Option Year 14ESDTBD1Contr/Govt</v>
          </cell>
          <cell r="AM549">
            <v>0</v>
          </cell>
        </row>
        <row r="550">
          <cell r="AL550" t="str">
            <v>Option Year 14ESDTBD2Contr/Govt</v>
          </cell>
          <cell r="AM550">
            <v>0</v>
          </cell>
        </row>
        <row r="551">
          <cell r="AL551" t="str">
            <v>Option Year 14ESDTBD3Contr/Govt</v>
          </cell>
          <cell r="AM551">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vmlDrawing" Target="../drawings/vmlDrawing4.vml" />
  <Relationship Id="rId1" Type="http://schemas.openxmlformats.org/officeDocument/2006/relationships/printerSettings" Target="../printerSettings/printerSettings11.bin" />
</Relationships>
</file>

<file path=xl/worksheets/_rels/sheet11.xml.rels>&#65279;<?xml version="1.0" encoding="UTF-8" standalone="yes"?>
<Relationships xmlns="http://schemas.openxmlformats.org/package/2006/relationships">
  <Relationship Id="rId2" Type="http://schemas.openxmlformats.org/officeDocument/2006/relationships/vmlDrawing" Target="../drawings/vmlDrawing5.vml" />
  <Relationship Id="rId1" Type="http://schemas.openxmlformats.org/officeDocument/2006/relationships/printerSettings" Target="../printerSettings/printerSettings12.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28.xml.rels>&#65279;<?xml version="1.0" encoding="UTF-8" standalone="yes"?>
<Relationships xmlns="http://schemas.openxmlformats.org/package/2006/relationships">
  <Relationship Id="rId2" Type="http://schemas.openxmlformats.org/officeDocument/2006/relationships/vmlDrawing" Target="../drawings/vmlDrawing6.vml" />
  <Relationship Id="rId1" Type="http://schemas.openxmlformats.org/officeDocument/2006/relationships/printerSettings" Target="../printerSettings/printerSettings28.bin" />
</Relationships>
</file>

<file path=xl/worksheets/_rels/sheet29.xml.rels>&#65279;<?xml version="1.0" encoding="UTF-8" standalone="yes"?>
<Relationships xmlns="http://schemas.openxmlformats.org/package/2006/relationships">
  <Relationship Id="rId2" Type="http://schemas.openxmlformats.org/officeDocument/2006/relationships/vmlDrawing" Target="../drawings/vmlDrawing7.vml" />
  <Relationship Id="rId1" Type="http://schemas.openxmlformats.org/officeDocument/2006/relationships/printerSettings" Target="../printerSettings/printerSettings29.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30.xml.rels>&#65279;<?xml version="1.0" encoding="UTF-8" standalone="yes"?>
<Relationships xmlns="http://schemas.openxmlformats.org/package/2006/relationships">
  <Relationship Id="rId2" Type="http://schemas.openxmlformats.org/officeDocument/2006/relationships/vmlDrawing" Target="../drawings/vmlDrawing8.vml" />
  <Relationship Id="rId1" Type="http://schemas.openxmlformats.org/officeDocument/2006/relationships/printerSettings" Target="../printerSettings/printerSettings30.bin" />
</Relationships>
</file>

<file path=xl/worksheets/_rels/sheet31.xml.rels>&#65279;<?xml version="1.0" encoding="UTF-8" standalone="yes"?>
<Relationships xmlns="http://schemas.openxmlformats.org/package/2006/relationships">
  <Relationship Id="rId1" Type="http://schemas.openxmlformats.org/officeDocument/2006/relationships/printerSettings" Target="../printerSettings/printerSettings31.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printerSettings" Target="../printerSettings/printerSettings8.bin"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vmlDrawing" Target="../drawings/vmlDrawing2.vml" />
  <Relationship Id="rId1" Type="http://schemas.openxmlformats.org/officeDocument/2006/relationships/printerSettings" Target="../printerSettings/printerSettings9.bin" />
</Relationships>
</file>

<file path=xl/worksheets/_rels/sheet9.xml.rels>&#65279;<?xml version="1.0" encoding="UTF-8" standalone="yes"?>
<Relationships xmlns="http://schemas.openxmlformats.org/package/2006/relationships">
  <Relationship Id="rId2" Type="http://schemas.openxmlformats.org/officeDocument/2006/relationships/vmlDrawing" Target="../drawings/vmlDrawing3.vml" />
  <Relationship Id="rId1" Type="http://schemas.openxmlformats.org/officeDocument/2006/relationships/printerSettings" Target="../printerSettings/printerSettings10.bin" />
</Relationships>
</file>

<file path=xl/worksheets/sheet1.xml><?xml version="1.0" encoding="utf-8"?>
<worksheet xmlns="http://schemas.openxmlformats.org/spreadsheetml/2006/main" xmlns:r="http://schemas.openxmlformats.org/officeDocument/2006/relationships">
  <sheetPr codeName="Sheet7"/>
  <dimension ref="A1:Q42"/>
  <sheetViews>
    <sheetView showZeros="0" view="pageBreakPreview" zoomScale="70" zoomScaleNormal="75" zoomScaleSheetLayoutView="70" workbookViewId="0">
      <selection activeCell="Q45" sqref="Q45"/>
    </sheetView>
  </sheetViews>
  <sheetFormatPr defaultRowHeight="15.75"/>
  <cols>
    <col min="1" max="1" width="9.28515625" style="924" customWidth="1"/>
    <col min="2" max="2" width="10.85546875" style="926" customWidth="1"/>
    <col min="3" max="3" width="16.28515625" style="926" customWidth="1"/>
    <col min="4" max="4" width="32.28515625" style="926" customWidth="1"/>
    <col min="5" max="6" width="8.5703125" style="929" customWidth="1"/>
    <col min="7" max="7" width="16.42578125" style="929" bestFit="1" customWidth="1"/>
    <col min="8" max="8" width="13.7109375" style="929" customWidth="1"/>
    <col min="9" max="9" width="10.7109375" style="929" customWidth="1"/>
    <col min="10" max="10" width="11.7109375" style="930" customWidth="1"/>
    <col min="11" max="11" width="12.28515625" style="930" bestFit="1" customWidth="1"/>
    <col min="12" max="13" width="11.28515625" style="930" customWidth="1"/>
    <col min="14" max="14" width="12.28515625" style="930" customWidth="1"/>
    <col min="15" max="15" width="10.7109375" style="930" customWidth="1"/>
    <col min="16" max="16" width="12.7109375" style="930" customWidth="1"/>
    <col min="17" max="17" width="26.140625" customWidth="1"/>
    <col min="18" max="18" width="45.7109375" style="926" bestFit="1" customWidth="1"/>
    <col min="19" max="19" width="47.42578125" style="926" bestFit="1" customWidth="1"/>
    <col min="20" max="20" width="10.5703125" style="926" bestFit="1" customWidth="1"/>
    <col min="21" max="16384" width="9.140625" style="926"/>
  </cols>
  <sheetData>
    <row r="1" spans="1:17">
      <c r="A1" s="920" t="s">
        <v>610</v>
      </c>
      <c r="B1" s="921" t="str">
        <f>+InputSheet!D4</f>
        <v>P-12246</v>
      </c>
      <c r="C1" s="922"/>
      <c r="D1" s="923"/>
      <c r="E1" s="924"/>
      <c r="F1" s="924"/>
      <c r="G1" s="924"/>
      <c r="H1" s="924"/>
      <c r="I1" s="924"/>
      <c r="J1" s="925"/>
      <c r="K1" s="925"/>
      <c r="L1" s="925"/>
      <c r="M1" s="925"/>
      <c r="N1" s="925"/>
      <c r="O1" s="925"/>
      <c r="P1" s="925"/>
    </row>
    <row r="2" spans="1:17">
      <c r="A2" s="920" t="s">
        <v>855</v>
      </c>
      <c r="B2" s="927" t="s">
        <v>856</v>
      </c>
      <c r="C2" s="928"/>
      <c r="D2" s="928"/>
      <c r="E2" s="928"/>
      <c r="F2" s="928"/>
      <c r="G2" s="928"/>
      <c r="H2" s="928"/>
      <c r="I2" s="928"/>
      <c r="J2" s="928"/>
      <c r="K2" s="928"/>
      <c r="L2" s="928"/>
      <c r="M2" s="928"/>
      <c r="N2" s="928"/>
      <c r="O2" s="928"/>
      <c r="P2" s="928"/>
    </row>
    <row r="3" spans="1:17">
      <c r="A3" s="920" t="s">
        <v>612</v>
      </c>
      <c r="B3" s="922" t="s">
        <v>857</v>
      </c>
      <c r="C3" s="928"/>
      <c r="D3" s="928"/>
      <c r="E3" s="928"/>
      <c r="F3" s="928"/>
      <c r="G3" s="928"/>
      <c r="H3" s="928"/>
      <c r="J3" s="928"/>
      <c r="K3" s="928"/>
      <c r="L3" s="928"/>
      <c r="M3" s="928"/>
      <c r="N3" s="928"/>
      <c r="O3" s="928"/>
      <c r="P3" s="928"/>
    </row>
    <row r="4" spans="1:17">
      <c r="A4" s="920" t="s">
        <v>611</v>
      </c>
      <c r="B4" s="922" t="s">
        <v>858</v>
      </c>
      <c r="C4" s="928"/>
      <c r="D4" s="928"/>
      <c r="E4" s="928"/>
      <c r="F4" s="928"/>
      <c r="G4" s="928"/>
      <c r="H4" s="928"/>
      <c r="I4" s="928"/>
      <c r="J4" s="928"/>
      <c r="K4" s="928"/>
      <c r="L4" s="928"/>
      <c r="M4" s="928"/>
      <c r="N4" s="928"/>
      <c r="O4" s="928"/>
      <c r="P4" s="928"/>
    </row>
    <row r="5" spans="1:17" ht="16.5" thickBot="1">
      <c r="Q5" s="926"/>
    </row>
    <row r="6" spans="1:17" ht="21" customHeight="1" thickTop="1">
      <c r="A6" s="931"/>
      <c r="B6" s="932"/>
      <c r="C6" s="932"/>
      <c r="D6" s="933"/>
      <c r="E6" s="934"/>
      <c r="F6" s="934"/>
      <c r="G6" s="934"/>
      <c r="H6" s="934"/>
      <c r="I6" s="934"/>
      <c r="J6" s="935"/>
      <c r="K6" s="936"/>
      <c r="L6" s="936"/>
      <c r="M6" s="936"/>
      <c r="N6" s="936"/>
      <c r="O6" s="937"/>
      <c r="P6" s="938"/>
      <c r="Q6" s="926"/>
    </row>
    <row r="7" spans="1:17">
      <c r="A7" s="939"/>
      <c r="B7" s="940"/>
      <c r="C7" s="940"/>
      <c r="D7" s="940"/>
      <c r="E7" s="941" t="s">
        <v>859</v>
      </c>
      <c r="F7" s="941" t="s">
        <v>859</v>
      </c>
      <c r="G7" s="941" t="s">
        <v>859</v>
      </c>
      <c r="H7" s="941" t="s">
        <v>860</v>
      </c>
      <c r="I7" s="941" t="s">
        <v>861</v>
      </c>
      <c r="J7" s="942" t="s">
        <v>862</v>
      </c>
      <c r="K7" s="943" t="s">
        <v>863</v>
      </c>
      <c r="L7" s="943" t="s">
        <v>864</v>
      </c>
      <c r="M7" s="943" t="s">
        <v>865</v>
      </c>
      <c r="N7" s="943" t="s">
        <v>866</v>
      </c>
      <c r="O7" s="944" t="s">
        <v>671</v>
      </c>
      <c r="P7" s="945"/>
      <c r="Q7" s="926"/>
    </row>
    <row r="8" spans="1:17">
      <c r="A8" s="946" t="s">
        <v>867</v>
      </c>
      <c r="B8" s="947" t="s">
        <v>868</v>
      </c>
      <c r="C8" s="947"/>
      <c r="D8" s="947" t="s">
        <v>869</v>
      </c>
      <c r="E8" s="948" t="s">
        <v>870</v>
      </c>
      <c r="F8" s="948" t="s">
        <v>871</v>
      </c>
      <c r="G8" s="948" t="s">
        <v>872</v>
      </c>
      <c r="H8" s="948" t="s">
        <v>873</v>
      </c>
      <c r="I8" s="948" t="s">
        <v>866</v>
      </c>
      <c r="J8" s="949" t="s">
        <v>609</v>
      </c>
      <c r="K8" s="950" t="s">
        <v>609</v>
      </c>
      <c r="L8" s="950" t="s">
        <v>609</v>
      </c>
      <c r="M8" s="950" t="s">
        <v>609</v>
      </c>
      <c r="N8" s="950" t="s">
        <v>609</v>
      </c>
      <c r="O8" s="951" t="s">
        <v>609</v>
      </c>
      <c r="P8" s="952" t="s">
        <v>641</v>
      </c>
      <c r="Q8" s="952" t="s">
        <v>986</v>
      </c>
    </row>
    <row r="9" spans="1:17">
      <c r="A9" s="939"/>
      <c r="B9" s="940"/>
      <c r="C9" s="940"/>
      <c r="D9" s="940"/>
      <c r="E9" s="953"/>
      <c r="F9" s="953"/>
      <c r="G9" s="953"/>
      <c r="H9" s="953"/>
      <c r="I9" s="953"/>
      <c r="J9" s="954"/>
      <c r="K9" s="955"/>
      <c r="L9" s="955"/>
      <c r="M9" s="955"/>
      <c r="N9" s="955"/>
      <c r="O9" s="956"/>
      <c r="P9" s="945"/>
      <c r="Q9" s="1114">
        <v>0.3</v>
      </c>
    </row>
    <row r="10" spans="1:17">
      <c r="A10" s="957">
        <v>1</v>
      </c>
      <c r="B10" s="1187" t="s">
        <v>890</v>
      </c>
      <c r="C10" s="1188"/>
      <c r="D10" s="958" t="s">
        <v>891</v>
      </c>
      <c r="E10" s="959">
        <v>1</v>
      </c>
      <c r="F10" s="959">
        <v>1</v>
      </c>
      <c r="G10" s="960">
        <v>6</v>
      </c>
      <c r="H10" s="1014">
        <v>1</v>
      </c>
      <c r="I10" s="961">
        <v>0</v>
      </c>
      <c r="J10" s="962">
        <v>573.29</v>
      </c>
      <c r="K10" s="962">
        <v>241</v>
      </c>
      <c r="L10" s="962"/>
      <c r="M10" s="962">
        <v>121.76</v>
      </c>
      <c r="N10" s="963"/>
      <c r="O10" s="962">
        <v>20</v>
      </c>
      <c r="P10" s="964"/>
      <c r="Q10" s="926"/>
    </row>
    <row r="11" spans="1:17">
      <c r="A11" s="957">
        <f>1+A10</f>
        <v>2</v>
      </c>
      <c r="B11" s="1189" t="s">
        <v>891</v>
      </c>
      <c r="C11" s="1190"/>
      <c r="D11" s="965" t="s">
        <v>892</v>
      </c>
      <c r="E11" s="959">
        <v>1</v>
      </c>
      <c r="F11" s="959">
        <v>1</v>
      </c>
      <c r="G11" s="960">
        <v>6</v>
      </c>
      <c r="H11" s="1014">
        <v>1</v>
      </c>
      <c r="I11" s="961"/>
      <c r="J11" s="962">
        <v>1924</v>
      </c>
      <c r="K11" s="962"/>
      <c r="L11" s="962"/>
      <c r="M11" s="962">
        <v>144.91999999999999</v>
      </c>
      <c r="N11" s="963"/>
      <c r="O11" s="962">
        <v>20</v>
      </c>
      <c r="P11" s="964"/>
      <c r="Q11" s="926"/>
    </row>
    <row r="12" spans="1:17">
      <c r="A12" s="957">
        <f>1+A11</f>
        <v>3</v>
      </c>
      <c r="B12" s="1187" t="s">
        <v>892</v>
      </c>
      <c r="C12" s="1191"/>
      <c r="D12" s="965" t="s">
        <v>890</v>
      </c>
      <c r="E12" s="959">
        <v>1</v>
      </c>
      <c r="F12" s="959">
        <v>1</v>
      </c>
      <c r="G12" s="960">
        <v>0</v>
      </c>
      <c r="H12" s="959">
        <v>0</v>
      </c>
      <c r="I12" s="961"/>
      <c r="J12" s="962">
        <v>1028</v>
      </c>
      <c r="K12" s="962"/>
      <c r="L12" s="962"/>
      <c r="M12" s="962">
        <v>65.489999999999995</v>
      </c>
      <c r="N12" s="963"/>
      <c r="O12" s="962">
        <v>20</v>
      </c>
      <c r="P12" s="964"/>
      <c r="Q12" s="926"/>
    </row>
    <row r="13" spans="1:17" ht="7.5" customHeight="1">
      <c r="A13" s="966"/>
      <c r="B13" s="967"/>
      <c r="C13" s="967"/>
      <c r="D13" s="967"/>
      <c r="E13" s="968"/>
      <c r="F13" s="968"/>
      <c r="G13" s="968"/>
      <c r="H13" s="968"/>
      <c r="I13" s="968"/>
      <c r="J13" s="969"/>
      <c r="K13" s="970"/>
      <c r="L13" s="970"/>
      <c r="M13" s="970"/>
      <c r="N13" s="970"/>
      <c r="O13" s="971"/>
      <c r="P13" s="972"/>
      <c r="Q13" s="926"/>
    </row>
    <row r="14" spans="1:17" ht="7.5" customHeight="1">
      <c r="A14" s="939"/>
      <c r="B14" s="940"/>
      <c r="C14" s="940"/>
      <c r="D14" s="940"/>
      <c r="E14" s="973"/>
      <c r="F14" s="973"/>
      <c r="G14" s="973"/>
      <c r="H14" s="973"/>
      <c r="I14" s="973"/>
      <c r="J14" s="974"/>
      <c r="K14" s="975"/>
      <c r="L14" s="975"/>
      <c r="M14" s="975"/>
      <c r="N14" s="975"/>
      <c r="O14" s="976"/>
      <c r="P14" s="964"/>
      <c r="Q14" s="926"/>
    </row>
    <row r="15" spans="1:17">
      <c r="A15" s="977" t="s">
        <v>874</v>
      </c>
      <c r="B15" s="947"/>
      <c r="C15" s="940"/>
      <c r="D15" s="940"/>
      <c r="E15" s="973"/>
      <c r="F15" s="973"/>
      <c r="G15" s="973"/>
      <c r="H15" s="973"/>
      <c r="I15" s="973"/>
      <c r="J15" s="974"/>
      <c r="K15" s="975"/>
      <c r="L15" s="975"/>
      <c r="M15" s="975"/>
      <c r="N15" s="975"/>
      <c r="O15" s="976"/>
      <c r="P15" s="964"/>
      <c r="Q15" s="926"/>
    </row>
    <row r="16" spans="1:17">
      <c r="A16" s="957">
        <f t="shared" ref="A16:B18" si="0">+A10</f>
        <v>1</v>
      </c>
      <c r="B16" s="940" t="str">
        <f t="shared" si="0"/>
        <v>Denver, CO</v>
      </c>
      <c r="C16" s="940"/>
      <c r="D16" s="940" t="str">
        <f t="shared" ref="D16:I17" si="1">+D10</f>
        <v>Washington, DC</v>
      </c>
      <c r="E16" s="973">
        <f t="shared" si="1"/>
        <v>1</v>
      </c>
      <c r="F16" s="973">
        <f t="shared" si="1"/>
        <v>1</v>
      </c>
      <c r="G16" s="973">
        <f t="shared" si="1"/>
        <v>6</v>
      </c>
      <c r="H16" s="973">
        <f t="shared" si="1"/>
        <v>1</v>
      </c>
      <c r="I16" s="973">
        <f t="shared" si="1"/>
        <v>0</v>
      </c>
      <c r="J16" s="974">
        <f>ROUND(J10*F10*E10,0)</f>
        <v>573</v>
      </c>
      <c r="K16" s="975">
        <f>ROUND(K10*E10*F10*G10,0)</f>
        <v>1446</v>
      </c>
      <c r="L16" s="975">
        <f>ROUND(L10*E10*F10,0)</f>
        <v>0</v>
      </c>
      <c r="M16" s="975">
        <f>ROUND(M10*H10*F10*(G10+1),0)</f>
        <v>852</v>
      </c>
      <c r="N16" s="975">
        <f>ROUND((N10*I10*F10*E10),0)</f>
        <v>0</v>
      </c>
      <c r="O16" s="976">
        <f>O10*E10*F10*(G10+1)</f>
        <v>140</v>
      </c>
      <c r="P16" s="964">
        <f>SUM(J16:O16)</f>
        <v>3011</v>
      </c>
      <c r="Q16" s="930">
        <f>P16*(1+$Q$9)</f>
        <v>3914.3</v>
      </c>
    </row>
    <row r="17" spans="1:17">
      <c r="A17" s="957">
        <f t="shared" si="0"/>
        <v>2</v>
      </c>
      <c r="B17" s="940" t="str">
        <f t="shared" si="0"/>
        <v>Washington, DC</v>
      </c>
      <c r="C17" s="940"/>
      <c r="D17" s="940" t="str">
        <f t="shared" si="1"/>
        <v>Mons, Belgium</v>
      </c>
      <c r="E17" s="973">
        <f t="shared" si="1"/>
        <v>1</v>
      </c>
      <c r="F17" s="973">
        <f t="shared" si="1"/>
        <v>1</v>
      </c>
      <c r="G17" s="973">
        <f t="shared" si="1"/>
        <v>6</v>
      </c>
      <c r="H17" s="973">
        <f t="shared" si="1"/>
        <v>1</v>
      </c>
      <c r="I17" s="973">
        <f t="shared" si="1"/>
        <v>0</v>
      </c>
      <c r="J17" s="974">
        <f>ROUND(J11*F11*E11,0)</f>
        <v>1924</v>
      </c>
      <c r="K17" s="975">
        <f>ROUND(K11*E11*F11*G11,0)</f>
        <v>0</v>
      </c>
      <c r="L17" s="975">
        <f>ROUND(L11*E11*F11,0)</f>
        <v>0</v>
      </c>
      <c r="M17" s="975">
        <f>ROUND(M11*H11*F11*(G11+1),0)</f>
        <v>1014</v>
      </c>
      <c r="N17" s="975">
        <f>ROUND((N11*I11*F11*E11),0)</f>
        <v>0</v>
      </c>
      <c r="O17" s="976">
        <f>O11*E11*F11*(G11+1)</f>
        <v>140</v>
      </c>
      <c r="P17" s="964">
        <f>SUM(J17:O17)</f>
        <v>3078</v>
      </c>
      <c r="Q17" s="930">
        <f>P17*(1+$Q$9)</f>
        <v>4001.4</v>
      </c>
    </row>
    <row r="18" spans="1:17">
      <c r="A18" s="957">
        <f t="shared" si="0"/>
        <v>3</v>
      </c>
      <c r="B18" s="940" t="str">
        <f t="shared" si="0"/>
        <v>Mons, Belgium</v>
      </c>
      <c r="C18" s="940"/>
      <c r="D18" s="940" t="str">
        <f t="shared" ref="D18:I18" si="2">+D12</f>
        <v>Denver, CO</v>
      </c>
      <c r="E18" s="973">
        <f t="shared" si="2"/>
        <v>1</v>
      </c>
      <c r="F18" s="973">
        <f t="shared" si="2"/>
        <v>1</v>
      </c>
      <c r="G18" s="973">
        <f t="shared" si="2"/>
        <v>0</v>
      </c>
      <c r="H18" s="973">
        <f t="shared" si="2"/>
        <v>0</v>
      </c>
      <c r="I18" s="973">
        <f t="shared" si="2"/>
        <v>0</v>
      </c>
      <c r="J18" s="974">
        <f>ROUND(J12*F12*E12,0)</f>
        <v>1028</v>
      </c>
      <c r="K18" s="975">
        <f>ROUND(K12*E12*F12*G12,0)</f>
        <v>0</v>
      </c>
      <c r="L18" s="975">
        <f>ROUND(L12*E12*F12,0)</f>
        <v>0</v>
      </c>
      <c r="M18" s="975">
        <f>ROUND(M12*H12*F12*(G12+1),0)</f>
        <v>0</v>
      </c>
      <c r="N18" s="975">
        <f>ROUND((N12*I12*F12*E12),0)</f>
        <v>0</v>
      </c>
      <c r="O18" s="976">
        <f>O12*E12*F12*(G12+1)</f>
        <v>20</v>
      </c>
      <c r="P18" s="964">
        <f>SUM(J18:O18)</f>
        <v>1048</v>
      </c>
      <c r="Q18" s="930">
        <f>P18*Q9</f>
        <v>314.39999999999998</v>
      </c>
    </row>
    <row r="19" spans="1:17" ht="9" customHeight="1">
      <c r="A19" s="966"/>
      <c r="B19" s="967"/>
      <c r="C19" s="967"/>
      <c r="D19" s="967"/>
      <c r="E19" s="978"/>
      <c r="F19" s="978"/>
      <c r="G19" s="978"/>
      <c r="H19" s="978"/>
      <c r="I19" s="978"/>
      <c r="J19" s="969"/>
      <c r="K19" s="970"/>
      <c r="L19" s="970"/>
      <c r="M19" s="970"/>
      <c r="N19" s="970"/>
      <c r="O19" s="971"/>
      <c r="P19" s="972"/>
      <c r="Q19" s="926"/>
    </row>
    <row r="20" spans="1:17">
      <c r="A20" s="939"/>
      <c r="B20" s="940"/>
      <c r="C20" s="940"/>
      <c r="D20" s="940"/>
      <c r="E20" s="953"/>
      <c r="F20" s="953"/>
      <c r="G20" s="953"/>
      <c r="H20" s="953"/>
      <c r="I20" s="953"/>
      <c r="J20" s="974"/>
      <c r="K20" s="975"/>
      <c r="L20" s="975"/>
      <c r="M20" s="975"/>
      <c r="N20" s="975"/>
      <c r="O20" s="976"/>
      <c r="P20" s="964"/>
      <c r="Q20" s="926"/>
    </row>
    <row r="21" spans="1:17" ht="16.5" thickBot="1">
      <c r="A21" s="939" t="s">
        <v>956</v>
      </c>
      <c r="B21" s="979"/>
      <c r="C21" s="979"/>
      <c r="D21" s="940"/>
      <c r="E21" s="953"/>
      <c r="F21" s="953"/>
      <c r="G21" s="953"/>
      <c r="H21" s="953"/>
      <c r="I21" s="953"/>
      <c r="J21" s="980">
        <f t="shared" ref="J21:O21" si="3">SUM(J16:J19)</f>
        <v>3525</v>
      </c>
      <c r="K21" s="981">
        <f t="shared" si="3"/>
        <v>1446</v>
      </c>
      <c r="L21" s="981">
        <f t="shared" si="3"/>
        <v>0</v>
      </c>
      <c r="M21" s="981">
        <f t="shared" si="3"/>
        <v>1866</v>
      </c>
      <c r="N21" s="981">
        <f t="shared" si="3"/>
        <v>0</v>
      </c>
      <c r="O21" s="982">
        <f t="shared" si="3"/>
        <v>300</v>
      </c>
      <c r="P21" s="983">
        <f>SUM(P16:P19)</f>
        <v>7137</v>
      </c>
      <c r="Q21" s="983">
        <f>SUM(Q16:Q19)</f>
        <v>8230.1</v>
      </c>
    </row>
    <row r="22" spans="1:17" ht="16.5" thickBot="1">
      <c r="A22" s="984"/>
      <c r="B22" s="985"/>
      <c r="C22" s="985"/>
      <c r="D22" s="985"/>
      <c r="E22" s="986"/>
      <c r="F22" s="986"/>
      <c r="G22" s="986"/>
      <c r="H22" s="986"/>
      <c r="I22" s="986"/>
      <c r="J22" s="987"/>
      <c r="K22" s="987"/>
      <c r="L22" s="987"/>
      <c r="M22" s="987"/>
      <c r="N22" s="987"/>
      <c r="O22" s="988"/>
      <c r="P22" s="989"/>
      <c r="Q22" s="926"/>
    </row>
    <row r="23" spans="1:17" ht="16.5" thickTop="1">
      <c r="Q23" s="926"/>
    </row>
    <row r="27" spans="1:17">
      <c r="A27" s="990" t="s">
        <v>875</v>
      </c>
      <c r="Q27" s="926"/>
    </row>
    <row r="28" spans="1:17">
      <c r="A28" s="924" t="s">
        <v>876</v>
      </c>
      <c r="Q28" s="926"/>
    </row>
    <row r="29" spans="1:17">
      <c r="B29" s="926" t="s">
        <v>877</v>
      </c>
      <c r="Q29" s="926"/>
    </row>
    <row r="30" spans="1:17">
      <c r="B30" s="926" t="s">
        <v>878</v>
      </c>
      <c r="Q30" s="926"/>
    </row>
    <row r="31" spans="1:17">
      <c r="B31" s="926" t="s">
        <v>879</v>
      </c>
      <c r="Q31" s="926"/>
    </row>
    <row r="32" spans="1:17">
      <c r="B32" s="926" t="s">
        <v>880</v>
      </c>
      <c r="Q32" s="926"/>
    </row>
    <row r="33" spans="1:17">
      <c r="A33" s="926"/>
      <c r="B33" s="926" t="s">
        <v>881</v>
      </c>
      <c r="Q33" s="926"/>
    </row>
    <row r="34" spans="1:17">
      <c r="B34" s="926" t="s">
        <v>882</v>
      </c>
      <c r="Q34" s="926"/>
    </row>
    <row r="35" spans="1:17" ht="12" customHeight="1">
      <c r="Q35" s="926"/>
    </row>
    <row r="36" spans="1:17">
      <c r="A36" s="924" t="s">
        <v>883</v>
      </c>
      <c r="Q36" s="926"/>
    </row>
    <row r="37" spans="1:17">
      <c r="B37" s="926" t="s">
        <v>884</v>
      </c>
      <c r="C37" s="991"/>
      <c r="D37" s="991"/>
      <c r="E37" s="992"/>
      <c r="F37" s="992"/>
      <c r="G37" s="992"/>
      <c r="H37" s="992"/>
      <c r="I37" s="992"/>
      <c r="J37" s="993"/>
      <c r="Q37" s="926"/>
    </row>
    <row r="38" spans="1:17">
      <c r="B38" s="926" t="s">
        <v>885</v>
      </c>
      <c r="C38" s="991"/>
      <c r="D38" s="991"/>
      <c r="E38" s="992"/>
      <c r="F38" s="992"/>
      <c r="G38" s="992"/>
      <c r="H38" s="992"/>
      <c r="I38" s="992"/>
      <c r="J38" s="993"/>
      <c r="Q38" s="926"/>
    </row>
    <row r="39" spans="1:17">
      <c r="A39" s="994" t="s">
        <v>886</v>
      </c>
      <c r="B39" s="926" t="s">
        <v>887</v>
      </c>
      <c r="Q39" s="926"/>
    </row>
    <row r="40" spans="1:17">
      <c r="A40" s="994"/>
      <c r="B40" s="926" t="s">
        <v>888</v>
      </c>
      <c r="Q40" s="926"/>
    </row>
    <row r="41" spans="1:17">
      <c r="B41" s="926" t="s">
        <v>889</v>
      </c>
      <c r="Q41" s="926"/>
    </row>
    <row r="42" spans="1:17">
      <c r="Q42" s="926"/>
    </row>
  </sheetData>
  <mergeCells count="3">
    <mergeCell ref="B10:C10"/>
    <mergeCell ref="B11:C11"/>
    <mergeCell ref="B12:C12"/>
  </mergeCells>
  <printOptions horizontalCentered="1"/>
  <pageMargins left="0.5" right="0.5" top="0.75" bottom="0.75" header="0.5" footer="0.5"/>
  <pageSetup scale="55" orientation="landscape" cellComments="asDisplayed" horizontalDpi="300" verticalDpi="300" r:id="rId1"/>
  <headerFooter alignWithMargins="0"/>
  <rowBreaks count="1" manualBreakCount="1">
    <brk id="23" max="15" man="1"/>
  </rowBreaks>
</worksheet>
</file>

<file path=xl/worksheets/sheet10.xml><?xml version="1.0" encoding="utf-8"?>
<worksheet xmlns="http://schemas.openxmlformats.org/spreadsheetml/2006/main" xmlns:r="http://schemas.openxmlformats.org/officeDocument/2006/relationships">
  <sheetPr>
    <tabColor indexed="57"/>
    <pageSetUpPr fitToPage="1"/>
  </sheetPr>
  <dimension ref="A1:BA91"/>
  <sheetViews>
    <sheetView showGridLines="0" view="pageBreakPreview" topLeftCell="M1" zoomScale="85" zoomScaleNormal="70" zoomScaleSheetLayoutView="85" workbookViewId="0">
      <selection activeCell="AD33" sqref="AD33"/>
    </sheetView>
  </sheetViews>
  <sheetFormatPr defaultRowHeight="12.75" outlineLevelRow="1" outlineLevelCol="1"/>
  <cols>
    <col min="1" max="1" width="9.5703125" style="8" bestFit="1" customWidth="1"/>
    <col min="2" max="2" width="9.5703125" style="8" customWidth="1"/>
    <col min="3" max="3" width="9.140625" style="8"/>
    <col min="4" max="4" width="3.85546875" style="8" customWidth="1"/>
    <col min="5" max="5" width="17.7109375" style="6" customWidth="1"/>
    <col min="6" max="7" width="10.5703125" style="6" customWidth="1"/>
    <col min="8" max="8" width="3" style="6" customWidth="1"/>
    <col min="9" max="9" width="11.28515625" style="6" bestFit="1" customWidth="1"/>
    <col min="10" max="10" width="16.5703125" style="6" hidden="1" customWidth="1" outlineLevel="1"/>
    <col min="11" max="11" width="20.42578125" style="6" hidden="1" customWidth="1" outlineLevel="1"/>
    <col min="12" max="12" width="14" style="6" bestFit="1" customWidth="1" collapsed="1"/>
    <col min="13" max="13" width="14.7109375" style="6" bestFit="1" customWidth="1"/>
    <col min="14" max="14" width="12" style="6" customWidth="1"/>
    <col min="15" max="15" width="11.140625" style="6" customWidth="1" outlineLevel="1"/>
    <col min="16" max="16" width="9.85546875" style="6" customWidth="1" outlineLevel="1"/>
    <col min="17" max="17" width="9.85546875" style="6" bestFit="1" customWidth="1"/>
    <col min="18" max="18" width="16.7109375" style="6" customWidth="1"/>
    <col min="19" max="19" width="20.140625" style="6" bestFit="1" customWidth="1"/>
    <col min="20" max="20" width="10.5703125" style="6" bestFit="1" customWidth="1"/>
    <col min="21" max="23" width="12.42578125" style="6" bestFit="1" customWidth="1" outlineLevel="1"/>
    <col min="24" max="25" width="8.42578125" style="6" bestFit="1" customWidth="1" outlineLevel="1"/>
    <col min="26" max="26" width="10.5703125" style="6" customWidth="1"/>
    <col min="27" max="27" width="8.85546875" style="6" bestFit="1" customWidth="1"/>
    <col min="28" max="28" width="11.140625" style="6" customWidth="1"/>
    <col min="29" max="29" width="20.28515625" style="6" bestFit="1" customWidth="1"/>
    <col min="30" max="30" width="10.42578125" style="6" customWidth="1"/>
    <col min="31" max="31" width="13.28515625" style="6" customWidth="1"/>
    <col min="32" max="32" width="12.42578125" style="6" customWidth="1" outlineLevel="1"/>
    <col min="33" max="35" width="10.7109375" style="6" customWidth="1" outlineLevel="1"/>
    <col min="36" max="36" width="9.85546875" style="6" customWidth="1" outlineLevel="1"/>
    <col min="37" max="42" width="11.140625" style="6" customWidth="1" outlineLevel="1"/>
    <col min="43" max="43" width="11.28515625" style="6" customWidth="1" outlineLevel="1"/>
    <col min="44" max="44" width="10.28515625" style="6" customWidth="1" outlineLevel="1"/>
    <col min="45" max="45" width="11.140625" style="6" customWidth="1" outlineLevel="1"/>
    <col min="46" max="46" width="10.7109375" style="6" customWidth="1" outlineLevel="1"/>
    <col min="47" max="47" width="3.5703125" style="8" customWidth="1" outlineLevel="1"/>
    <col min="48" max="48" width="13.7109375" style="6" customWidth="1" outlineLevel="1"/>
    <col min="49" max="49" width="13.7109375" style="8" customWidth="1"/>
    <col min="50" max="51" width="9.140625" style="8" customWidth="1"/>
    <col min="52" max="53" width="19.85546875" style="251" bestFit="1" customWidth="1"/>
    <col min="54" max="16384" width="9.140625" style="8"/>
  </cols>
  <sheetData>
    <row r="1" spans="1:53">
      <c r="E1" s="241" t="s">
        <v>666</v>
      </c>
      <c r="F1" s="242" t="str">
        <f>InputSheet!D1</f>
        <v>NCSA HQ 7010</v>
      </c>
      <c r="G1" s="243"/>
      <c r="H1" s="243"/>
      <c r="I1" s="243"/>
      <c r="J1" s="244"/>
      <c r="K1" s="244"/>
      <c r="L1" s="243"/>
      <c r="M1" s="245" t="s">
        <v>610</v>
      </c>
      <c r="N1" s="242" t="str">
        <f>InputSheet!D4</f>
        <v>P-12246</v>
      </c>
      <c r="O1" s="243"/>
      <c r="P1" s="243"/>
      <c r="Q1" s="243"/>
      <c r="R1" s="243"/>
      <c r="S1" s="243"/>
      <c r="T1" s="243"/>
      <c r="U1" s="243"/>
      <c r="V1" s="243"/>
      <c r="W1" s="243"/>
      <c r="X1" s="243"/>
      <c r="Y1" s="243"/>
      <c r="Z1" s="243"/>
      <c r="AA1" s="243"/>
      <c r="AB1" s="243"/>
      <c r="AC1" s="243"/>
      <c r="AD1" s="243"/>
      <c r="AE1" s="243"/>
      <c r="AF1" s="246"/>
      <c r="AZ1" s="247"/>
      <c r="BA1" s="247"/>
    </row>
    <row r="2" spans="1:53">
      <c r="E2" s="248" t="s">
        <v>612</v>
      </c>
      <c r="F2" s="1195" t="str">
        <f>InputSheet!D2</f>
        <v>CIS Consultant Services</v>
      </c>
      <c r="G2" s="1195"/>
      <c r="H2" s="1195"/>
      <c r="I2" s="1195"/>
      <c r="J2" s="1195"/>
      <c r="K2" s="1195"/>
      <c r="L2" s="1196"/>
      <c r="M2" s="249" t="s">
        <v>611</v>
      </c>
      <c r="N2" s="27" t="str">
        <f>InputSheet!D3</f>
        <v>ManTech Telecommunications and Information Systems Corporation</v>
      </c>
      <c r="O2" s="8"/>
      <c r="P2" s="8"/>
      <c r="Q2" s="8"/>
      <c r="R2" s="8"/>
      <c r="S2" s="8"/>
      <c r="T2" s="8"/>
      <c r="U2" s="8"/>
      <c r="V2" s="8"/>
      <c r="W2" s="8"/>
      <c r="X2" s="8"/>
      <c r="Y2" s="8"/>
      <c r="Z2" s="8"/>
      <c r="AA2" s="8"/>
      <c r="AB2" s="8"/>
      <c r="AC2" s="8"/>
      <c r="AD2" s="8"/>
      <c r="AE2" s="8"/>
      <c r="AF2" s="250"/>
    </row>
    <row r="3" spans="1:53" s="254" customFormat="1" ht="13.5" thickBot="1">
      <c r="A3" s="8"/>
      <c r="B3" s="8"/>
      <c r="C3" s="8"/>
      <c r="D3" s="8"/>
      <c r="E3" s="252" t="s">
        <v>613</v>
      </c>
      <c r="F3" s="253" t="s">
        <v>619</v>
      </c>
      <c r="J3" s="255"/>
      <c r="K3" s="255"/>
      <c r="M3" s="256"/>
      <c r="Q3" s="257"/>
      <c r="AF3" s="258"/>
      <c r="AK3" s="257"/>
      <c r="AL3" s="257"/>
      <c r="AM3" s="257"/>
      <c r="AN3" s="257"/>
      <c r="AO3" s="257"/>
      <c r="AP3" s="257"/>
      <c r="AZ3" s="259"/>
      <c r="BA3" s="259"/>
    </row>
    <row r="4" spans="1:53">
      <c r="E4" s="248"/>
      <c r="F4" s="8"/>
      <c r="G4" s="8"/>
      <c r="H4" s="8"/>
      <c r="I4" s="8"/>
      <c r="J4" s="260"/>
      <c r="K4" s="260"/>
      <c r="L4" s="8"/>
      <c r="M4" s="8"/>
      <c r="N4" s="8"/>
      <c r="O4" s="8"/>
      <c r="P4" s="8"/>
      <c r="Q4" s="8"/>
      <c r="R4" s="8"/>
      <c r="S4" s="8"/>
      <c r="T4" s="8"/>
      <c r="U4" s="8"/>
      <c r="V4" s="8"/>
      <c r="W4" s="8"/>
      <c r="X4" s="8"/>
      <c r="Y4" s="8"/>
      <c r="Z4" s="8"/>
      <c r="AA4" s="8"/>
      <c r="AB4" s="8"/>
      <c r="AC4" s="8"/>
      <c r="AD4" s="8"/>
      <c r="AE4" s="8"/>
      <c r="AF4" s="250"/>
      <c r="AT4" s="8"/>
    </row>
    <row r="5" spans="1:53" hidden="1" outlineLevel="1">
      <c r="E5" s="248"/>
      <c r="F5" s="8"/>
      <c r="G5" s="8"/>
      <c r="H5" s="8"/>
      <c r="I5" s="8"/>
      <c r="J5" s="261"/>
      <c r="K5" s="261"/>
      <c r="L5" s="262"/>
      <c r="M5" s="8"/>
      <c r="N5" s="263" t="str">
        <f>N28&amp;"%"</f>
        <v>B%</v>
      </c>
      <c r="O5" s="263" t="str">
        <f>O28&amp;"%"</f>
        <v>%</v>
      </c>
      <c r="P5" s="263" t="str">
        <f>P28&amp;"%"</f>
        <v>%</v>
      </c>
      <c r="Q5" s="263" t="str">
        <f>Q28&amp;"%"</f>
        <v>C%</v>
      </c>
      <c r="R5" s="263" t="str">
        <f>R28&amp;"%"</f>
        <v>D%</v>
      </c>
      <c r="S5" s="263"/>
      <c r="T5" s="263"/>
      <c r="U5" s="263" t="str">
        <f t="shared" ref="U5:Z5" si="0">U28&amp;"%"</f>
        <v>%</v>
      </c>
      <c r="V5" s="263" t="str">
        <f t="shared" si="0"/>
        <v>%</v>
      </c>
      <c r="W5" s="263" t="str">
        <f t="shared" si="0"/>
        <v>%</v>
      </c>
      <c r="X5" s="263" t="str">
        <f t="shared" si="0"/>
        <v>%</v>
      </c>
      <c r="Y5" s="263" t="str">
        <f t="shared" si="0"/>
        <v>%</v>
      </c>
      <c r="Z5" s="263" t="str">
        <f t="shared" si="0"/>
        <v>E%</v>
      </c>
      <c r="AA5" s="263"/>
      <c r="AB5" s="263" t="str">
        <f>AB28&amp;"%"</f>
        <v>G%</v>
      </c>
      <c r="AC5" s="8"/>
      <c r="AD5" s="8"/>
      <c r="AE5" s="8"/>
      <c r="AF5" s="250"/>
      <c r="AJ5" s="263"/>
      <c r="AK5" s="263"/>
      <c r="AL5" s="263"/>
      <c r="AM5" s="263"/>
      <c r="AN5" s="263"/>
      <c r="AO5" s="263"/>
      <c r="AP5" s="263"/>
      <c r="AQ5" s="263"/>
      <c r="AR5" s="263"/>
      <c r="AS5" s="263"/>
      <c r="AT5" s="264"/>
      <c r="AU5" s="47"/>
    </row>
    <row r="6" spans="1:53" hidden="1" outlineLevel="1">
      <c r="E6" s="248"/>
      <c r="F6" s="8"/>
      <c r="G6" s="8"/>
      <c r="H6" s="8"/>
      <c r="I6" s="265"/>
      <c r="J6" s="266"/>
      <c r="K6" s="263"/>
      <c r="L6" s="267">
        <f ca="1">COLUMN(L6)-COLUMN(OFFSET($L6,0,-1))</f>
        <v>1</v>
      </c>
      <c r="M6" s="267">
        <f t="shared" ref="M6:AB6" ca="1" si="1">COLUMN(M6)-COLUMN(OFFSET($L6,0,-1))</f>
        <v>2</v>
      </c>
      <c r="N6" s="267">
        <f t="shared" ca="1" si="1"/>
        <v>3</v>
      </c>
      <c r="O6" s="267">
        <f t="shared" ca="1" si="1"/>
        <v>4</v>
      </c>
      <c r="P6" s="267">
        <f t="shared" ca="1" si="1"/>
        <v>5</v>
      </c>
      <c r="Q6" s="267">
        <f t="shared" ca="1" si="1"/>
        <v>6</v>
      </c>
      <c r="R6" s="267">
        <f t="shared" ca="1" si="1"/>
        <v>7</v>
      </c>
      <c r="S6" s="267"/>
      <c r="T6" s="267"/>
      <c r="U6" s="267">
        <f t="shared" ca="1" si="1"/>
        <v>10</v>
      </c>
      <c r="V6" s="267">
        <f t="shared" ca="1" si="1"/>
        <v>11</v>
      </c>
      <c r="W6" s="267">
        <f t="shared" ca="1" si="1"/>
        <v>12</v>
      </c>
      <c r="X6" s="267">
        <f t="shared" ca="1" si="1"/>
        <v>13</v>
      </c>
      <c r="Y6" s="267">
        <f t="shared" ca="1" si="1"/>
        <v>14</v>
      </c>
      <c r="Z6" s="267">
        <f t="shared" ca="1" si="1"/>
        <v>15</v>
      </c>
      <c r="AA6" s="267"/>
      <c r="AB6" s="267">
        <f t="shared" ca="1" si="1"/>
        <v>17</v>
      </c>
      <c r="AC6" s="8"/>
      <c r="AD6" s="8"/>
      <c r="AE6" s="8"/>
      <c r="AF6" s="250"/>
      <c r="AG6" s="266"/>
      <c r="AH6" s="266"/>
      <c r="AI6" s="266"/>
      <c r="AJ6" s="263"/>
      <c r="AK6" s="263"/>
      <c r="AL6" s="263"/>
      <c r="AM6" s="263"/>
      <c r="AN6" s="263"/>
      <c r="AO6" s="263"/>
      <c r="AP6" s="263"/>
      <c r="AQ6" s="263"/>
      <c r="AR6" s="263"/>
      <c r="AS6" s="263"/>
      <c r="AT6" s="264"/>
      <c r="AU6" s="47"/>
    </row>
    <row r="7" spans="1:53" collapsed="1">
      <c r="E7" s="268"/>
      <c r="F7" s="39" t="s">
        <v>587</v>
      </c>
      <c r="G7" s="39" t="s">
        <v>588</v>
      </c>
      <c r="H7" s="39"/>
      <c r="I7" s="269"/>
      <c r="J7" s="270"/>
      <c r="K7" s="270"/>
      <c r="L7" s="271"/>
      <c r="M7" s="272"/>
      <c r="N7" s="272"/>
      <c r="O7" s="272"/>
      <c r="P7" s="272"/>
      <c r="Q7" s="272" t="str">
        <f>InputSheet!D41</f>
        <v>Contr/Govt</v>
      </c>
      <c r="R7" s="272"/>
      <c r="S7" s="272"/>
      <c r="T7" s="272"/>
      <c r="U7" s="272"/>
      <c r="V7" s="272"/>
      <c r="W7" s="272"/>
      <c r="X7" s="272"/>
      <c r="Y7" s="272"/>
      <c r="Z7" s="272" t="str">
        <f>$Q7</f>
        <v>Contr/Govt</v>
      </c>
      <c r="AA7" s="272"/>
      <c r="AB7" s="273"/>
      <c r="AC7" s="8"/>
      <c r="AD7" s="8"/>
      <c r="AE7" s="8"/>
      <c r="AF7" s="1032"/>
      <c r="AG7" s="1016"/>
      <c r="AH7" s="1016"/>
      <c r="AI7" s="1016"/>
      <c r="AJ7" s="270"/>
      <c r="AK7" s="270"/>
      <c r="AL7" s="270"/>
      <c r="AM7" s="270"/>
      <c r="AN7" s="270"/>
      <c r="AO7" s="270"/>
      <c r="AP7" s="270"/>
      <c r="AQ7" s="270"/>
      <c r="AR7" s="270"/>
      <c r="AS7" s="274"/>
      <c r="AT7" s="249"/>
    </row>
    <row r="8" spans="1:53" ht="14.25" customHeight="1">
      <c r="E8" s="239" t="str">
        <f>InputSheet!$C$25</f>
        <v>Training and Processing</v>
      </c>
      <c r="F8" s="275">
        <f>VLOOKUP($E$8,InputSheet!$C$22:$G$38,2,FALSE)</f>
        <v>40179</v>
      </c>
      <c r="G8" s="276">
        <f>VLOOKUP($E$8,InputSheet!$C$22:$G$38,3,FALSE)</f>
        <v>41152</v>
      </c>
      <c r="H8" s="277"/>
      <c r="I8" s="278"/>
      <c r="J8" s="279" t="s">
        <v>593</v>
      </c>
      <c r="K8" s="279" t="s">
        <v>628</v>
      </c>
      <c r="L8" s="280" t="s">
        <v>52</v>
      </c>
      <c r="M8" s="279" t="s">
        <v>0</v>
      </c>
      <c r="N8" s="279" t="s">
        <v>620</v>
      </c>
      <c r="O8" s="279" t="s">
        <v>895</v>
      </c>
      <c r="P8" s="279" t="s">
        <v>911</v>
      </c>
      <c r="Q8" s="279" t="s">
        <v>621</v>
      </c>
      <c r="R8" s="279" t="s">
        <v>637</v>
      </c>
      <c r="S8" s="1158" t="s">
        <v>996</v>
      </c>
      <c r="T8" s="1158" t="s">
        <v>995</v>
      </c>
      <c r="U8" s="1158" t="s">
        <v>993</v>
      </c>
      <c r="V8" s="279" t="s">
        <v>863</v>
      </c>
      <c r="W8" s="279" t="s">
        <v>949</v>
      </c>
      <c r="X8" s="279" t="s">
        <v>950</v>
      </c>
      <c r="Y8" s="279" t="s">
        <v>718</v>
      </c>
      <c r="Z8" s="279" t="s">
        <v>597</v>
      </c>
      <c r="AA8" s="279" t="s">
        <v>53</v>
      </c>
      <c r="AB8" s="281" t="s">
        <v>55</v>
      </c>
      <c r="AC8" s="8"/>
      <c r="AD8" s="8"/>
      <c r="AE8" s="8"/>
      <c r="AF8" s="1033" t="s">
        <v>717</v>
      </c>
      <c r="AG8" s="1017"/>
      <c r="AH8" s="1017"/>
      <c r="AI8" s="1017"/>
      <c r="AJ8" s="279"/>
      <c r="AK8" s="279"/>
      <c r="AL8" s="279"/>
      <c r="AM8" s="279"/>
      <c r="AN8" s="279"/>
      <c r="AO8" s="279"/>
      <c r="AP8" s="279"/>
      <c r="AQ8" s="279"/>
      <c r="AR8" s="279"/>
      <c r="AS8" s="279"/>
      <c r="AT8" s="249"/>
    </row>
    <row r="9" spans="1:53" hidden="1">
      <c r="B9" s="8">
        <v>750</v>
      </c>
      <c r="E9" s="248"/>
      <c r="F9" s="8"/>
      <c r="G9" s="8"/>
      <c r="H9" s="8"/>
      <c r="I9" s="278"/>
      <c r="J9" s="283" t="str">
        <f>InputSheet!I40</f>
        <v>IS</v>
      </c>
      <c r="K9" s="284" t="str">
        <f>InputSheet!$D$42</f>
        <v>Contr</v>
      </c>
      <c r="L9" s="207" t="s">
        <v>622</v>
      </c>
      <c r="M9" s="285">
        <f>InputSheet!$E$7</f>
        <v>3.3000000000000002E-2</v>
      </c>
      <c r="N9" s="286">
        <f>VLOOKUP(($E$8&amp;$J9),InputSheet!$A$22:$G$130,7,FALSE)</f>
        <v>1.0535182089062498</v>
      </c>
      <c r="O9" s="833">
        <v>0.35</v>
      </c>
      <c r="P9" s="833">
        <v>0.35</v>
      </c>
      <c r="Q9" s="287">
        <f>IF(Q$7="",VLOOKUP($E$8&amp;$J9&amp;Q$8&amp;$K9,Indirects,2,FALSE),VLOOKUP($E$8&amp;$J9&amp;Q$8&amp;Q$7,Indirects,2,FALSE))</f>
        <v>0.31240000000000001</v>
      </c>
      <c r="R9" s="287">
        <f>IF(R$7="",VLOOKUP($E$8&amp;$J9&amp;R$8&amp;$K9,Indirects,2,FALSE),VLOOKUP($E$8&amp;$J9&amp;R$8&amp;R$7,Indirects,2,FALSE))</f>
        <v>0.1988</v>
      </c>
      <c r="S9" s="287"/>
      <c r="T9" s="287"/>
      <c r="U9" s="1015">
        <v>5000</v>
      </c>
      <c r="V9" s="1015">
        <v>5000</v>
      </c>
      <c r="W9" s="833">
        <v>0.35</v>
      </c>
      <c r="X9" s="833">
        <v>0.35</v>
      </c>
      <c r="Y9" s="833">
        <v>0.35</v>
      </c>
      <c r="Z9" s="287">
        <f>IF(Z$7="",VLOOKUP($E$8&amp;$J9&amp;Z$8&amp;$K9,Indirects,2,FALSE),VLOOKUP($E$8&amp;$J9&amp;Z$8&amp;Z$7,Indirects,2,FALSE))</f>
        <v>9.2399999999999996E-2</v>
      </c>
      <c r="AA9" s="288"/>
      <c r="AB9" s="213">
        <v>0.15</v>
      </c>
      <c r="AC9" s="8"/>
      <c r="AD9" s="8"/>
      <c r="AE9" s="8"/>
      <c r="AF9" s="1034">
        <f t="shared" ref="AF9:AF24" si="2">IF(M9="","",M9)</f>
        <v>3.3000000000000002E-2</v>
      </c>
      <c r="AG9" s="1023"/>
      <c r="AH9" s="1023"/>
      <c r="AI9" s="1023"/>
      <c r="AJ9" s="287"/>
      <c r="AK9" s="287"/>
      <c r="AL9" s="287"/>
      <c r="AM9" s="287"/>
      <c r="AN9" s="287"/>
      <c r="AO9" s="287"/>
      <c r="AP9" s="287"/>
      <c r="AQ9" s="287"/>
      <c r="AR9" s="287"/>
      <c r="AS9" s="287"/>
      <c r="AT9" s="249"/>
    </row>
    <row r="10" spans="1:53" ht="15" customHeight="1">
      <c r="B10" s="8">
        <f>B9/3</f>
        <v>250</v>
      </c>
      <c r="E10" s="248"/>
      <c r="F10" s="8"/>
      <c r="G10" s="8"/>
      <c r="H10" s="8"/>
      <c r="I10" s="278"/>
      <c r="J10" s="289" t="str">
        <f>J$9</f>
        <v>IS</v>
      </c>
      <c r="K10" s="290" t="str">
        <f>InputSheet!$D$43</f>
        <v>Govt</v>
      </c>
      <c r="L10" s="208" t="s">
        <v>623</v>
      </c>
      <c r="M10" s="285">
        <f>InputSheet!$E$7</f>
        <v>3.3000000000000002E-2</v>
      </c>
      <c r="N10" s="286">
        <f>VLOOKUP(($E$8&amp;$J10),InputSheet!$A$22:$G$130,7,FALSE)</f>
        <v>1.0535182089062498</v>
      </c>
      <c r="O10" s="834">
        <v>0</v>
      </c>
      <c r="P10" s="834">
        <v>0</v>
      </c>
      <c r="Q10" s="287">
        <f>IF(Q$7="",VLOOKUP($E$8&amp;$J10&amp;Q$8&amp;$K10,Indirects,2,FALSE),VLOOKUP($E$8&amp;$J10&amp;Q$8&amp;Q$7,Indirects,2,FALSE))</f>
        <v>0.31240000000000001</v>
      </c>
      <c r="R10" s="287">
        <f>IF(R$7="",VLOOKUP($E$8&amp;$J10&amp;R$8&amp;$K10,Indirects,2,FALSE),VLOOKUP($E$8&amp;$J10&amp;R$8&amp;R$7,Indirects,2,FALSE))</f>
        <v>2.23E-2</v>
      </c>
      <c r="S10" s="1163"/>
      <c r="T10" s="1163"/>
      <c r="U10" s="1159">
        <v>0</v>
      </c>
      <c r="V10" s="1015">
        <v>218</v>
      </c>
      <c r="W10" s="1094">
        <v>0</v>
      </c>
      <c r="X10" s="834">
        <v>1.9E-2</v>
      </c>
      <c r="Y10" s="1091">
        <v>0</v>
      </c>
      <c r="Z10" s="287">
        <f t="shared" ref="Z10:Z24" si="3">IF(Z$7="",VLOOKUP($E$8&amp;$J10&amp;Z$8&amp;$K10,Indirects,2,FALSE),VLOOKUP($E$8&amp;$J10&amp;Z$8&amp;Z$7,Indirects,2,FALSE))</f>
        <v>9.2399999999999996E-2</v>
      </c>
      <c r="AA10" s="291"/>
      <c r="AB10" s="209">
        <f>'Pricing Summary'!C52</f>
        <v>0.08</v>
      </c>
      <c r="AC10" s="8"/>
      <c r="AD10" s="8"/>
      <c r="AE10" s="8"/>
      <c r="AF10" s="1034">
        <f t="shared" si="2"/>
        <v>3.3000000000000002E-2</v>
      </c>
      <c r="AG10" s="1024"/>
      <c r="AH10" s="1024"/>
      <c r="AI10" s="1024"/>
      <c r="AJ10" s="287"/>
      <c r="AK10" s="287"/>
      <c r="AL10" s="287"/>
      <c r="AM10" s="287"/>
      <c r="AN10" s="287"/>
      <c r="AO10" s="287"/>
      <c r="AP10" s="287"/>
      <c r="AQ10" s="287"/>
      <c r="AR10" s="287"/>
      <c r="AS10" s="287"/>
      <c r="AT10" s="249"/>
    </row>
    <row r="11" spans="1:53" hidden="1" outlineLevel="1">
      <c r="E11" s="248"/>
      <c r="F11" s="8"/>
      <c r="G11" s="8"/>
      <c r="H11" s="8"/>
      <c r="I11" s="278"/>
      <c r="J11" s="289" t="str">
        <f t="shared" ref="J11:J24" si="4">J$9</f>
        <v>IS</v>
      </c>
      <c r="K11" s="290" t="str">
        <f>K$9</f>
        <v>Contr</v>
      </c>
      <c r="L11" s="208" t="s">
        <v>667</v>
      </c>
      <c r="M11" s="293">
        <v>0</v>
      </c>
      <c r="N11" s="292">
        <v>1</v>
      </c>
      <c r="O11" s="833">
        <v>0</v>
      </c>
      <c r="P11" s="834">
        <v>0</v>
      </c>
      <c r="Q11" s="287">
        <f t="shared" ref="Q11:R20" si="5">IF(Q$7="",VLOOKUP($E$8&amp;$J11&amp;Q$8&amp;$K11,Indirects,2,FALSE),VLOOKUP($E$8&amp;$J11&amp;Q$8&amp;Q$7,Indirects,2,FALSE))</f>
        <v>0.31240000000000001</v>
      </c>
      <c r="R11" s="287">
        <f t="shared" si="5"/>
        <v>0.1988</v>
      </c>
      <c r="S11" s="287"/>
      <c r="T11" s="287"/>
      <c r="U11" s="834">
        <v>0</v>
      </c>
      <c r="V11" s="834">
        <v>0</v>
      </c>
      <c r="W11" s="834">
        <v>0</v>
      </c>
      <c r="X11" s="834">
        <v>0</v>
      </c>
      <c r="Y11" s="834">
        <v>0</v>
      </c>
      <c r="Z11" s="287">
        <f t="shared" si="3"/>
        <v>9.2399999999999996E-2</v>
      </c>
      <c r="AA11" s="291"/>
      <c r="AB11" s="209">
        <f t="shared" ref="AB11:AB22" si="6">AB10</f>
        <v>0.08</v>
      </c>
      <c r="AC11" s="8"/>
      <c r="AD11" s="8"/>
      <c r="AE11" s="8"/>
      <c r="AF11" s="1034">
        <f t="shared" si="2"/>
        <v>0</v>
      </c>
      <c r="AG11" s="1024"/>
      <c r="AH11" s="1024"/>
      <c r="AI11" s="1024"/>
      <c r="AJ11" s="287"/>
      <c r="AK11" s="287"/>
      <c r="AL11" s="287"/>
      <c r="AM11" s="287"/>
      <c r="AN11" s="287"/>
      <c r="AO11" s="287"/>
      <c r="AP11" s="287"/>
      <c r="AQ11" s="287"/>
      <c r="AR11" s="287"/>
      <c r="AS11" s="287"/>
      <c r="AT11" s="249"/>
    </row>
    <row r="12" spans="1:53" hidden="1" outlineLevel="1">
      <c r="E12" s="248"/>
      <c r="F12" s="8"/>
      <c r="G12" s="8"/>
      <c r="H12" s="8"/>
      <c r="I12" s="278"/>
      <c r="J12" s="289" t="str">
        <f t="shared" si="4"/>
        <v>IS</v>
      </c>
      <c r="K12" s="290" t="str">
        <f>K$10</f>
        <v>Govt</v>
      </c>
      <c r="L12" s="208" t="s">
        <v>668</v>
      </c>
      <c r="M12" s="293">
        <v>0</v>
      </c>
      <c r="N12" s="292">
        <v>1</v>
      </c>
      <c r="O12" s="834">
        <v>0</v>
      </c>
      <c r="P12" s="834">
        <v>0</v>
      </c>
      <c r="Q12" s="287">
        <f t="shared" si="5"/>
        <v>0.31240000000000001</v>
      </c>
      <c r="R12" s="287">
        <f t="shared" si="5"/>
        <v>2.23E-2</v>
      </c>
      <c r="S12" s="287"/>
      <c r="T12" s="287"/>
      <c r="U12" s="834">
        <v>0</v>
      </c>
      <c r="V12" s="834">
        <v>0</v>
      </c>
      <c r="W12" s="834">
        <v>0</v>
      </c>
      <c r="X12" s="834">
        <v>0</v>
      </c>
      <c r="Y12" s="834">
        <v>0</v>
      </c>
      <c r="Z12" s="287">
        <f t="shared" si="3"/>
        <v>9.2399999999999996E-2</v>
      </c>
      <c r="AA12" s="291"/>
      <c r="AB12" s="209">
        <f t="shared" si="6"/>
        <v>0.08</v>
      </c>
      <c r="AC12" s="8"/>
      <c r="AD12" s="8"/>
      <c r="AE12" s="8"/>
      <c r="AF12" s="1034">
        <f t="shared" si="2"/>
        <v>0</v>
      </c>
      <c r="AG12" s="1024"/>
      <c r="AH12" s="1024"/>
      <c r="AI12" s="1024"/>
      <c r="AJ12" s="287"/>
      <c r="AK12" s="287"/>
      <c r="AL12" s="287"/>
      <c r="AM12" s="287"/>
      <c r="AN12" s="287"/>
      <c r="AO12" s="287"/>
      <c r="AP12" s="287"/>
      <c r="AQ12" s="287"/>
      <c r="AR12" s="287"/>
      <c r="AS12" s="287"/>
      <c r="AT12" s="249"/>
    </row>
    <row r="13" spans="1:53" hidden="1" outlineLevel="1">
      <c r="E13" s="248"/>
      <c r="F13" s="8"/>
      <c r="G13" s="8"/>
      <c r="H13" s="8"/>
      <c r="I13" s="278"/>
      <c r="J13" s="289" t="str">
        <f>InputSheet!I87</f>
        <v>ESD</v>
      </c>
      <c r="K13" s="290" t="str">
        <f>K$9</f>
        <v>Contr</v>
      </c>
      <c r="L13" s="208" t="s">
        <v>624</v>
      </c>
      <c r="M13" s="285">
        <f>InputSheet!$E$54</f>
        <v>3.3000000000000002E-2</v>
      </c>
      <c r="N13" s="286">
        <f>VLOOKUP(($E$8&amp;$J13),InputSheet!$A$22:$G$130,7,FALSE)</f>
        <v>1.0535182089062498</v>
      </c>
      <c r="O13" s="833">
        <v>0</v>
      </c>
      <c r="P13" s="833">
        <v>0</v>
      </c>
      <c r="Q13" s="287">
        <f>IF(Q$7="",VLOOKUP($E$8&amp;$J13&amp;Q$8&amp;$K13,Indirects,2,FALSE),VLOOKUP($E$8&amp;$J13&amp;Q$8&amp;Q$7,Indirects,2,FALSE))</f>
        <v>0</v>
      </c>
      <c r="R13" s="287">
        <f t="shared" si="5"/>
        <v>0</v>
      </c>
      <c r="S13" s="287"/>
      <c r="T13" s="287"/>
      <c r="U13" s="833">
        <v>0</v>
      </c>
      <c r="V13" s="833">
        <v>0</v>
      </c>
      <c r="W13" s="833">
        <v>0</v>
      </c>
      <c r="X13" s="833">
        <v>0</v>
      </c>
      <c r="Y13" s="833">
        <v>0</v>
      </c>
      <c r="Z13" s="287">
        <f t="shared" si="3"/>
        <v>0</v>
      </c>
      <c r="AA13" s="291"/>
      <c r="AB13" s="209">
        <f t="shared" si="6"/>
        <v>0.08</v>
      </c>
      <c r="AC13" s="8"/>
      <c r="AD13" s="8"/>
      <c r="AE13" s="8"/>
      <c r="AF13" s="1034">
        <f t="shared" si="2"/>
        <v>3.3000000000000002E-2</v>
      </c>
      <c r="AG13" s="1024"/>
      <c r="AH13" s="1024"/>
      <c r="AI13" s="1024"/>
      <c r="AJ13" s="287"/>
      <c r="AK13" s="287"/>
      <c r="AL13" s="287"/>
      <c r="AM13" s="287"/>
      <c r="AN13" s="287"/>
      <c r="AO13" s="287"/>
      <c r="AP13" s="287"/>
      <c r="AQ13" s="287"/>
      <c r="AR13" s="287"/>
      <c r="AS13" s="287"/>
      <c r="AT13" s="249"/>
    </row>
    <row r="14" spans="1:53" hidden="1" outlineLevel="1">
      <c r="E14" s="248"/>
      <c r="F14" s="8"/>
      <c r="G14" s="8"/>
      <c r="H14" s="8"/>
      <c r="I14" s="278"/>
      <c r="J14" s="289" t="str">
        <f>J13</f>
        <v>ESD</v>
      </c>
      <c r="K14" s="290" t="str">
        <f>K$10</f>
        <v>Govt</v>
      </c>
      <c r="L14" s="208" t="s">
        <v>625</v>
      </c>
      <c r="M14" s="285">
        <f>InputSheet!$E$54</f>
        <v>3.3000000000000002E-2</v>
      </c>
      <c r="N14" s="286">
        <f>VLOOKUP(($E$8&amp;$J14),InputSheet!$A$22:$G$130,7,FALSE)</f>
        <v>1.0535182089062498</v>
      </c>
      <c r="O14" s="834">
        <v>0</v>
      </c>
      <c r="P14" s="834">
        <v>0</v>
      </c>
      <c r="Q14" s="287">
        <f>IF(Q$7="",VLOOKUP($E$8&amp;$J14&amp;Q$8&amp;$K14,Indirects,2,FALSE),VLOOKUP($E$8&amp;$J14&amp;Q$8&amp;Q$7,Indirects,2,FALSE))</f>
        <v>0</v>
      </c>
      <c r="R14" s="287">
        <f t="shared" si="5"/>
        <v>0</v>
      </c>
      <c r="S14" s="287"/>
      <c r="T14" s="287"/>
      <c r="U14" s="834">
        <v>0</v>
      </c>
      <c r="V14" s="834">
        <v>0</v>
      </c>
      <c r="W14" s="834">
        <v>0</v>
      </c>
      <c r="X14" s="834">
        <v>0</v>
      </c>
      <c r="Y14" s="834">
        <v>0</v>
      </c>
      <c r="Z14" s="287">
        <f t="shared" si="3"/>
        <v>0</v>
      </c>
      <c r="AA14" s="291"/>
      <c r="AB14" s="209">
        <f t="shared" si="6"/>
        <v>0.08</v>
      </c>
      <c r="AC14" s="8"/>
      <c r="AD14" s="8"/>
      <c r="AE14" s="8"/>
      <c r="AF14" s="1034">
        <f t="shared" si="2"/>
        <v>3.3000000000000002E-2</v>
      </c>
      <c r="AG14" s="1024"/>
      <c r="AH14" s="1024"/>
      <c r="AI14" s="1024"/>
      <c r="AJ14" s="287"/>
      <c r="AK14" s="287"/>
      <c r="AL14" s="287"/>
      <c r="AM14" s="287"/>
      <c r="AN14" s="287"/>
      <c r="AO14" s="287"/>
      <c r="AP14" s="287"/>
      <c r="AQ14" s="287"/>
      <c r="AR14" s="287"/>
      <c r="AS14" s="287"/>
      <c r="AT14" s="249"/>
    </row>
    <row r="15" spans="1:53" hidden="1" outlineLevel="1">
      <c r="E15" s="248"/>
      <c r="F15" s="8"/>
      <c r="G15" s="8"/>
      <c r="H15" s="8"/>
      <c r="I15" s="278"/>
      <c r="J15" s="289" t="str">
        <f>InputSheet!I134</f>
        <v>ESD</v>
      </c>
      <c r="K15" s="290" t="str">
        <f>K$9</f>
        <v>Contr</v>
      </c>
      <c r="L15" s="208" t="s">
        <v>784</v>
      </c>
      <c r="M15" s="285">
        <f>InputSheet!$E$101</f>
        <v>3.3000000000000002E-2</v>
      </c>
      <c r="N15" s="286">
        <f>VLOOKUP(($E$8&amp;$J15),InputSheet!$A$22:$G$130,7,FALSE)</f>
        <v>1.0535182089062498</v>
      </c>
      <c r="O15" s="833">
        <v>0</v>
      </c>
      <c r="P15" s="833">
        <v>0</v>
      </c>
      <c r="Q15" s="287">
        <f>IF(Q$7="",VLOOKUP($E$8&amp;$J15&amp;Q$8&amp;$K15,Indirects,2,FALSE),VLOOKUP($E$8&amp;$J15&amp;Q$8&amp;Q$7,Indirects,2,FALSE))</f>
        <v>0</v>
      </c>
      <c r="R15" s="287">
        <f t="shared" si="5"/>
        <v>0</v>
      </c>
      <c r="S15" s="287"/>
      <c r="T15" s="287"/>
      <c r="U15" s="833">
        <v>0</v>
      </c>
      <c r="V15" s="833">
        <v>0</v>
      </c>
      <c r="W15" s="833">
        <v>0</v>
      </c>
      <c r="X15" s="833">
        <v>0</v>
      </c>
      <c r="Y15" s="833">
        <v>0</v>
      </c>
      <c r="Z15" s="287">
        <f t="shared" si="3"/>
        <v>0</v>
      </c>
      <c r="AA15" s="291"/>
      <c r="AB15" s="209">
        <f t="shared" si="6"/>
        <v>0.08</v>
      </c>
      <c r="AC15" s="8"/>
      <c r="AD15" s="8"/>
      <c r="AE15" s="8"/>
      <c r="AF15" s="1034">
        <f t="shared" si="2"/>
        <v>3.3000000000000002E-2</v>
      </c>
      <c r="AG15" s="1024"/>
      <c r="AH15" s="1024"/>
      <c r="AI15" s="1024"/>
      <c r="AJ15" s="287"/>
      <c r="AK15" s="287"/>
      <c r="AL15" s="287"/>
      <c r="AM15" s="287"/>
      <c r="AN15" s="287"/>
      <c r="AO15" s="287"/>
      <c r="AP15" s="287"/>
      <c r="AQ15" s="287"/>
      <c r="AR15" s="287"/>
      <c r="AS15" s="287"/>
      <c r="AT15" s="249"/>
    </row>
    <row r="16" spans="1:53" hidden="1" outlineLevel="1">
      <c r="E16" s="248"/>
      <c r="F16" s="8"/>
      <c r="G16" s="8"/>
      <c r="H16" s="8"/>
      <c r="I16" s="278"/>
      <c r="J16" s="289" t="str">
        <f>J15</f>
        <v>ESD</v>
      </c>
      <c r="K16" s="290" t="str">
        <f>K$10</f>
        <v>Govt</v>
      </c>
      <c r="L16" s="208" t="s">
        <v>785</v>
      </c>
      <c r="M16" s="285">
        <f>InputSheet!$E$101</f>
        <v>3.3000000000000002E-2</v>
      </c>
      <c r="N16" s="286">
        <f>VLOOKUP(($E$8&amp;$J16),InputSheet!$A$22:$G$130,7,FALSE)</f>
        <v>1.0535182089062498</v>
      </c>
      <c r="O16" s="834">
        <v>0</v>
      </c>
      <c r="P16" s="834">
        <v>0</v>
      </c>
      <c r="Q16" s="287">
        <f t="shared" si="5"/>
        <v>0</v>
      </c>
      <c r="R16" s="287">
        <f t="shared" si="5"/>
        <v>0</v>
      </c>
      <c r="S16" s="287"/>
      <c r="T16" s="287"/>
      <c r="U16" s="834">
        <v>0</v>
      </c>
      <c r="V16" s="834">
        <v>0</v>
      </c>
      <c r="W16" s="834">
        <v>0</v>
      </c>
      <c r="X16" s="834">
        <v>0</v>
      </c>
      <c r="Y16" s="834">
        <v>0</v>
      </c>
      <c r="Z16" s="287">
        <f t="shared" si="3"/>
        <v>0</v>
      </c>
      <c r="AA16" s="291"/>
      <c r="AB16" s="209">
        <f t="shared" si="6"/>
        <v>0.08</v>
      </c>
      <c r="AC16" s="8"/>
      <c r="AD16" s="8"/>
      <c r="AE16" s="8"/>
      <c r="AF16" s="1034">
        <f t="shared" si="2"/>
        <v>3.3000000000000002E-2</v>
      </c>
      <c r="AG16" s="1024"/>
      <c r="AH16" s="1024"/>
      <c r="AI16" s="1024"/>
      <c r="AJ16" s="287"/>
      <c r="AK16" s="287"/>
      <c r="AL16" s="287"/>
      <c r="AM16" s="287"/>
      <c r="AN16" s="287"/>
      <c r="AO16" s="287"/>
      <c r="AP16" s="287"/>
      <c r="AQ16" s="287"/>
      <c r="AR16" s="287"/>
      <c r="AS16" s="287"/>
      <c r="AT16" s="249"/>
    </row>
    <row r="17" spans="4:53" hidden="1" outlineLevel="1">
      <c r="E17" s="248"/>
      <c r="F17" s="8"/>
      <c r="G17" s="8"/>
      <c r="H17" s="8"/>
      <c r="I17" s="278"/>
      <c r="J17" s="289" t="str">
        <f t="shared" si="4"/>
        <v>IS</v>
      </c>
      <c r="K17" s="290" t="str">
        <f>K$9</f>
        <v>Contr</v>
      </c>
      <c r="L17" s="208" t="s">
        <v>716</v>
      </c>
      <c r="M17" s="285">
        <f>InputSheet!$E$7</f>
        <v>3.3000000000000002E-2</v>
      </c>
      <c r="N17" s="286">
        <f>VLOOKUP(($E$8&amp;$J17),InputSheet!$A$22:$G$130,7,FALSE)</f>
        <v>1.0535182089062498</v>
      </c>
      <c r="O17" s="834">
        <v>0.5</v>
      </c>
      <c r="P17" s="834">
        <v>0</v>
      </c>
      <c r="Q17" s="287">
        <f t="shared" si="5"/>
        <v>0.31240000000000001</v>
      </c>
      <c r="R17" s="287">
        <f t="shared" si="5"/>
        <v>0.1988</v>
      </c>
      <c r="S17" s="287"/>
      <c r="T17" s="287"/>
      <c r="U17" s="834">
        <v>0</v>
      </c>
      <c r="V17" s="834">
        <v>0</v>
      </c>
      <c r="W17" s="834">
        <v>0</v>
      </c>
      <c r="X17" s="834">
        <v>0</v>
      </c>
      <c r="Y17" s="834">
        <v>0</v>
      </c>
      <c r="Z17" s="287">
        <f t="shared" si="3"/>
        <v>9.2399999999999996E-2</v>
      </c>
      <c r="AA17" s="291"/>
      <c r="AB17" s="209">
        <f t="shared" si="6"/>
        <v>0.08</v>
      </c>
      <c r="AC17" s="8"/>
      <c r="AD17" s="8"/>
      <c r="AE17" s="8"/>
      <c r="AF17" s="1034">
        <f t="shared" si="2"/>
        <v>3.3000000000000002E-2</v>
      </c>
      <c r="AG17" s="1024"/>
      <c r="AH17" s="1024"/>
      <c r="AI17" s="1024"/>
      <c r="AJ17" s="287"/>
      <c r="AK17" s="287"/>
      <c r="AL17" s="287"/>
      <c r="AM17" s="287"/>
      <c r="AN17" s="287"/>
      <c r="AO17" s="287"/>
      <c r="AP17" s="287"/>
      <c r="AQ17" s="287"/>
      <c r="AR17" s="287"/>
      <c r="AS17" s="287"/>
      <c r="AT17" s="249"/>
    </row>
    <row r="18" spans="4:53" hidden="1" outlineLevel="1">
      <c r="E18" s="248"/>
      <c r="F18" s="8"/>
      <c r="G18" s="8"/>
      <c r="H18" s="8"/>
      <c r="I18" s="278"/>
      <c r="J18" s="289" t="str">
        <f t="shared" si="4"/>
        <v>IS</v>
      </c>
      <c r="K18" s="290" t="str">
        <f>K$10</f>
        <v>Govt</v>
      </c>
      <c r="L18" s="208" t="s">
        <v>715</v>
      </c>
      <c r="M18" s="285">
        <f>InputSheet!$E$7</f>
        <v>3.3000000000000002E-2</v>
      </c>
      <c r="N18" s="286">
        <f>VLOOKUP(($E$8&amp;$J18),InputSheet!$A$22:$G$130,7,FALSE)</f>
        <v>1.0535182089062498</v>
      </c>
      <c r="O18" s="834">
        <v>0.5</v>
      </c>
      <c r="P18" s="834">
        <v>0</v>
      </c>
      <c r="Q18" s="287">
        <f t="shared" si="5"/>
        <v>0.31240000000000001</v>
      </c>
      <c r="R18" s="287">
        <f t="shared" si="5"/>
        <v>2.23E-2</v>
      </c>
      <c r="S18" s="287"/>
      <c r="T18" s="287"/>
      <c r="U18" s="834">
        <v>0</v>
      </c>
      <c r="V18" s="834">
        <v>0</v>
      </c>
      <c r="W18" s="834">
        <v>0</v>
      </c>
      <c r="X18" s="834">
        <v>0</v>
      </c>
      <c r="Y18" s="834">
        <v>0</v>
      </c>
      <c r="Z18" s="287">
        <f t="shared" si="3"/>
        <v>9.2399999999999996E-2</v>
      </c>
      <c r="AA18" s="291"/>
      <c r="AB18" s="209">
        <f t="shared" si="6"/>
        <v>0.08</v>
      </c>
      <c r="AC18" s="8"/>
      <c r="AD18" s="8"/>
      <c r="AE18" s="8"/>
      <c r="AF18" s="1034">
        <f t="shared" si="2"/>
        <v>3.3000000000000002E-2</v>
      </c>
      <c r="AG18" s="1024"/>
      <c r="AH18" s="1024"/>
      <c r="AI18" s="1024"/>
      <c r="AJ18" s="287"/>
      <c r="AK18" s="287"/>
      <c r="AL18" s="287"/>
      <c r="AM18" s="287"/>
      <c r="AN18" s="287"/>
      <c r="AO18" s="287"/>
      <c r="AP18" s="287"/>
      <c r="AQ18" s="287"/>
      <c r="AR18" s="287"/>
      <c r="AS18" s="287"/>
      <c r="AT18" s="249"/>
    </row>
    <row r="19" spans="4:53" hidden="1" outlineLevel="1">
      <c r="E19" s="248"/>
      <c r="F19" s="8"/>
      <c r="G19" s="8"/>
      <c r="H19" s="8"/>
      <c r="I19" s="278"/>
      <c r="J19" s="289" t="str">
        <f t="shared" si="4"/>
        <v>IS</v>
      </c>
      <c r="K19" s="290" t="str">
        <f>K$9</f>
        <v>Contr</v>
      </c>
      <c r="L19" s="208" t="s">
        <v>670</v>
      </c>
      <c r="M19" s="293">
        <v>0</v>
      </c>
      <c r="N19" s="292">
        <v>1</v>
      </c>
      <c r="O19" s="833">
        <v>0.5</v>
      </c>
      <c r="P19" s="833">
        <v>0</v>
      </c>
      <c r="Q19" s="287">
        <f t="shared" si="5"/>
        <v>0.31240000000000001</v>
      </c>
      <c r="R19" s="287">
        <f t="shared" si="5"/>
        <v>0.1988</v>
      </c>
      <c r="S19" s="287"/>
      <c r="T19" s="287"/>
      <c r="U19" s="833">
        <v>0</v>
      </c>
      <c r="V19" s="833">
        <v>0</v>
      </c>
      <c r="W19" s="833">
        <v>0</v>
      </c>
      <c r="X19" s="833">
        <v>0</v>
      </c>
      <c r="Y19" s="833">
        <v>0</v>
      </c>
      <c r="Z19" s="287">
        <f t="shared" si="3"/>
        <v>9.2399999999999996E-2</v>
      </c>
      <c r="AA19" s="291"/>
      <c r="AB19" s="209">
        <f t="shared" si="6"/>
        <v>0.08</v>
      </c>
      <c r="AC19" s="8"/>
      <c r="AD19" s="8"/>
      <c r="AE19" s="8"/>
      <c r="AF19" s="1034">
        <f t="shared" si="2"/>
        <v>0</v>
      </c>
      <c r="AG19" s="1024"/>
      <c r="AH19" s="1024"/>
      <c r="AI19" s="1024"/>
      <c r="AJ19" s="287"/>
      <c r="AK19" s="287"/>
      <c r="AL19" s="287"/>
      <c r="AM19" s="287"/>
      <c r="AN19" s="287"/>
      <c r="AO19" s="287"/>
      <c r="AP19" s="287"/>
      <c r="AQ19" s="287"/>
      <c r="AR19" s="287"/>
      <c r="AS19" s="287"/>
      <c r="AT19" s="249"/>
    </row>
    <row r="20" spans="4:53" hidden="1" outlineLevel="1">
      <c r="E20" s="248"/>
      <c r="F20" s="8"/>
      <c r="G20" s="8"/>
      <c r="H20" s="8"/>
      <c r="I20" s="278"/>
      <c r="J20" s="289" t="str">
        <f t="shared" si="4"/>
        <v>IS</v>
      </c>
      <c r="K20" s="290" t="str">
        <f>K$10</f>
        <v>Govt</v>
      </c>
      <c r="L20" s="208" t="s">
        <v>669</v>
      </c>
      <c r="M20" s="293">
        <v>0</v>
      </c>
      <c r="N20" s="292">
        <v>1</v>
      </c>
      <c r="O20" s="834">
        <v>0.5</v>
      </c>
      <c r="P20" s="834">
        <v>0</v>
      </c>
      <c r="Q20" s="287">
        <f t="shared" si="5"/>
        <v>0.31240000000000001</v>
      </c>
      <c r="R20" s="287">
        <f t="shared" si="5"/>
        <v>2.23E-2</v>
      </c>
      <c r="S20" s="287"/>
      <c r="T20" s="287"/>
      <c r="U20" s="834">
        <v>0</v>
      </c>
      <c r="V20" s="834">
        <v>0</v>
      </c>
      <c r="W20" s="834">
        <v>0</v>
      </c>
      <c r="X20" s="834">
        <v>0</v>
      </c>
      <c r="Y20" s="834">
        <v>0</v>
      </c>
      <c r="Z20" s="287">
        <f t="shared" si="3"/>
        <v>9.2399999999999996E-2</v>
      </c>
      <c r="AA20" s="291"/>
      <c r="AB20" s="209">
        <f t="shared" si="6"/>
        <v>0.08</v>
      </c>
      <c r="AC20" s="8"/>
      <c r="AD20" s="8"/>
      <c r="AE20" s="8"/>
      <c r="AF20" s="1034">
        <f t="shared" si="2"/>
        <v>0</v>
      </c>
      <c r="AG20" s="1024"/>
      <c r="AH20" s="1024"/>
      <c r="AI20" s="1024"/>
      <c r="AJ20" s="287"/>
      <c r="AK20" s="287"/>
      <c r="AL20" s="287"/>
      <c r="AM20" s="287"/>
      <c r="AN20" s="287"/>
      <c r="AO20" s="287"/>
      <c r="AP20" s="287"/>
      <c r="AQ20" s="287"/>
      <c r="AR20" s="287"/>
      <c r="AS20" s="287"/>
      <c r="AT20" s="249"/>
    </row>
    <row r="21" spans="4:53" collapsed="1">
      <c r="E21" s="248"/>
      <c r="F21" s="8"/>
      <c r="G21" s="8"/>
      <c r="H21" s="8"/>
      <c r="I21" s="278"/>
      <c r="J21" s="283" t="str">
        <f t="shared" si="4"/>
        <v>IS</v>
      </c>
      <c r="K21" s="284" t="str">
        <f>InputSheet!$D$44</f>
        <v>Contr/Govt</v>
      </c>
      <c r="L21" s="210" t="s">
        <v>684</v>
      </c>
      <c r="M21" s="285">
        <v>0</v>
      </c>
      <c r="N21" s="286">
        <v>1</v>
      </c>
      <c r="O21" s="833">
        <v>0</v>
      </c>
      <c r="P21" s="833">
        <v>0</v>
      </c>
      <c r="Q21" s="287"/>
      <c r="R21" s="287">
        <f>VLOOKUP($E$8&amp;$J21&amp;InputSheet!$C$44&amp;$K21,Indirects,2,FALSE)</f>
        <v>2.9899999999999999E-2</v>
      </c>
      <c r="S21" s="287"/>
      <c r="T21" s="287"/>
      <c r="U21" s="833">
        <v>0</v>
      </c>
      <c r="V21" s="833">
        <v>0</v>
      </c>
      <c r="W21" s="833">
        <v>0</v>
      </c>
      <c r="X21" s="833">
        <v>0</v>
      </c>
      <c r="Y21" s="833">
        <v>0</v>
      </c>
      <c r="Z21" s="287">
        <f t="shared" si="3"/>
        <v>9.2399999999999996E-2</v>
      </c>
      <c r="AA21" s="288"/>
      <c r="AB21" s="209">
        <f>'Pricing Summary'!C53</f>
        <v>0.08</v>
      </c>
      <c r="AC21" s="8"/>
      <c r="AD21" s="8"/>
      <c r="AE21" s="8"/>
      <c r="AF21" s="1035">
        <f t="shared" si="2"/>
        <v>0</v>
      </c>
      <c r="AG21" s="1023"/>
      <c r="AH21" s="1023"/>
      <c r="AI21" s="1023"/>
      <c r="AJ21" s="287"/>
      <c r="AK21" s="287"/>
      <c r="AL21" s="287"/>
      <c r="AM21" s="287"/>
      <c r="AN21" s="287"/>
      <c r="AO21" s="287"/>
      <c r="AP21" s="287"/>
      <c r="AQ21" s="287"/>
      <c r="AR21" s="287"/>
      <c r="AS21" s="287"/>
      <c r="AT21" s="249"/>
    </row>
    <row r="22" spans="4:53" hidden="1">
      <c r="E22" s="248"/>
      <c r="F22" s="8"/>
      <c r="G22" s="8"/>
      <c r="H22" s="8"/>
      <c r="I22" s="278"/>
      <c r="J22" s="289" t="str">
        <f t="shared" si="4"/>
        <v>IS</v>
      </c>
      <c r="K22" s="290" t="str">
        <f>K21</f>
        <v>Contr/Govt</v>
      </c>
      <c r="L22" s="211" t="s">
        <v>685</v>
      </c>
      <c r="M22" s="807">
        <v>0</v>
      </c>
      <c r="N22" s="294">
        <f>N21</f>
        <v>1</v>
      </c>
      <c r="O22" s="835">
        <v>0</v>
      </c>
      <c r="P22" s="835">
        <v>0</v>
      </c>
      <c r="Q22" s="295"/>
      <c r="R22" s="296">
        <f>VLOOKUP($E$8&amp;$J22&amp;InputSheet!$C$44&amp;$K22,Indirects,2,FALSE)</f>
        <v>2.9899999999999999E-2</v>
      </c>
      <c r="S22" s="296"/>
      <c r="T22" s="296"/>
      <c r="U22" s="835">
        <v>0</v>
      </c>
      <c r="V22" s="835">
        <v>0</v>
      </c>
      <c r="W22" s="835">
        <v>0</v>
      </c>
      <c r="X22" s="835">
        <v>0</v>
      </c>
      <c r="Y22" s="835">
        <v>0</v>
      </c>
      <c r="Z22" s="296">
        <f t="shared" si="3"/>
        <v>9.2399999999999996E-2</v>
      </c>
      <c r="AA22" s="297"/>
      <c r="AB22" s="212">
        <f t="shared" si="6"/>
        <v>0.08</v>
      </c>
      <c r="AC22" s="8"/>
      <c r="AD22" s="8"/>
      <c r="AE22" s="8"/>
      <c r="AF22" s="1035">
        <f t="shared" si="2"/>
        <v>0</v>
      </c>
      <c r="AG22" s="1025"/>
      <c r="AH22" s="1025"/>
      <c r="AI22" s="1025"/>
      <c r="AJ22" s="295"/>
      <c r="AK22" s="296"/>
      <c r="AL22" s="296"/>
      <c r="AM22" s="296"/>
      <c r="AN22" s="296"/>
      <c r="AO22" s="296"/>
      <c r="AP22" s="296"/>
      <c r="AQ22" s="296"/>
      <c r="AR22" s="296"/>
      <c r="AS22" s="296"/>
      <c r="AT22" s="249"/>
    </row>
    <row r="23" spans="4:53" hidden="1">
      <c r="E23" s="248"/>
      <c r="F23" s="8"/>
      <c r="G23" s="8"/>
      <c r="H23" s="8"/>
      <c r="I23" s="278"/>
      <c r="J23" s="289" t="str">
        <f t="shared" si="4"/>
        <v>IS</v>
      </c>
      <c r="K23" s="290" t="str">
        <f>K22</f>
        <v>Contr/Govt</v>
      </c>
      <c r="L23" s="207" t="s">
        <v>616</v>
      </c>
      <c r="M23" s="808">
        <v>0</v>
      </c>
      <c r="N23" s="298">
        <v>1</v>
      </c>
      <c r="O23" s="836">
        <v>0</v>
      </c>
      <c r="P23" s="836">
        <v>0</v>
      </c>
      <c r="Q23" s="299"/>
      <c r="R23" s="299">
        <f>VLOOKUP($E$8&amp;$J23&amp;InputSheet!$C$44&amp;$K23,Indirects,2,FALSE)</f>
        <v>2.9899999999999999E-2</v>
      </c>
      <c r="S23" s="299"/>
      <c r="T23" s="299"/>
      <c r="U23" s="836">
        <v>0</v>
      </c>
      <c r="V23" s="836">
        <v>0</v>
      </c>
      <c r="W23" s="836">
        <v>0</v>
      </c>
      <c r="X23" s="836">
        <v>0</v>
      </c>
      <c r="Y23" s="836">
        <v>0</v>
      </c>
      <c r="Z23" s="299">
        <f t="shared" si="3"/>
        <v>9.2399999999999996E-2</v>
      </c>
      <c r="AA23" s="300"/>
      <c r="AB23" s="213">
        <v>0</v>
      </c>
      <c r="AC23" s="8"/>
      <c r="AD23" s="8"/>
      <c r="AE23" s="8"/>
      <c r="AF23" s="1035">
        <f t="shared" si="2"/>
        <v>0</v>
      </c>
      <c r="AG23" s="1026"/>
      <c r="AH23" s="1026"/>
      <c r="AI23" s="1026"/>
      <c r="AJ23" s="299"/>
      <c r="AK23" s="299"/>
      <c r="AL23" s="299"/>
      <c r="AM23" s="299"/>
      <c r="AN23" s="299"/>
      <c r="AO23" s="299"/>
      <c r="AP23" s="299"/>
      <c r="AQ23" s="299"/>
      <c r="AR23" s="299"/>
      <c r="AS23" s="299"/>
      <c r="AT23" s="249"/>
    </row>
    <row r="24" spans="4:53">
      <c r="E24" s="248"/>
      <c r="F24" s="8"/>
      <c r="G24" s="8"/>
      <c r="H24" s="8"/>
      <c r="I24" s="278"/>
      <c r="J24" s="301" t="str">
        <f t="shared" si="4"/>
        <v>IS</v>
      </c>
      <c r="K24" s="302" t="str">
        <f>K23</f>
        <v>Contr/Govt</v>
      </c>
      <c r="L24" s="237" t="s">
        <v>617</v>
      </c>
      <c r="M24" s="809">
        <v>0</v>
      </c>
      <c r="N24" s="303">
        <v>1</v>
      </c>
      <c r="O24" s="837">
        <v>0</v>
      </c>
      <c r="P24" s="837">
        <v>0</v>
      </c>
      <c r="Q24" s="304"/>
      <c r="R24" s="305">
        <f>IF(OR($J$24="MBI - FT",$J$24="MBI - PT"),R23,0)</f>
        <v>0</v>
      </c>
      <c r="S24" s="305"/>
      <c r="T24" s="305"/>
      <c r="U24" s="837">
        <v>0</v>
      </c>
      <c r="V24" s="837">
        <v>0</v>
      </c>
      <c r="W24" s="837">
        <v>0</v>
      </c>
      <c r="X24" s="837">
        <v>0</v>
      </c>
      <c r="Y24" s="837">
        <v>0</v>
      </c>
      <c r="Z24" s="305">
        <f t="shared" si="3"/>
        <v>9.2399999999999996E-2</v>
      </c>
      <c r="AA24" s="306"/>
      <c r="AB24" s="238">
        <f>'Pricing Summary'!C54</f>
        <v>0.08</v>
      </c>
      <c r="AC24" s="8"/>
      <c r="AD24" s="8"/>
      <c r="AE24" s="8"/>
      <c r="AF24" s="1035">
        <f t="shared" si="2"/>
        <v>0</v>
      </c>
      <c r="AG24" s="1027"/>
      <c r="AH24" s="1027"/>
      <c r="AI24" s="1027"/>
      <c r="AJ24" s="304"/>
      <c r="AK24" s="305"/>
      <c r="AL24" s="305"/>
      <c r="AM24" s="305"/>
      <c r="AN24" s="305"/>
      <c r="AO24" s="305"/>
      <c r="AP24" s="305"/>
      <c r="AQ24" s="305"/>
      <c r="AR24" s="305"/>
      <c r="AS24" s="305"/>
      <c r="AT24" s="249"/>
    </row>
    <row r="25" spans="4:53">
      <c r="E25" s="248"/>
      <c r="F25" s="8"/>
      <c r="G25" s="8"/>
      <c r="H25" s="8"/>
      <c r="I25" s="8"/>
      <c r="J25" s="307"/>
      <c r="K25" s="307"/>
      <c r="L25" s="307"/>
      <c r="M25" s="307"/>
      <c r="N25" s="307"/>
      <c r="O25" s="307"/>
      <c r="P25" s="307"/>
      <c r="Q25" s="307"/>
      <c r="R25" s="307"/>
      <c r="S25" s="307"/>
      <c r="T25" s="307"/>
      <c r="U25" s="307"/>
      <c r="V25" s="307"/>
      <c r="W25" s="307"/>
      <c r="X25" s="307"/>
      <c r="Y25" s="307"/>
      <c r="Z25" s="307"/>
      <c r="AA25" s="307"/>
      <c r="AB25" s="307"/>
      <c r="AC25" s="8"/>
      <c r="AD25" s="8"/>
      <c r="AE25" s="8"/>
      <c r="AF25" s="250" t="s">
        <v>920</v>
      </c>
      <c r="AG25" s="8"/>
      <c r="AH25" s="8"/>
      <c r="AI25" s="8"/>
      <c r="AJ25" s="8"/>
      <c r="AK25" s="8"/>
      <c r="AL25" s="8"/>
      <c r="AM25" s="8"/>
      <c r="AN25" s="8"/>
      <c r="AO25" s="8"/>
      <c r="AP25" s="8"/>
      <c r="AQ25" s="8"/>
      <c r="AR25" s="8"/>
      <c r="AS25" s="8"/>
      <c r="AT25" s="8"/>
      <c r="AZ25" s="308"/>
      <c r="BA25" s="308"/>
    </row>
    <row r="26" spans="4:53" hidden="1" outlineLevel="1">
      <c r="E26" s="248"/>
      <c r="F26" s="8"/>
      <c r="G26" s="8"/>
      <c r="H26" s="8"/>
      <c r="I26" s="8"/>
      <c r="J26" s="8"/>
      <c r="K26" s="8"/>
      <c r="L26" s="8"/>
      <c r="M26" s="309"/>
      <c r="N26" s="310" t="str">
        <f>M$28&amp;"*"&amp;N$5</f>
        <v>A*B%</v>
      </c>
      <c r="O26" s="310"/>
      <c r="P26" s="310"/>
      <c r="Q26" s="310" t="str">
        <f>N$28&amp;"*"&amp;Q$5</f>
        <v>B*C%</v>
      </c>
      <c r="R26" s="310" t="str">
        <f>"("&amp;N28&amp;"+"&amp;Q$28&amp;")"&amp;"*"&amp;R$5</f>
        <v>(B+C)*D%</v>
      </c>
      <c r="S26" s="310"/>
      <c r="T26" s="310"/>
      <c r="U26" s="310"/>
      <c r="V26" s="310"/>
      <c r="W26" s="310"/>
      <c r="X26" s="310"/>
      <c r="Y26" s="310"/>
      <c r="Z26" s="310" t="str">
        <f>"("&amp;N28&amp;"+"&amp;Q28&amp;"+"&amp;R$28&amp;")"&amp;"*"&amp;Z$5</f>
        <v>(B+C+D)*E%</v>
      </c>
      <c r="AA26" s="310" t="s">
        <v>776</v>
      </c>
      <c r="AB26" s="310" t="str">
        <f>"("&amp;N28&amp;"+"&amp;Q28&amp;"+"&amp;R$28&amp;"+"&amp;Z$28&amp;")"&amp;"*"&amp;AB$5</f>
        <v>(B+C+D+E)*G%</v>
      </c>
      <c r="AC26" s="8"/>
      <c r="AD26" s="8"/>
      <c r="AE26" s="8"/>
      <c r="AF26" s="250"/>
    </row>
    <row r="27" spans="4:53" ht="8.25" hidden="1" customHeight="1" outlineLevel="1">
      <c r="E27" s="248"/>
      <c r="F27" s="8"/>
      <c r="G27" s="8"/>
      <c r="H27" s="8"/>
      <c r="I27" s="8"/>
      <c r="J27" s="8"/>
      <c r="K27" s="8"/>
      <c r="L27" s="8"/>
      <c r="M27" s="311"/>
      <c r="N27" s="312"/>
      <c r="O27" s="312"/>
      <c r="P27" s="312"/>
      <c r="Q27" s="312"/>
      <c r="R27" s="312"/>
      <c r="S27" s="312"/>
      <c r="T27" s="312"/>
      <c r="U27" s="312"/>
      <c r="V27" s="312"/>
      <c r="W27" s="312"/>
      <c r="X27" s="312"/>
      <c r="Y27" s="312"/>
      <c r="Z27" s="312"/>
      <c r="AA27" s="312"/>
      <c r="AB27" s="312"/>
      <c r="AC27" s="8"/>
      <c r="AD27" s="8"/>
      <c r="AE27" s="8"/>
      <c r="AF27" s="250"/>
    </row>
    <row r="28" spans="4:53" hidden="1" outlineLevel="1">
      <c r="E28" s="248"/>
      <c r="F28" s="8"/>
      <c r="G28" s="8"/>
      <c r="H28" s="8"/>
      <c r="I28" s="8"/>
      <c r="J28" s="8"/>
      <c r="K28" s="8"/>
      <c r="L28" s="8"/>
      <c r="M28" s="263" t="s">
        <v>601</v>
      </c>
      <c r="N28" s="263" t="s">
        <v>598</v>
      </c>
      <c r="O28" s="263"/>
      <c r="P28" s="263"/>
      <c r="Q28" s="263" t="s">
        <v>599</v>
      </c>
      <c r="R28" s="263" t="s">
        <v>618</v>
      </c>
      <c r="S28" s="263"/>
      <c r="T28" s="263"/>
      <c r="U28" s="263"/>
      <c r="V28" s="263"/>
      <c r="W28" s="263"/>
      <c r="X28" s="263"/>
      <c r="Y28" s="263"/>
      <c r="Z28" s="263" t="s">
        <v>645</v>
      </c>
      <c r="AA28" s="263" t="s">
        <v>774</v>
      </c>
      <c r="AB28" s="263" t="s">
        <v>775</v>
      </c>
      <c r="AC28" s="8"/>
      <c r="AD28" s="8"/>
      <c r="AE28" s="8"/>
      <c r="AF28" s="250"/>
    </row>
    <row r="29" spans="4:53" collapsed="1">
      <c r="E29" s="248"/>
      <c r="F29" s="8"/>
      <c r="G29" s="8"/>
      <c r="H29" s="8"/>
      <c r="I29" s="8"/>
      <c r="J29" s="8"/>
      <c r="K29" s="8"/>
      <c r="L29" s="8"/>
      <c r="M29" s="8"/>
      <c r="N29" s="8"/>
      <c r="O29" s="8"/>
      <c r="P29" s="8"/>
      <c r="Q29" s="8"/>
      <c r="R29" s="8"/>
      <c r="S29" s="8"/>
      <c r="T29" s="8"/>
      <c r="U29" s="8"/>
      <c r="V29" s="8"/>
      <c r="W29" s="8"/>
      <c r="X29" s="8"/>
      <c r="Y29" s="8"/>
      <c r="Z29" s="8"/>
      <c r="AA29" s="313"/>
      <c r="AB29" s="8"/>
      <c r="AC29" s="8"/>
      <c r="AD29" s="8"/>
      <c r="AE29" s="8"/>
      <c r="AF29" s="250">
        <v>8</v>
      </c>
      <c r="AT29" s="314"/>
      <c r="AU29" s="39"/>
      <c r="AV29" s="314"/>
      <c r="AW29" s="39"/>
      <c r="AZ29" s="308" t="s">
        <v>778</v>
      </c>
      <c r="BA29" s="308" t="s">
        <v>777</v>
      </c>
    </row>
    <row r="30" spans="4:53" ht="13.5" thickBot="1">
      <c r="E30" s="315" t="s">
        <v>632</v>
      </c>
      <c r="F30" s="37"/>
      <c r="G30" s="37" t="s">
        <v>633</v>
      </c>
      <c r="H30" s="8"/>
      <c r="I30" s="37" t="s">
        <v>634</v>
      </c>
      <c r="J30" s="47" t="s">
        <v>644</v>
      </c>
      <c r="K30" s="47" t="s">
        <v>644</v>
      </c>
      <c r="L30" s="37" t="str">
        <f>L8</f>
        <v>Burden Code</v>
      </c>
      <c r="M30" s="39" t="s">
        <v>635</v>
      </c>
      <c r="N30" s="39" t="s">
        <v>58</v>
      </c>
      <c r="O30" s="39" t="str">
        <f>O8</f>
        <v>Hazard</v>
      </c>
      <c r="P30" s="39" t="str">
        <f>P8</f>
        <v>Harship</v>
      </c>
      <c r="Q30" s="39" t="str">
        <f t="shared" ref="Q30:AB30" si="7">Q8</f>
        <v>PRB</v>
      </c>
      <c r="R30" s="39" t="str">
        <f t="shared" si="7"/>
        <v>Overhead</v>
      </c>
      <c r="S30" s="39"/>
      <c r="T30" s="39"/>
      <c r="U30" s="39" t="str">
        <f t="shared" si="7"/>
        <v>Finders Fee</v>
      </c>
      <c r="V30" s="39" t="str">
        <f>V8</f>
        <v>Per Diem</v>
      </c>
      <c r="W30" s="39" t="str">
        <f>W8</f>
        <v>War Risk Ins.</v>
      </c>
      <c r="X30" s="39" t="str">
        <f>X8</f>
        <v>DBA Ins.</v>
      </c>
      <c r="Y30" s="39" t="str">
        <f>Y8</f>
        <v>Travel</v>
      </c>
      <c r="Z30" s="39" t="str">
        <f t="shared" si="7"/>
        <v>G&amp;A</v>
      </c>
      <c r="AA30" s="39" t="str">
        <f t="shared" si="7"/>
        <v>Cost</v>
      </c>
      <c r="AB30" s="39" t="str">
        <f t="shared" si="7"/>
        <v>Profit / Fee</v>
      </c>
      <c r="AC30" s="34" t="s">
        <v>994</v>
      </c>
      <c r="AD30" s="39" t="s">
        <v>646</v>
      </c>
      <c r="AE30" s="39" t="s">
        <v>638</v>
      </c>
      <c r="AF30" s="316" t="s">
        <v>907</v>
      </c>
      <c r="AG30" s="314"/>
      <c r="AH30" s="314"/>
      <c r="AI30" s="314"/>
      <c r="AJ30" s="314"/>
      <c r="AK30" s="314"/>
      <c r="AL30" s="314"/>
      <c r="AM30" s="314"/>
      <c r="AN30" s="314"/>
      <c r="AO30" s="314"/>
      <c r="AP30" s="314"/>
      <c r="AQ30" s="314"/>
      <c r="AR30" s="314"/>
      <c r="AS30" s="314"/>
      <c r="AT30" s="314"/>
      <c r="AU30" s="39"/>
      <c r="AV30" s="314"/>
      <c r="AW30" s="39"/>
      <c r="AZ30" s="251">
        <v>1</v>
      </c>
      <c r="BA30" s="251">
        <v>1</v>
      </c>
    </row>
    <row r="31" spans="4:53" s="317" customFormat="1" ht="16.5" thickBot="1">
      <c r="E31" s="240" t="s">
        <v>640</v>
      </c>
      <c r="F31" s="202"/>
      <c r="G31" s="202"/>
      <c r="H31" s="203"/>
      <c r="I31" s="202"/>
      <c r="J31" s="201"/>
      <c r="K31" s="201"/>
      <c r="L31" s="202"/>
      <c r="M31" s="204"/>
      <c r="N31" s="204"/>
      <c r="O31" s="204"/>
      <c r="P31" s="204"/>
      <c r="Q31" s="204"/>
      <c r="R31" s="204"/>
      <c r="S31" s="204"/>
      <c r="T31" s="204"/>
      <c r="U31" s="204"/>
      <c r="V31" s="204"/>
      <c r="W31" s="204"/>
      <c r="X31" s="204"/>
      <c r="Y31" s="204"/>
      <c r="Z31" s="204"/>
      <c r="AA31" s="204"/>
      <c r="AB31" s="204"/>
      <c r="AC31" s="204"/>
      <c r="AD31" s="204"/>
      <c r="AE31" s="204"/>
      <c r="AF31" s="205"/>
      <c r="AG31" s="206"/>
      <c r="AH31" s="206"/>
      <c r="AI31" s="206" t="s">
        <v>742</v>
      </c>
      <c r="AJ31" s="206" t="s">
        <v>741</v>
      </c>
      <c r="AK31" s="206" t="s">
        <v>66</v>
      </c>
      <c r="AL31" s="206"/>
      <c r="AM31" s="206"/>
      <c r="AN31" s="206"/>
      <c r="AO31" s="206"/>
      <c r="AP31" s="206"/>
      <c r="AQ31" s="206"/>
      <c r="AR31" s="206"/>
      <c r="AS31" s="206"/>
      <c r="AT31" s="206"/>
      <c r="AU31" s="206"/>
      <c r="AV31" s="206"/>
      <c r="AW31" s="318"/>
      <c r="AZ31" s="251">
        <v>1</v>
      </c>
      <c r="BA31" s="251">
        <v>1</v>
      </c>
    </row>
    <row r="32" spans="4:53">
      <c r="D32" s="8">
        <v>1</v>
      </c>
      <c r="E32" s="319" t="str">
        <f t="shared" ref="E32:E49" si="8">VLOOKUP($D32,DL,2,FALSE)</f>
        <v xml:space="preserve">LAN/Wan Engineer </v>
      </c>
      <c r="F32" s="8"/>
      <c r="G32" s="363" t="str">
        <f>+InputSheet!E173</f>
        <v>ManTech</v>
      </c>
      <c r="H32" s="8"/>
      <c r="I32" s="320">
        <f t="shared" ref="I32:I49" si="9">VLOOKUP($D32,DL,5,FALSE)</f>
        <v>0</v>
      </c>
      <c r="J32" s="198" t="str">
        <f>G32&amp;D32&amp;I32&amp;L32</f>
        <v>ManTech10Govt</v>
      </c>
      <c r="K32" s="198"/>
      <c r="L32" s="363" t="s">
        <v>623</v>
      </c>
      <c r="M32" s="321">
        <f>IF(G32="ManTech",(VLOOKUP($D32,DL,6,FALSE)),(INDEX('Sub Rates'!$F$9:$IK$48,MATCH(($E32&amp;$L32),'Sub Rates'!$E$9:$E$48,0),MATCH(($E$8&amp;$G32),'Sub Rates'!$F$8:$IK$8,0))))</f>
        <v>29</v>
      </c>
      <c r="N32" s="321">
        <f t="shared" ref="N32:N49" ca="1" si="10">ROUND($M32*(VLOOKUP($L32,$L$9:$AB$24,N$6,FALSE)),2)</f>
        <v>30.55</v>
      </c>
      <c r="O32" s="321">
        <f t="shared" ref="O32:P49" ca="1" si="11">$N32*(VLOOKUP($L32,$L$9:$AB$24,O$6,FALSE))</f>
        <v>0</v>
      </c>
      <c r="P32" s="321">
        <f t="shared" ca="1" si="11"/>
        <v>0</v>
      </c>
      <c r="Q32" s="321">
        <f t="shared" ref="Q32:Q46" ca="1" si="12">($N32+O32+P32)*(VLOOKUP($L32,$L$9:$AB$24,Q$6,FALSE))</f>
        <v>9.5438200000000002</v>
      </c>
      <c r="R32" s="321">
        <f t="shared" ref="R32:R46" ca="1" si="13">($N32+$Q32+O32+P32)*(VLOOKUP($L32,$L$9:$AB$24,R$6,FALSE))</f>
        <v>0.89409218600000007</v>
      </c>
      <c r="S32" s="321">
        <f t="shared" ref="S32:S37" si="14">$S$10/AD32</f>
        <v>0</v>
      </c>
      <c r="T32" s="321">
        <f t="shared" ref="T32:T37" si="15">$T$10/AD32</f>
        <v>0</v>
      </c>
      <c r="U32" s="321">
        <f t="shared" ref="U32:U37" si="16">(M32*AD32)*$U$10</f>
        <v>0</v>
      </c>
      <c r="V32" s="321">
        <f t="shared" ref="V32:V37" si="17">($V$10/$AF$29)</f>
        <v>27.25</v>
      </c>
      <c r="W32" s="321">
        <f>$W$10/AD32</f>
        <v>0</v>
      </c>
      <c r="X32" s="321">
        <f t="shared" ref="X32:X37" ca="1" si="18">N32*$X$10</f>
        <v>0.58045000000000002</v>
      </c>
      <c r="Y32" s="321">
        <f t="shared" ref="Y32:Y37" si="19">$Y$10/AD32</f>
        <v>0</v>
      </c>
      <c r="Z32" s="321">
        <f ca="1">IF($G32="ManTech",(SUM($N32:$Y32)*(VLOOKUP($L32,$L$9:$AB$24,Z$6,FALSE))),(IF(R32=0,((SUM(N32,#REF!))*(VLOOKUP($L32,$L$9:$AB$24,Z$6,FALSE))),(SUM($R32:$R32)*(VLOOKUP($L32,$L$9:$AB$24,Z$6,FALSE))))))</f>
        <v>6.3588166659864003</v>
      </c>
      <c r="AA32" s="321">
        <f ca="1">SUM(N32:Z32)</f>
        <v>75.177178851986397</v>
      </c>
      <c r="AB32" s="321">
        <f t="shared" ref="AB32:AB46" ca="1" si="20">(AA32*(VLOOKUP($L32,$L$9:$AB$24,AB$6,FALSE)))</f>
        <v>6.0141743081589123</v>
      </c>
      <c r="AC32" s="321">
        <f ca="1">ROUND(SUM(AA32:AB32),2)</f>
        <v>81.19</v>
      </c>
      <c r="AD32" s="214">
        <f>8*12</f>
        <v>96</v>
      </c>
      <c r="AE32" s="336">
        <f t="shared" ref="AE32:AE49" ca="1" si="21">$AC32*$AD32</f>
        <v>7794.24</v>
      </c>
      <c r="AF32" s="1036">
        <f ca="1">AC32*$AF$29</f>
        <v>649.52</v>
      </c>
      <c r="AG32" s="323"/>
      <c r="AH32" s="323"/>
      <c r="AI32" s="323">
        <f ca="1">AA32*AD32</f>
        <v>7217.0091697906937</v>
      </c>
      <c r="AJ32" s="323">
        <f ca="1">AC32*AD32</f>
        <v>7794.24</v>
      </c>
      <c r="AK32" s="323">
        <f ca="1">AJ32-AI32</f>
        <v>577.23083020930608</v>
      </c>
      <c r="AL32" s="20">
        <f ca="1">IF(AK32=0,0,ROUND(AK32/AI32,2))</f>
        <v>0.08</v>
      </c>
      <c r="AM32" s="323"/>
      <c r="AN32" s="323"/>
      <c r="AO32" s="323"/>
      <c r="AP32" s="323"/>
      <c r="AQ32" s="323"/>
      <c r="AR32" s="323"/>
      <c r="AS32" s="323"/>
      <c r="AT32" s="323"/>
      <c r="AU32" s="60"/>
      <c r="AV32" s="324"/>
      <c r="AW32" s="325"/>
      <c r="AZ32" s="251" t="str">
        <f ca="1">IF((OR((AC32=""),(AC32&gt;0))),"1","0")</f>
        <v>1</v>
      </c>
      <c r="BA32" s="251" t="str">
        <f ca="1">IF((OR((AE32=""),(AE32&gt;0))),"1","0")</f>
        <v>1</v>
      </c>
    </row>
    <row r="33" spans="4:53">
      <c r="D33" s="8">
        <f>D32+1</f>
        <v>2</v>
      </c>
      <c r="E33" s="319" t="str">
        <f t="shared" si="8"/>
        <v>Functional Services Administrator</v>
      </c>
      <c r="F33" s="8"/>
      <c r="G33" s="363" t="str">
        <f>+InputSheet!E174</f>
        <v>ManTech</v>
      </c>
      <c r="H33" s="8"/>
      <c r="I33" s="320">
        <f t="shared" si="9"/>
        <v>0</v>
      </c>
      <c r="J33" s="198" t="str">
        <f t="shared" ref="J33:J46" si="22">G33&amp;D33&amp;I33&amp;L33</f>
        <v>ManTech20Govt</v>
      </c>
      <c r="K33" s="198"/>
      <c r="L33" s="363" t="s">
        <v>623</v>
      </c>
      <c r="M33" s="321">
        <f>IF(G33="ManTech",(VLOOKUP($D33,DL,6,FALSE)),(INDEX('Sub Rates'!$F$9:$IK$48,MATCH(($E33&amp;$L33),'Sub Rates'!$E$9:$E$48,0),MATCH(($E$8&amp;$G33),'Sub Rates'!$F$8:$IK$8,0))))</f>
        <v>33.81</v>
      </c>
      <c r="N33" s="321">
        <f t="shared" ca="1" si="10"/>
        <v>35.619999999999997</v>
      </c>
      <c r="O33" s="321">
        <f t="shared" ca="1" si="11"/>
        <v>0</v>
      </c>
      <c r="P33" s="321">
        <f t="shared" ca="1" si="11"/>
        <v>0</v>
      </c>
      <c r="Q33" s="321">
        <f t="shared" ca="1" si="12"/>
        <v>11.127687999999999</v>
      </c>
      <c r="R33" s="321">
        <f t="shared" ca="1" si="13"/>
        <v>1.0424734423999999</v>
      </c>
      <c r="S33" s="321">
        <f t="shared" si="14"/>
        <v>0</v>
      </c>
      <c r="T33" s="321">
        <f t="shared" si="15"/>
        <v>0</v>
      </c>
      <c r="U33" s="321">
        <f t="shared" si="16"/>
        <v>0</v>
      </c>
      <c r="V33" s="321">
        <f t="shared" si="17"/>
        <v>27.25</v>
      </c>
      <c r="W33" s="321">
        <f t="shared" ref="W33:W46" si="23">$W$10/AD33</f>
        <v>0</v>
      </c>
      <c r="X33" s="321">
        <f t="shared" ca="1" si="18"/>
        <v>0.67677999999999994</v>
      </c>
      <c r="Y33" s="321">
        <f t="shared" si="19"/>
        <v>0</v>
      </c>
      <c r="Z33" s="321">
        <f ca="1">IF($G33="ManTech",(SUM($N33:$Y33)*(VLOOKUP($L33,$L$9:$AB$24,Z$6,FALSE))),(IF(R33=0,((SUM(N33,#REF!))*(VLOOKUP($L33,$L$9:$AB$24,Z$6,FALSE))),(SUM($R33:$R33)*(VLOOKUP($L33,$L$9:$AB$24,Z$6,FALSE))))))</f>
        <v>6.9962453892777594</v>
      </c>
      <c r="AA33" s="321">
        <f t="shared" ref="AA33:AA46" ca="1" si="24">SUM(N33:Z33)</f>
        <v>82.71318683167776</v>
      </c>
      <c r="AB33" s="321">
        <f t="shared" ca="1" si="20"/>
        <v>6.6170549465342212</v>
      </c>
      <c r="AC33" s="321">
        <f t="shared" ref="AC33:AC46" ca="1" si="25">ROUND(SUM(AA33:AB33),2)</f>
        <v>89.33</v>
      </c>
      <c r="AD33" s="214">
        <f t="shared" ref="AD33:AD46" si="26">8*12</f>
        <v>96</v>
      </c>
      <c r="AE33" s="336">
        <f t="shared" ca="1" si="21"/>
        <v>8575.68</v>
      </c>
      <c r="AF33" s="1036">
        <f t="shared" ref="AF33:AF46" ca="1" si="27">AC33*$AF$29</f>
        <v>714.64</v>
      </c>
      <c r="AG33" s="323"/>
      <c r="AH33" s="323"/>
      <c r="AI33" s="323">
        <f t="shared" ref="AI33:AI46" ca="1" si="28">AA33*AD33</f>
        <v>7940.4659358410645</v>
      </c>
      <c r="AJ33" s="323">
        <f t="shared" ref="AJ33:AJ46" ca="1" si="29">AC33*AD33</f>
        <v>8575.68</v>
      </c>
      <c r="AK33" s="323">
        <f t="shared" ref="AK33:AK46" ca="1" si="30">AJ33-AI33</f>
        <v>635.2140641589358</v>
      </c>
      <c r="AL33" s="20">
        <f t="shared" ref="AL33:AL46" ca="1" si="31">IF(AK33=0,0,ROUND(AK33/AI33,2))</f>
        <v>0.08</v>
      </c>
      <c r="AM33" s="323"/>
      <c r="AN33" s="323"/>
      <c r="AO33" s="323"/>
      <c r="AP33" s="323"/>
      <c r="AQ33" s="323"/>
      <c r="AR33" s="323"/>
      <c r="AS33" s="323"/>
      <c r="AT33" s="323"/>
      <c r="AU33" s="60"/>
      <c r="AV33" s="324"/>
      <c r="AW33" s="325"/>
      <c r="AZ33" s="251" t="str">
        <f t="shared" ref="AZ33:AZ91" ca="1" si="32">IF((OR((AC33=""),(AC33&gt;0))),"1","0")</f>
        <v>1</v>
      </c>
      <c r="BA33" s="251" t="str">
        <f t="shared" ref="BA33:BA91" ca="1" si="33">IF((OR((AE33=""),(AE33&gt;0))),"1","0")</f>
        <v>1</v>
      </c>
    </row>
    <row r="34" spans="4:53">
      <c r="D34" s="8">
        <f t="shared" ref="D34:D42" si="34">D33+1</f>
        <v>3</v>
      </c>
      <c r="E34" s="319" t="str">
        <f t="shared" si="8"/>
        <v>Functional Services Administrator</v>
      </c>
      <c r="F34" s="8"/>
      <c r="G34" s="363" t="str">
        <f>+InputSheet!E175</f>
        <v>ManTech</v>
      </c>
      <c r="H34" s="8"/>
      <c r="I34" s="320">
        <f t="shared" si="9"/>
        <v>0</v>
      </c>
      <c r="J34" s="198" t="str">
        <f t="shared" si="22"/>
        <v>ManTech30Govt</v>
      </c>
      <c r="K34" s="198"/>
      <c r="L34" s="363" t="s">
        <v>623</v>
      </c>
      <c r="M34" s="321">
        <f>IF(G34="ManTech",(VLOOKUP($D34,DL,6,FALSE)),(INDEX('Sub Rates'!$F$9:$IK$48,MATCH(($E34&amp;$L34),'Sub Rates'!$E$9:$E$48,0),MATCH(($E$8&amp;$G34),'Sub Rates'!$F$8:$IK$8,0))))</f>
        <v>33.81</v>
      </c>
      <c r="N34" s="321">
        <f t="shared" ca="1" si="10"/>
        <v>35.619999999999997</v>
      </c>
      <c r="O34" s="321">
        <f t="shared" ca="1" si="11"/>
        <v>0</v>
      </c>
      <c r="P34" s="321">
        <f t="shared" ca="1" si="11"/>
        <v>0</v>
      </c>
      <c r="Q34" s="321">
        <f t="shared" ca="1" si="12"/>
        <v>11.127687999999999</v>
      </c>
      <c r="R34" s="321">
        <f t="shared" ca="1" si="13"/>
        <v>1.0424734423999999</v>
      </c>
      <c r="S34" s="321">
        <f t="shared" si="14"/>
        <v>0</v>
      </c>
      <c r="T34" s="321">
        <f t="shared" si="15"/>
        <v>0</v>
      </c>
      <c r="U34" s="321">
        <f t="shared" si="16"/>
        <v>0</v>
      </c>
      <c r="V34" s="321">
        <f t="shared" si="17"/>
        <v>27.25</v>
      </c>
      <c r="W34" s="321">
        <f t="shared" si="23"/>
        <v>0</v>
      </c>
      <c r="X34" s="321">
        <f t="shared" ca="1" si="18"/>
        <v>0.67677999999999994</v>
      </c>
      <c r="Y34" s="321">
        <f t="shared" si="19"/>
        <v>0</v>
      </c>
      <c r="Z34" s="321">
        <f ca="1">IF($G34="ManTech",(SUM($N34:$Y34)*(VLOOKUP($L34,$L$9:$AB$24,Z$6,FALSE))),(IF(R34=0,((SUM(N34,#REF!))*(VLOOKUP($L34,$L$9:$AB$24,Z$6,FALSE))),(SUM($R34:$R34)*(VLOOKUP($L34,$L$9:$AB$24,Z$6,FALSE))))))</f>
        <v>6.9962453892777594</v>
      </c>
      <c r="AA34" s="321">
        <f t="shared" ca="1" si="24"/>
        <v>82.71318683167776</v>
      </c>
      <c r="AB34" s="321">
        <f t="shared" ca="1" si="20"/>
        <v>6.6170549465342212</v>
      </c>
      <c r="AC34" s="321">
        <f t="shared" ca="1" si="25"/>
        <v>89.33</v>
      </c>
      <c r="AD34" s="214">
        <f t="shared" si="26"/>
        <v>96</v>
      </c>
      <c r="AE34" s="336">
        <f t="shared" ca="1" si="21"/>
        <v>8575.68</v>
      </c>
      <c r="AF34" s="1036">
        <f t="shared" ca="1" si="27"/>
        <v>714.64</v>
      </c>
      <c r="AG34" s="323"/>
      <c r="AH34" s="323"/>
      <c r="AI34" s="323">
        <f t="shared" ca="1" si="28"/>
        <v>7940.4659358410645</v>
      </c>
      <c r="AJ34" s="323">
        <f t="shared" ca="1" si="29"/>
        <v>8575.68</v>
      </c>
      <c r="AK34" s="323">
        <f t="shared" ca="1" si="30"/>
        <v>635.2140641589358</v>
      </c>
      <c r="AL34" s="20">
        <f t="shared" ca="1" si="31"/>
        <v>0.08</v>
      </c>
      <c r="AM34" s="323"/>
      <c r="AN34" s="323"/>
      <c r="AO34" s="323"/>
      <c r="AP34" s="323"/>
      <c r="AQ34" s="323"/>
      <c r="AR34" s="323"/>
      <c r="AS34" s="323"/>
      <c r="AT34" s="323"/>
      <c r="AU34" s="60"/>
      <c r="AV34" s="324"/>
      <c r="AW34" s="325"/>
      <c r="AZ34" s="251" t="str">
        <f t="shared" ca="1" si="32"/>
        <v>1</v>
      </c>
      <c r="BA34" s="251" t="str">
        <f t="shared" ca="1" si="33"/>
        <v>1</v>
      </c>
    </row>
    <row r="35" spans="4:53">
      <c r="D35" s="8">
        <f t="shared" si="34"/>
        <v>4</v>
      </c>
      <c r="E35" s="319" t="str">
        <f t="shared" si="8"/>
        <v>Functional Services Administrator</v>
      </c>
      <c r="F35" s="8"/>
      <c r="G35" s="363" t="str">
        <f>+InputSheet!E176</f>
        <v>ManTech</v>
      </c>
      <c r="H35" s="8"/>
      <c r="I35" s="320">
        <f t="shared" si="9"/>
        <v>0</v>
      </c>
      <c r="J35" s="198" t="str">
        <f t="shared" si="22"/>
        <v>ManTech40Govt</v>
      </c>
      <c r="K35" s="198"/>
      <c r="L35" s="363" t="s">
        <v>623</v>
      </c>
      <c r="M35" s="321">
        <f>IF(G35="ManTech",(VLOOKUP($D35,DL,6,FALSE)),(INDEX('Sub Rates'!$F$9:$IK$48,MATCH(($E35&amp;$L35),'Sub Rates'!$E$9:$E$48,0),MATCH(($E$8&amp;$G35),'Sub Rates'!$F$8:$IK$8,0))))</f>
        <v>33.81</v>
      </c>
      <c r="N35" s="321">
        <f t="shared" ca="1" si="10"/>
        <v>35.619999999999997</v>
      </c>
      <c r="O35" s="321">
        <f t="shared" ca="1" si="11"/>
        <v>0</v>
      </c>
      <c r="P35" s="321">
        <f t="shared" ca="1" si="11"/>
        <v>0</v>
      </c>
      <c r="Q35" s="321">
        <f t="shared" ca="1" si="12"/>
        <v>11.127687999999999</v>
      </c>
      <c r="R35" s="321">
        <f t="shared" ca="1" si="13"/>
        <v>1.0424734423999999</v>
      </c>
      <c r="S35" s="321">
        <f t="shared" si="14"/>
        <v>0</v>
      </c>
      <c r="T35" s="321">
        <f t="shared" si="15"/>
        <v>0</v>
      </c>
      <c r="U35" s="321">
        <f t="shared" si="16"/>
        <v>0</v>
      </c>
      <c r="V35" s="321">
        <f t="shared" si="17"/>
        <v>27.25</v>
      </c>
      <c r="W35" s="321">
        <f>$W$10/AD35</f>
        <v>0</v>
      </c>
      <c r="X35" s="321">
        <f t="shared" ca="1" si="18"/>
        <v>0.67677999999999994</v>
      </c>
      <c r="Y35" s="321">
        <f t="shared" si="19"/>
        <v>0</v>
      </c>
      <c r="Z35" s="321">
        <f ca="1">IF($G35="ManTech",(SUM($N35:$Y35)*(VLOOKUP($L35,$L$9:$AB$24,Z$6,FALSE))),(IF(R35=0,((SUM(N35,#REF!))*(VLOOKUP($L35,$L$9:$AB$24,Z$6,FALSE))),(SUM($R35:$R35)*(VLOOKUP($L35,$L$9:$AB$24,Z$6,FALSE))))))</f>
        <v>6.9962453892777594</v>
      </c>
      <c r="AA35" s="321">
        <f t="shared" ca="1" si="24"/>
        <v>82.71318683167776</v>
      </c>
      <c r="AB35" s="321">
        <f t="shared" ca="1" si="20"/>
        <v>6.6170549465342212</v>
      </c>
      <c r="AC35" s="321">
        <f t="shared" ca="1" si="25"/>
        <v>89.33</v>
      </c>
      <c r="AD35" s="214">
        <f t="shared" si="26"/>
        <v>96</v>
      </c>
      <c r="AE35" s="336">
        <f t="shared" ca="1" si="21"/>
        <v>8575.68</v>
      </c>
      <c r="AF35" s="1036">
        <f t="shared" ca="1" si="27"/>
        <v>714.64</v>
      </c>
      <c r="AG35" s="323"/>
      <c r="AH35" s="323"/>
      <c r="AI35" s="323">
        <f t="shared" ca="1" si="28"/>
        <v>7940.4659358410645</v>
      </c>
      <c r="AJ35" s="323">
        <f t="shared" ca="1" si="29"/>
        <v>8575.68</v>
      </c>
      <c r="AK35" s="323">
        <f t="shared" ca="1" si="30"/>
        <v>635.2140641589358</v>
      </c>
      <c r="AL35" s="20">
        <f t="shared" ca="1" si="31"/>
        <v>0.08</v>
      </c>
      <c r="AM35" s="323"/>
      <c r="AN35" s="323"/>
      <c r="AO35" s="323"/>
      <c r="AP35" s="323"/>
      <c r="AQ35" s="323"/>
      <c r="AR35" s="323"/>
      <c r="AS35" s="323"/>
      <c r="AT35" s="323"/>
      <c r="AU35" s="60"/>
      <c r="AV35" s="324"/>
      <c r="AW35" s="325"/>
      <c r="AZ35" s="251" t="str">
        <f t="shared" ca="1" si="32"/>
        <v>1</v>
      </c>
      <c r="BA35" s="251" t="str">
        <f t="shared" ca="1" si="33"/>
        <v>1</v>
      </c>
    </row>
    <row r="36" spans="4:53">
      <c r="D36" s="8">
        <f t="shared" si="34"/>
        <v>5</v>
      </c>
      <c r="E36" s="319" t="str">
        <f t="shared" si="8"/>
        <v>Service Desk</v>
      </c>
      <c r="F36" s="8"/>
      <c r="G36" s="363" t="str">
        <f>+InputSheet!E177</f>
        <v>ManTech</v>
      </c>
      <c r="H36" s="8"/>
      <c r="I36" s="320">
        <f t="shared" si="9"/>
        <v>0</v>
      </c>
      <c r="J36" s="198" t="str">
        <f t="shared" si="22"/>
        <v>ManTech50Govt</v>
      </c>
      <c r="K36" s="198"/>
      <c r="L36" s="363" t="s">
        <v>623</v>
      </c>
      <c r="M36" s="321">
        <f>IF(G36="ManTech",(VLOOKUP($D36,DL,6,FALSE)),(INDEX('Sub Rates'!$F$9:$IK$48,MATCH(($E36&amp;$L36),'Sub Rates'!$E$9:$E$48,0),MATCH(($E$8&amp;$G36),'Sub Rates'!$F$8:$IK$8,0))))</f>
        <v>26</v>
      </c>
      <c r="N36" s="321">
        <f t="shared" ca="1" si="10"/>
        <v>27.39</v>
      </c>
      <c r="O36" s="321">
        <f t="shared" ca="1" si="11"/>
        <v>0</v>
      </c>
      <c r="P36" s="321">
        <f t="shared" ca="1" si="11"/>
        <v>0</v>
      </c>
      <c r="Q36" s="321">
        <f t="shared" ca="1" si="12"/>
        <v>8.556636000000001</v>
      </c>
      <c r="R36" s="321">
        <f t="shared" ca="1" si="13"/>
        <v>0.80160998279999995</v>
      </c>
      <c r="S36" s="321">
        <f t="shared" si="14"/>
        <v>0</v>
      </c>
      <c r="T36" s="321">
        <f t="shared" si="15"/>
        <v>0</v>
      </c>
      <c r="U36" s="321">
        <f t="shared" si="16"/>
        <v>0</v>
      </c>
      <c r="V36" s="321">
        <f t="shared" si="17"/>
        <v>27.25</v>
      </c>
      <c r="W36" s="321">
        <f t="shared" si="23"/>
        <v>0</v>
      </c>
      <c r="X36" s="321">
        <f t="shared" ca="1" si="18"/>
        <v>0.52041000000000004</v>
      </c>
      <c r="Y36" s="321">
        <f t="shared" si="19"/>
        <v>0</v>
      </c>
      <c r="Z36" s="321">
        <f ca="1">IF($G36="ManTech",(SUM($N36:$Y36)*(VLOOKUP($L36,$L$9:$AB$24,Z$6,FALSE))),(IF(R36=0,((SUM(N36,#REF!))*(VLOOKUP($L36,$L$9:$AB$24,Z$6,FALSE))),(SUM($R36:$R36)*(VLOOKUP($L36,$L$9:$AB$24,Z$6,FALSE))))))</f>
        <v>5.9615238128107197</v>
      </c>
      <c r="AA36" s="321">
        <f t="shared" ca="1" si="24"/>
        <v>70.480179795610724</v>
      </c>
      <c r="AB36" s="321">
        <f t="shared" ca="1" si="20"/>
        <v>5.6384143836488576</v>
      </c>
      <c r="AC36" s="321">
        <f t="shared" ca="1" si="25"/>
        <v>76.12</v>
      </c>
      <c r="AD36" s="214">
        <f t="shared" si="26"/>
        <v>96</v>
      </c>
      <c r="AE36" s="336">
        <f t="shared" ca="1" si="21"/>
        <v>7307.52</v>
      </c>
      <c r="AF36" s="1036">
        <f t="shared" ca="1" si="27"/>
        <v>608.96</v>
      </c>
      <c r="AG36" s="323"/>
      <c r="AH36" s="323"/>
      <c r="AI36" s="323">
        <f t="shared" ca="1" si="28"/>
        <v>6766.0972603786295</v>
      </c>
      <c r="AJ36" s="323">
        <f t="shared" ca="1" si="29"/>
        <v>7307.52</v>
      </c>
      <c r="AK36" s="323">
        <f t="shared" ca="1" si="30"/>
        <v>541.42273962137097</v>
      </c>
      <c r="AL36" s="20">
        <f t="shared" ca="1" si="31"/>
        <v>0.08</v>
      </c>
      <c r="AM36" s="323"/>
      <c r="AN36" s="323"/>
      <c r="AO36" s="323"/>
      <c r="AP36" s="323"/>
      <c r="AQ36" s="323"/>
      <c r="AR36" s="323"/>
      <c r="AS36" s="323"/>
      <c r="AT36" s="323"/>
      <c r="AU36" s="60"/>
      <c r="AV36" s="324"/>
      <c r="AW36" s="325"/>
      <c r="AZ36" s="251" t="str">
        <f t="shared" ca="1" si="32"/>
        <v>1</v>
      </c>
      <c r="BA36" s="251" t="str">
        <f t="shared" ca="1" si="33"/>
        <v>1</v>
      </c>
    </row>
    <row r="37" spans="4:53">
      <c r="D37" s="8">
        <f t="shared" si="34"/>
        <v>6</v>
      </c>
      <c r="E37" s="319" t="str">
        <f t="shared" si="8"/>
        <v>Service Desk</v>
      </c>
      <c r="F37" s="8"/>
      <c r="G37" s="363" t="str">
        <f>+InputSheet!E178</f>
        <v>ManTech</v>
      </c>
      <c r="H37" s="8"/>
      <c r="I37" s="320">
        <f t="shared" si="9"/>
        <v>0</v>
      </c>
      <c r="J37" s="198" t="str">
        <f t="shared" si="22"/>
        <v>ManTech60Govt</v>
      </c>
      <c r="K37" s="198"/>
      <c r="L37" s="363" t="s">
        <v>623</v>
      </c>
      <c r="M37" s="321">
        <f>IF(G37="ManTech",(VLOOKUP($D37,DL,6,FALSE)),(INDEX('Sub Rates'!$F$9:$IK$48,MATCH(($E37&amp;$L37),'Sub Rates'!$E$9:$E$48,0),MATCH(($E$8&amp;$G37),'Sub Rates'!$F$8:$IK$8,0))))</f>
        <v>26</v>
      </c>
      <c r="N37" s="321">
        <f t="shared" ca="1" si="10"/>
        <v>27.39</v>
      </c>
      <c r="O37" s="321">
        <f t="shared" ca="1" si="11"/>
        <v>0</v>
      </c>
      <c r="P37" s="321">
        <f t="shared" ca="1" si="11"/>
        <v>0</v>
      </c>
      <c r="Q37" s="321">
        <f t="shared" ca="1" si="12"/>
        <v>8.556636000000001</v>
      </c>
      <c r="R37" s="321">
        <f t="shared" ca="1" si="13"/>
        <v>0.80160998279999995</v>
      </c>
      <c r="S37" s="321">
        <f t="shared" si="14"/>
        <v>0</v>
      </c>
      <c r="T37" s="321">
        <f t="shared" si="15"/>
        <v>0</v>
      </c>
      <c r="U37" s="321">
        <f t="shared" si="16"/>
        <v>0</v>
      </c>
      <c r="V37" s="321">
        <f t="shared" si="17"/>
        <v>27.25</v>
      </c>
      <c r="W37" s="321">
        <f t="shared" si="23"/>
        <v>0</v>
      </c>
      <c r="X37" s="321">
        <f t="shared" ca="1" si="18"/>
        <v>0.52041000000000004</v>
      </c>
      <c r="Y37" s="321">
        <f t="shared" si="19"/>
        <v>0</v>
      </c>
      <c r="Z37" s="321">
        <f ca="1">IF($G37="ManTech",(SUM($N37:$Y37)*(VLOOKUP($L37,$L$9:$AB$24,Z$6,FALSE))),(IF(R37=0,((SUM(N37,#REF!))*(VLOOKUP($L37,$L$9:$AB$24,Z$6,FALSE))),(SUM($R37:$R37)*(VLOOKUP($L37,$L$9:$AB$24,Z$6,FALSE))))))</f>
        <v>5.9615238128107197</v>
      </c>
      <c r="AA37" s="321">
        <f t="shared" ca="1" si="24"/>
        <v>70.480179795610724</v>
      </c>
      <c r="AB37" s="321">
        <f t="shared" ca="1" si="20"/>
        <v>5.6384143836488576</v>
      </c>
      <c r="AC37" s="321">
        <f ca="1">ROUND(SUM(AA37:AB37),2)</f>
        <v>76.12</v>
      </c>
      <c r="AD37" s="214">
        <f t="shared" si="26"/>
        <v>96</v>
      </c>
      <c r="AE37" s="336">
        <f t="shared" ca="1" si="21"/>
        <v>7307.52</v>
      </c>
      <c r="AF37" s="1036">
        <f t="shared" ca="1" si="27"/>
        <v>608.96</v>
      </c>
      <c r="AG37" s="323"/>
      <c r="AH37" s="323"/>
      <c r="AI37" s="323">
        <f t="shared" ca="1" si="28"/>
        <v>6766.0972603786295</v>
      </c>
      <c r="AJ37" s="323">
        <f t="shared" ca="1" si="29"/>
        <v>7307.52</v>
      </c>
      <c r="AK37" s="323">
        <f t="shared" ca="1" si="30"/>
        <v>541.42273962137097</v>
      </c>
      <c r="AL37" s="20">
        <f t="shared" ca="1" si="31"/>
        <v>0.08</v>
      </c>
      <c r="AM37" s="323"/>
      <c r="AN37" s="323"/>
      <c r="AO37" s="323"/>
      <c r="AP37" s="323"/>
      <c r="AQ37" s="323"/>
      <c r="AR37" s="323"/>
      <c r="AS37" s="323"/>
      <c r="AT37" s="323"/>
      <c r="AU37" s="60"/>
      <c r="AV37" s="324"/>
      <c r="AW37" s="325"/>
      <c r="AZ37" s="251" t="str">
        <f t="shared" ca="1" si="32"/>
        <v>1</v>
      </c>
      <c r="BA37" s="251" t="str">
        <f t="shared" ca="1" si="33"/>
        <v>1</v>
      </c>
    </row>
    <row r="38" spans="4:53">
      <c r="D38" s="8">
        <f t="shared" si="34"/>
        <v>7</v>
      </c>
      <c r="E38" s="319" t="str">
        <f t="shared" si="8"/>
        <v>CIS Training Supervisor</v>
      </c>
      <c r="F38" s="8"/>
      <c r="G38" s="363" t="str">
        <f>+InputSheet!E179</f>
        <v>Segovia, Inc.</v>
      </c>
      <c r="H38" s="8"/>
      <c r="I38" s="320">
        <f t="shared" si="9"/>
        <v>0</v>
      </c>
      <c r="J38" s="198" t="str">
        <f t="shared" si="22"/>
        <v>Segovia, Inc.70Govt_Sub</v>
      </c>
      <c r="K38" s="198"/>
      <c r="L38" s="363" t="s">
        <v>684</v>
      </c>
      <c r="M38" s="321">
        <f>VLOOKUP($E38,InputSheet!$C$179:$AA$182,25,FALSE)</f>
        <v>921</v>
      </c>
      <c r="N38" s="321">
        <f t="shared" ca="1" si="10"/>
        <v>921</v>
      </c>
      <c r="O38" s="321">
        <f t="shared" ca="1" si="11"/>
        <v>0</v>
      </c>
      <c r="P38" s="321">
        <f t="shared" ca="1" si="11"/>
        <v>0</v>
      </c>
      <c r="Q38" s="321">
        <f t="shared" ca="1" si="12"/>
        <v>0</v>
      </c>
      <c r="R38" s="321">
        <f t="shared" ca="1" si="13"/>
        <v>27.5379</v>
      </c>
      <c r="S38" s="321"/>
      <c r="T38" s="321"/>
      <c r="U38" s="321">
        <v>0</v>
      </c>
      <c r="V38" s="321">
        <v>0</v>
      </c>
      <c r="W38" s="321">
        <v>0</v>
      </c>
      <c r="X38" s="321">
        <v>0</v>
      </c>
      <c r="Y38" s="321">
        <v>0</v>
      </c>
      <c r="Z38" s="321">
        <f ca="1">IF($G38="ManTech",(SUM($N38:$Y38)*(VLOOKUP($L38,$L$9:$AB$24,Z$6,FALSE))),(IF(R38=0,((SUM(N38,#REF!))*(VLOOKUP($L38,$L$9:$AB$24,Z$6,FALSE))),(SUM($R38:$R38)*(VLOOKUP($L38,$L$9:$AB$24,Z$6,FALSE))))))</f>
        <v>2.5445019599999998</v>
      </c>
      <c r="AA38" s="321">
        <f t="shared" ca="1" si="24"/>
        <v>951.08240196000008</v>
      </c>
      <c r="AB38" s="321">
        <f t="shared" ca="1" si="20"/>
        <v>76.086592156800009</v>
      </c>
      <c r="AC38" s="321">
        <f t="shared" ca="1" si="25"/>
        <v>1027.17</v>
      </c>
      <c r="AD38" s="214">
        <v>1</v>
      </c>
      <c r="AE38" s="336">
        <f t="shared" ca="1" si="21"/>
        <v>1027.17</v>
      </c>
      <c r="AF38" s="1036">
        <f ca="1">AE38</f>
        <v>1027.17</v>
      </c>
      <c r="AG38" s="323"/>
      <c r="AH38" s="323"/>
      <c r="AI38" s="323">
        <f t="shared" ca="1" si="28"/>
        <v>951.08240196000008</v>
      </c>
      <c r="AJ38" s="323">
        <f t="shared" ca="1" si="29"/>
        <v>1027.17</v>
      </c>
      <c r="AK38" s="323">
        <f t="shared" ca="1" si="30"/>
        <v>76.087598039999989</v>
      </c>
      <c r="AL38" s="20">
        <f t="shared" ca="1" si="31"/>
        <v>0.08</v>
      </c>
      <c r="AM38" s="323"/>
      <c r="AN38" s="323"/>
      <c r="AO38" s="323"/>
      <c r="AP38" s="323"/>
      <c r="AQ38" s="323"/>
      <c r="AR38" s="323"/>
      <c r="AS38" s="323"/>
      <c r="AT38" s="323"/>
      <c r="AU38" s="60"/>
      <c r="AV38" s="324"/>
      <c r="AW38" s="325"/>
      <c r="AZ38" s="251" t="str">
        <f t="shared" ca="1" si="32"/>
        <v>1</v>
      </c>
      <c r="BA38" s="251" t="str">
        <f t="shared" ca="1" si="33"/>
        <v>1</v>
      </c>
    </row>
    <row r="39" spans="4:53">
      <c r="D39" s="8">
        <f t="shared" si="34"/>
        <v>8</v>
      </c>
      <c r="E39" s="319" t="str">
        <f t="shared" si="8"/>
        <v>CIS Trainer</v>
      </c>
      <c r="F39" s="8"/>
      <c r="G39" s="363" t="str">
        <f>+InputSheet!E180</f>
        <v>Segovia, Inc.</v>
      </c>
      <c r="H39" s="8"/>
      <c r="I39" s="320">
        <f t="shared" si="9"/>
        <v>0</v>
      </c>
      <c r="J39" s="198" t="str">
        <f t="shared" si="22"/>
        <v>Segovia, Inc.80Govt_Sub</v>
      </c>
      <c r="K39" s="198"/>
      <c r="L39" s="363" t="s">
        <v>684</v>
      </c>
      <c r="M39" s="321">
        <f>VLOOKUP($E39,InputSheet!$C$179:$AA$182,25,FALSE)</f>
        <v>785</v>
      </c>
      <c r="N39" s="321">
        <f t="shared" ca="1" si="10"/>
        <v>785</v>
      </c>
      <c r="O39" s="321">
        <f t="shared" ca="1" si="11"/>
        <v>0</v>
      </c>
      <c r="P39" s="321">
        <f t="shared" ca="1" si="11"/>
        <v>0</v>
      </c>
      <c r="Q39" s="321">
        <f t="shared" ca="1" si="12"/>
        <v>0</v>
      </c>
      <c r="R39" s="321">
        <f t="shared" ca="1" si="13"/>
        <v>23.471499999999999</v>
      </c>
      <c r="S39" s="321"/>
      <c r="T39" s="321"/>
      <c r="U39" s="321">
        <v>0</v>
      </c>
      <c r="V39" s="321">
        <v>0</v>
      </c>
      <c r="W39" s="321">
        <v>0</v>
      </c>
      <c r="X39" s="321">
        <v>0</v>
      </c>
      <c r="Y39" s="321">
        <v>0</v>
      </c>
      <c r="Z39" s="321">
        <f ca="1">IF($G39="ManTech",(SUM($N39:$Y39)*(VLOOKUP($L39,$L$9:$AB$24,Z$6,FALSE))),(IF(R39=0,((SUM(N39,#REF!))*(VLOOKUP($L39,$L$9:$AB$24,Z$6,FALSE))),(SUM($R39:$R39)*(VLOOKUP($L39,$L$9:$AB$24,Z$6,FALSE))))))</f>
        <v>2.1687665999999997</v>
      </c>
      <c r="AA39" s="321">
        <f t="shared" ca="1" si="24"/>
        <v>810.64026660000002</v>
      </c>
      <c r="AB39" s="321">
        <f t="shared" ca="1" si="20"/>
        <v>64.851221328000008</v>
      </c>
      <c r="AC39" s="321">
        <f t="shared" ca="1" si="25"/>
        <v>875.49</v>
      </c>
      <c r="AD39" s="214">
        <v>1</v>
      </c>
      <c r="AE39" s="336">
        <f t="shared" ca="1" si="21"/>
        <v>875.49</v>
      </c>
      <c r="AF39" s="1036">
        <f ca="1">AE39</f>
        <v>875.49</v>
      </c>
      <c r="AG39" s="323"/>
      <c r="AH39" s="323"/>
      <c r="AI39" s="323">
        <f t="shared" ca="1" si="28"/>
        <v>810.64026660000002</v>
      </c>
      <c r="AJ39" s="323">
        <f t="shared" ca="1" si="29"/>
        <v>875.49</v>
      </c>
      <c r="AK39" s="323">
        <f t="shared" ca="1" si="30"/>
        <v>64.849733399999991</v>
      </c>
      <c r="AL39" s="20">
        <f t="shared" ca="1" si="31"/>
        <v>0.08</v>
      </c>
      <c r="AM39" s="323"/>
      <c r="AN39" s="323"/>
      <c r="AO39" s="323"/>
      <c r="AP39" s="323"/>
      <c r="AQ39" s="323"/>
      <c r="AR39" s="323"/>
      <c r="AS39" s="323"/>
      <c r="AT39" s="323"/>
      <c r="AU39" s="60"/>
      <c r="AV39" s="324"/>
      <c r="AW39" s="325"/>
      <c r="AZ39" s="251" t="str">
        <f t="shared" ca="1" si="32"/>
        <v>1</v>
      </c>
      <c r="BA39" s="251" t="str">
        <f t="shared" ca="1" si="33"/>
        <v>1</v>
      </c>
    </row>
    <row r="40" spans="4:53">
      <c r="D40" s="8">
        <f t="shared" si="34"/>
        <v>9</v>
      </c>
      <c r="E40" s="319" t="str">
        <f t="shared" si="8"/>
        <v>Radio Technician</v>
      </c>
      <c r="F40" s="8"/>
      <c r="G40" s="363" t="str">
        <f>+InputSheet!E181</f>
        <v>Segovia, Inc.</v>
      </c>
      <c r="H40" s="8"/>
      <c r="I40" s="320">
        <f t="shared" si="9"/>
        <v>0</v>
      </c>
      <c r="J40" s="198" t="str">
        <f t="shared" si="22"/>
        <v>Segovia, Inc.90Govt_Sub</v>
      </c>
      <c r="K40" s="198"/>
      <c r="L40" s="363" t="s">
        <v>684</v>
      </c>
      <c r="M40" s="321">
        <f>VLOOKUP($E40,InputSheet!$C$179:$AA$182,25,FALSE)</f>
        <v>689</v>
      </c>
      <c r="N40" s="321">
        <f t="shared" ca="1" si="10"/>
        <v>689</v>
      </c>
      <c r="O40" s="321">
        <f t="shared" ca="1" si="11"/>
        <v>0</v>
      </c>
      <c r="P40" s="321">
        <f t="shared" ca="1" si="11"/>
        <v>0</v>
      </c>
      <c r="Q40" s="321">
        <f t="shared" ca="1" si="12"/>
        <v>0</v>
      </c>
      <c r="R40" s="321">
        <f t="shared" ca="1" si="13"/>
        <v>20.601099999999999</v>
      </c>
      <c r="S40" s="321"/>
      <c r="T40" s="321"/>
      <c r="U40" s="321">
        <v>0</v>
      </c>
      <c r="V40" s="321">
        <v>0</v>
      </c>
      <c r="W40" s="321">
        <v>0</v>
      </c>
      <c r="X40" s="321">
        <v>0</v>
      </c>
      <c r="Y40" s="321">
        <v>0</v>
      </c>
      <c r="Z40" s="321">
        <f ca="1">IF($G40="ManTech",(SUM($N40:$Y40)*(VLOOKUP($L40,$L$9:$AB$24,Z$6,FALSE))),(IF(R40=0,((SUM(N40,#REF!))*(VLOOKUP($L40,$L$9:$AB$24,Z$6,FALSE))),(SUM($R40:$R40)*(VLOOKUP($L40,$L$9:$AB$24,Z$6,FALSE))))))</f>
        <v>1.9035416399999998</v>
      </c>
      <c r="AA40" s="321">
        <f t="shared" ca="1" si="24"/>
        <v>711.50464163999993</v>
      </c>
      <c r="AB40" s="321">
        <f t="shared" ca="1" si="20"/>
        <v>56.920371331199995</v>
      </c>
      <c r="AC40" s="321">
        <f t="shared" ca="1" si="25"/>
        <v>768.43</v>
      </c>
      <c r="AD40" s="214">
        <v>1</v>
      </c>
      <c r="AE40" s="336">
        <f t="shared" ca="1" si="21"/>
        <v>768.43</v>
      </c>
      <c r="AF40" s="1036">
        <f ca="1">AE40</f>
        <v>768.43</v>
      </c>
      <c r="AG40" s="323"/>
      <c r="AH40" s="323"/>
      <c r="AI40" s="323">
        <f t="shared" ca="1" si="28"/>
        <v>711.50464163999993</v>
      </c>
      <c r="AJ40" s="323">
        <f t="shared" ca="1" si="29"/>
        <v>768.43</v>
      </c>
      <c r="AK40" s="323">
        <f t="shared" ca="1" si="30"/>
        <v>56.925358360000018</v>
      </c>
      <c r="AL40" s="20">
        <f t="shared" ca="1" si="31"/>
        <v>0.08</v>
      </c>
      <c r="AM40" s="323"/>
      <c r="AN40" s="323"/>
      <c r="AO40" s="323"/>
      <c r="AP40" s="323"/>
      <c r="AQ40" s="323"/>
      <c r="AR40" s="323"/>
      <c r="AS40" s="323"/>
      <c r="AT40" s="323"/>
      <c r="AU40" s="60"/>
      <c r="AV40" s="324"/>
      <c r="AW40" s="325"/>
      <c r="AZ40" s="251" t="str">
        <f t="shared" ca="1" si="32"/>
        <v>1</v>
      </c>
      <c r="BA40" s="251" t="str">
        <f t="shared" ca="1" si="33"/>
        <v>1</v>
      </c>
    </row>
    <row r="41" spans="4:53">
      <c r="D41" s="8">
        <f t="shared" si="34"/>
        <v>10</v>
      </c>
      <c r="E41" s="319" t="str">
        <f t="shared" si="8"/>
        <v>Radio Technician</v>
      </c>
      <c r="F41" s="8"/>
      <c r="G41" s="363" t="str">
        <f>+InputSheet!E182</f>
        <v>Segovia, Inc.</v>
      </c>
      <c r="H41" s="8"/>
      <c r="I41" s="320">
        <f t="shared" si="9"/>
        <v>0</v>
      </c>
      <c r="J41" s="198" t="str">
        <f t="shared" si="22"/>
        <v>Segovia, Inc.100Govt_Sub</v>
      </c>
      <c r="K41" s="198"/>
      <c r="L41" s="363" t="s">
        <v>684</v>
      </c>
      <c r="M41" s="321">
        <f>VLOOKUP($E41,InputSheet!$C$179:$AA$182,25,FALSE)</f>
        <v>689</v>
      </c>
      <c r="N41" s="321">
        <f t="shared" ca="1" si="10"/>
        <v>689</v>
      </c>
      <c r="O41" s="321">
        <f t="shared" ca="1" si="11"/>
        <v>0</v>
      </c>
      <c r="P41" s="321">
        <f t="shared" ca="1" si="11"/>
        <v>0</v>
      </c>
      <c r="Q41" s="321">
        <f t="shared" ca="1" si="12"/>
        <v>0</v>
      </c>
      <c r="R41" s="321">
        <f t="shared" ca="1" si="13"/>
        <v>20.601099999999999</v>
      </c>
      <c r="S41" s="321"/>
      <c r="T41" s="321"/>
      <c r="U41" s="321">
        <v>0</v>
      </c>
      <c r="V41" s="321">
        <v>0</v>
      </c>
      <c r="W41" s="321">
        <v>0</v>
      </c>
      <c r="X41" s="321">
        <v>0</v>
      </c>
      <c r="Y41" s="321">
        <v>0</v>
      </c>
      <c r="Z41" s="321">
        <f ca="1">IF($G41="ManTech",(SUM($N41:$Y41)*(VLOOKUP($L41,$L$9:$AB$24,Z$6,FALSE))),(IF(R41=0,((SUM(N41,#REF!))*(VLOOKUP($L41,$L$9:$AB$24,Z$6,FALSE))),(SUM($R41:$R41)*(VLOOKUP($L41,$L$9:$AB$24,Z$6,FALSE))))))</f>
        <v>1.9035416399999998</v>
      </c>
      <c r="AA41" s="321">
        <f t="shared" ca="1" si="24"/>
        <v>711.50464163999993</v>
      </c>
      <c r="AB41" s="321">
        <f t="shared" ca="1" si="20"/>
        <v>56.920371331199995</v>
      </c>
      <c r="AC41" s="321">
        <f t="shared" ca="1" si="25"/>
        <v>768.43</v>
      </c>
      <c r="AD41" s="214">
        <v>1</v>
      </c>
      <c r="AE41" s="336">
        <f t="shared" ca="1" si="21"/>
        <v>768.43</v>
      </c>
      <c r="AF41" s="1036">
        <f ca="1">AE41</f>
        <v>768.43</v>
      </c>
      <c r="AG41" s="323"/>
      <c r="AH41" s="323"/>
      <c r="AI41" s="323">
        <f t="shared" ca="1" si="28"/>
        <v>711.50464163999993</v>
      </c>
      <c r="AJ41" s="323">
        <f t="shared" ca="1" si="29"/>
        <v>768.43</v>
      </c>
      <c r="AK41" s="323">
        <f t="shared" ca="1" si="30"/>
        <v>56.925358360000018</v>
      </c>
      <c r="AL41" s="20">
        <f t="shared" ca="1" si="31"/>
        <v>0.08</v>
      </c>
      <c r="AM41" s="323"/>
      <c r="AN41" s="323"/>
      <c r="AO41" s="323"/>
      <c r="AP41" s="323"/>
      <c r="AQ41" s="323"/>
      <c r="AR41" s="323"/>
      <c r="AS41" s="323"/>
      <c r="AT41" s="323"/>
      <c r="AU41" s="60"/>
      <c r="AV41" s="324"/>
      <c r="AW41" s="325"/>
      <c r="AZ41" s="251" t="str">
        <f t="shared" ca="1" si="32"/>
        <v>1</v>
      </c>
      <c r="BA41" s="251" t="str">
        <f t="shared" ca="1" si="33"/>
        <v>1</v>
      </c>
    </row>
    <row r="42" spans="4:53">
      <c r="D42" s="8">
        <f t="shared" si="34"/>
        <v>11</v>
      </c>
      <c r="E42" s="319" t="str">
        <f t="shared" si="8"/>
        <v>Network Administrator</v>
      </c>
      <c r="F42" s="8"/>
      <c r="G42" s="363" t="str">
        <f>+InputSheet!E183</f>
        <v>ManTech</v>
      </c>
      <c r="H42" s="8"/>
      <c r="I42" s="320">
        <f t="shared" si="9"/>
        <v>0</v>
      </c>
      <c r="J42" s="198" t="str">
        <f t="shared" si="22"/>
        <v>ManTech110Govt</v>
      </c>
      <c r="K42" s="198"/>
      <c r="L42" s="363" t="s">
        <v>623</v>
      </c>
      <c r="M42" s="321">
        <f>IF(G42="ManTech",(VLOOKUP($D42,DL,6,FALSE)),(INDEX('Sub Rates'!$F$9:$IK$48,MATCH(($E42&amp;$L42),'Sub Rates'!$E$9:$E$48,0),MATCH(($E$8&amp;$G42),'Sub Rates'!$F$8:$IK$8,0))))</f>
        <v>27.5</v>
      </c>
      <c r="N42" s="321">
        <f t="shared" ca="1" si="10"/>
        <v>28.97</v>
      </c>
      <c r="O42" s="321">
        <f t="shared" ca="1" si="11"/>
        <v>0</v>
      </c>
      <c r="P42" s="321">
        <f t="shared" ca="1" si="11"/>
        <v>0</v>
      </c>
      <c r="Q42" s="321">
        <f t="shared" ca="1" si="12"/>
        <v>9.0502280000000006</v>
      </c>
      <c r="R42" s="321">
        <f t="shared" ca="1" si="13"/>
        <v>0.84785108440000012</v>
      </c>
      <c r="S42" s="321">
        <f>$S$10/AD42</f>
        <v>0</v>
      </c>
      <c r="T42" s="321">
        <f>$T$10/AD42</f>
        <v>0</v>
      </c>
      <c r="U42" s="321">
        <f>(M42*AD42)*$U$10</f>
        <v>0</v>
      </c>
      <c r="V42" s="321">
        <f>($V$10/$AF$29)</f>
        <v>27.25</v>
      </c>
      <c r="W42" s="321">
        <f t="shared" si="23"/>
        <v>0</v>
      </c>
      <c r="X42" s="321">
        <f ca="1">N42*$X$10</f>
        <v>0.55042999999999997</v>
      </c>
      <c r="Y42" s="321">
        <f>$Y$10/AD42</f>
        <v>0</v>
      </c>
      <c r="Z42" s="321">
        <f ca="1">IF($G42="ManTech",(SUM($N42:$Y42)*(VLOOKUP($L42,$L$9:$AB$24,Z$6,FALSE))),(IF(R42=0,((SUM(N42,#REF!))*(VLOOKUP($L42,$L$9:$AB$24,Z$6,FALSE))),(SUM($R42:$R42)*(VLOOKUP($L42,$L$9:$AB$24,Z$6,FALSE))))))</f>
        <v>6.1601702393985596</v>
      </c>
      <c r="AA42" s="321">
        <f t="shared" ca="1" si="24"/>
        <v>72.828679323798553</v>
      </c>
      <c r="AB42" s="321">
        <f t="shared" ca="1" si="20"/>
        <v>5.8262943459038841</v>
      </c>
      <c r="AC42" s="321">
        <f t="shared" ca="1" si="25"/>
        <v>78.650000000000006</v>
      </c>
      <c r="AD42" s="214">
        <f t="shared" si="26"/>
        <v>96</v>
      </c>
      <c r="AE42" s="336">
        <f t="shared" ca="1" si="21"/>
        <v>7550.4000000000005</v>
      </c>
      <c r="AF42" s="1036">
        <f t="shared" ca="1" si="27"/>
        <v>629.20000000000005</v>
      </c>
      <c r="AG42" s="323"/>
      <c r="AH42" s="323"/>
      <c r="AI42" s="323">
        <f t="shared" ca="1" si="28"/>
        <v>6991.5532150846611</v>
      </c>
      <c r="AJ42" s="323">
        <f t="shared" ca="1" si="29"/>
        <v>7550.4000000000005</v>
      </c>
      <c r="AK42" s="323">
        <f t="shared" ca="1" si="30"/>
        <v>558.84678491533941</v>
      </c>
      <c r="AL42" s="20">
        <f t="shared" ca="1" si="31"/>
        <v>0.08</v>
      </c>
      <c r="AM42" s="323"/>
      <c r="AN42" s="323"/>
      <c r="AO42" s="323"/>
      <c r="AP42" s="323"/>
      <c r="AQ42" s="323"/>
      <c r="AR42" s="323"/>
      <c r="AS42" s="323"/>
      <c r="AT42" s="323"/>
      <c r="AU42" s="60"/>
      <c r="AV42" s="324"/>
      <c r="AW42" s="325"/>
      <c r="AZ42" s="251" t="str">
        <f t="shared" ca="1" si="32"/>
        <v>1</v>
      </c>
      <c r="BA42" s="251" t="str">
        <f t="shared" ca="1" si="33"/>
        <v>1</v>
      </c>
    </row>
    <row r="43" spans="4:53">
      <c r="D43" s="8">
        <f>D42+1</f>
        <v>12</v>
      </c>
      <c r="E43" s="319" t="str">
        <f t="shared" si="8"/>
        <v>System Administrator</v>
      </c>
      <c r="F43" s="8"/>
      <c r="G43" s="363" t="str">
        <f>+InputSheet!E184</f>
        <v>ManTech</v>
      </c>
      <c r="H43" s="8"/>
      <c r="I43" s="320">
        <f t="shared" si="9"/>
        <v>0</v>
      </c>
      <c r="J43" s="198" t="str">
        <f t="shared" si="22"/>
        <v>ManTech120Govt</v>
      </c>
      <c r="K43" s="198"/>
      <c r="L43" s="363" t="s">
        <v>623</v>
      </c>
      <c r="M43" s="321">
        <f>IF(G43="ManTech",(VLOOKUP($D43,DL,6,FALSE)),(INDEX('Sub Rates'!$F$9:$IK$48,MATCH(($E43&amp;$L43),'Sub Rates'!$E$9:$E$48,0),MATCH(($E$8&amp;$G43),'Sub Rates'!$F$8:$IK$8,0))))</f>
        <v>28</v>
      </c>
      <c r="N43" s="321">
        <f t="shared" ca="1" si="10"/>
        <v>29.5</v>
      </c>
      <c r="O43" s="321">
        <f t="shared" ca="1" si="11"/>
        <v>0</v>
      </c>
      <c r="P43" s="321">
        <f t="shared" ca="1" si="11"/>
        <v>0</v>
      </c>
      <c r="Q43" s="321">
        <f t="shared" ca="1" si="12"/>
        <v>9.2157999999999998</v>
      </c>
      <c r="R43" s="321">
        <f t="shared" ca="1" si="13"/>
        <v>0.86336234000000001</v>
      </c>
      <c r="S43" s="321">
        <f>$S$10/AD43</f>
        <v>0</v>
      </c>
      <c r="T43" s="321">
        <f>$T$10/AD43</f>
        <v>0</v>
      </c>
      <c r="U43" s="321">
        <f>(M43*AD43)*$U$10</f>
        <v>0</v>
      </c>
      <c r="V43" s="321">
        <f>($V$10/$AF$29)</f>
        <v>27.25</v>
      </c>
      <c r="W43" s="321">
        <f t="shared" si="23"/>
        <v>0</v>
      </c>
      <c r="X43" s="321">
        <f ca="1">N43*$X$10</f>
        <v>0.5605</v>
      </c>
      <c r="Y43" s="321">
        <f>$Y$10/AD43</f>
        <v>0</v>
      </c>
      <c r="Z43" s="321">
        <f ca="1">IF($G43="ManTech",(SUM($N43:$Y43)*(VLOOKUP($L43,$L$9:$AB$24,Z$6,FALSE))),(IF(R43=0,((SUM(N43,#REF!))*(VLOOKUP($L43,$L$9:$AB$24,Z$6,FALSE))),(SUM($R43:$R43)*(VLOOKUP($L43,$L$9:$AB$24,Z$6,FALSE))))))</f>
        <v>6.2268048002160015</v>
      </c>
      <c r="AA43" s="321">
        <f t="shared" ca="1" si="24"/>
        <v>73.616467140216017</v>
      </c>
      <c r="AB43" s="321">
        <f t="shared" ca="1" si="20"/>
        <v>5.889317371217281</v>
      </c>
      <c r="AC43" s="321">
        <f t="shared" ca="1" si="25"/>
        <v>79.510000000000005</v>
      </c>
      <c r="AD43" s="214">
        <f t="shared" si="26"/>
        <v>96</v>
      </c>
      <c r="AE43" s="336">
        <f t="shared" ca="1" si="21"/>
        <v>7632.9600000000009</v>
      </c>
      <c r="AF43" s="1036">
        <f t="shared" ca="1" si="27"/>
        <v>636.08000000000004</v>
      </c>
      <c r="AG43" s="323"/>
      <c r="AH43" s="323"/>
      <c r="AI43" s="323">
        <f t="shared" ca="1" si="28"/>
        <v>7067.1808454607381</v>
      </c>
      <c r="AJ43" s="323">
        <f t="shared" ca="1" si="29"/>
        <v>7632.9600000000009</v>
      </c>
      <c r="AK43" s="323">
        <f t="shared" ca="1" si="30"/>
        <v>565.77915453926289</v>
      </c>
      <c r="AL43" s="20">
        <f t="shared" ca="1" si="31"/>
        <v>0.08</v>
      </c>
      <c r="AM43" s="323"/>
      <c r="AN43" s="323"/>
      <c r="AO43" s="323"/>
      <c r="AP43" s="323"/>
      <c r="AQ43" s="323"/>
      <c r="AR43" s="323"/>
      <c r="AS43" s="323"/>
      <c r="AT43" s="323"/>
      <c r="AU43" s="60"/>
      <c r="AV43" s="324"/>
      <c r="AW43" s="325"/>
      <c r="AZ43" s="251" t="str">
        <f t="shared" ca="1" si="32"/>
        <v>1</v>
      </c>
      <c r="BA43" s="251" t="str">
        <f t="shared" ca="1" si="33"/>
        <v>1</v>
      </c>
    </row>
    <row r="44" spans="4:53">
      <c r="D44" s="8">
        <f>D43+1</f>
        <v>13</v>
      </c>
      <c r="E44" s="319" t="str">
        <f t="shared" si="8"/>
        <v>Configuration Manager</v>
      </c>
      <c r="F44" s="8"/>
      <c r="G44" s="363" t="str">
        <f>+InputSheet!E185</f>
        <v>ManTech</v>
      </c>
      <c r="H44" s="8"/>
      <c r="I44" s="320">
        <f t="shared" si="9"/>
        <v>0</v>
      </c>
      <c r="J44" s="198" t="str">
        <f t="shared" si="22"/>
        <v>ManTech130Govt</v>
      </c>
      <c r="K44" s="198"/>
      <c r="L44" s="363" t="s">
        <v>623</v>
      </c>
      <c r="M44" s="321">
        <f>IF(G44="ManTech",(VLOOKUP($D44,DL,6,FALSE)),(INDEX('Sub Rates'!$F$9:$IK$48,MATCH(($E44&amp;$L44),'Sub Rates'!$E$9:$E$48,0),MATCH(($E$8&amp;$G44),'Sub Rates'!$F$8:$IK$8,0))))</f>
        <v>26</v>
      </c>
      <c r="N44" s="321">
        <f t="shared" ca="1" si="10"/>
        <v>27.39</v>
      </c>
      <c r="O44" s="321">
        <f t="shared" ca="1" si="11"/>
        <v>0</v>
      </c>
      <c r="P44" s="321">
        <f t="shared" ca="1" si="11"/>
        <v>0</v>
      </c>
      <c r="Q44" s="321">
        <f t="shared" ca="1" si="12"/>
        <v>8.556636000000001</v>
      </c>
      <c r="R44" s="321">
        <f t="shared" ca="1" si="13"/>
        <v>0.80160998279999995</v>
      </c>
      <c r="S44" s="321">
        <f>$S$10/AD44</f>
        <v>0</v>
      </c>
      <c r="T44" s="321">
        <f>$T$10/AD44</f>
        <v>0</v>
      </c>
      <c r="U44" s="321">
        <f>(M44*AD44)*$U$10</f>
        <v>0</v>
      </c>
      <c r="V44" s="321">
        <f>($V$10/$AF$29)</f>
        <v>27.25</v>
      </c>
      <c r="W44" s="321">
        <f t="shared" si="23"/>
        <v>0</v>
      </c>
      <c r="X44" s="321">
        <f ca="1">N44*$X$10</f>
        <v>0.52041000000000004</v>
      </c>
      <c r="Y44" s="321">
        <f>$Y$10/AD44</f>
        <v>0</v>
      </c>
      <c r="Z44" s="321">
        <f ca="1">IF($G44="ManTech",(SUM($N44:$Y44)*(VLOOKUP($L44,$L$9:$AB$24,Z$6,FALSE))),(IF(R44=0,((SUM(N44,#REF!))*(VLOOKUP($L44,$L$9:$AB$24,Z$6,FALSE))),(SUM($R44:$R44)*(VLOOKUP($L44,$L$9:$AB$24,Z$6,FALSE))))))</f>
        <v>5.9615238128107197</v>
      </c>
      <c r="AA44" s="321">
        <f t="shared" ca="1" si="24"/>
        <v>70.480179795610724</v>
      </c>
      <c r="AB44" s="321">
        <f t="shared" ca="1" si="20"/>
        <v>5.6384143836488576</v>
      </c>
      <c r="AC44" s="321">
        <f t="shared" ca="1" si="25"/>
        <v>76.12</v>
      </c>
      <c r="AD44" s="214">
        <f t="shared" si="26"/>
        <v>96</v>
      </c>
      <c r="AE44" s="336">
        <f t="shared" ca="1" si="21"/>
        <v>7307.52</v>
      </c>
      <c r="AF44" s="1036">
        <f t="shared" ca="1" si="27"/>
        <v>608.96</v>
      </c>
      <c r="AG44" s="323"/>
      <c r="AH44" s="323"/>
      <c r="AI44" s="323">
        <f t="shared" ca="1" si="28"/>
        <v>6766.0972603786295</v>
      </c>
      <c r="AJ44" s="323">
        <f t="shared" ca="1" si="29"/>
        <v>7307.52</v>
      </c>
      <c r="AK44" s="323">
        <f t="shared" ca="1" si="30"/>
        <v>541.42273962137097</v>
      </c>
      <c r="AL44" s="20">
        <f t="shared" ca="1" si="31"/>
        <v>0.08</v>
      </c>
      <c r="AM44" s="323"/>
      <c r="AN44" s="323"/>
      <c r="AO44" s="323"/>
      <c r="AP44" s="323"/>
      <c r="AQ44" s="323"/>
      <c r="AR44" s="323"/>
      <c r="AS44" s="323"/>
      <c r="AT44" s="323"/>
      <c r="AU44" s="60"/>
      <c r="AV44" s="324"/>
      <c r="AW44" s="325"/>
      <c r="AZ44" s="251" t="str">
        <f t="shared" ca="1" si="32"/>
        <v>1</v>
      </c>
      <c r="BA44" s="251" t="str">
        <f t="shared" ca="1" si="33"/>
        <v>1</v>
      </c>
    </row>
    <row r="45" spans="4:53">
      <c r="D45" s="8">
        <f>D44+1</f>
        <v>14</v>
      </c>
      <c r="E45" s="319" t="str">
        <f t="shared" si="8"/>
        <v>Hardware Technician</v>
      </c>
      <c r="F45" s="8"/>
      <c r="G45" s="363" t="str">
        <f>+InputSheet!E186</f>
        <v>ManTech</v>
      </c>
      <c r="H45" s="8"/>
      <c r="I45" s="320">
        <f t="shared" si="9"/>
        <v>0</v>
      </c>
      <c r="J45" s="198" t="str">
        <f t="shared" si="22"/>
        <v>ManTech140Govt</v>
      </c>
      <c r="K45" s="198"/>
      <c r="L45" s="363" t="s">
        <v>623</v>
      </c>
      <c r="M45" s="321">
        <f>IF(G45="ManTech",(VLOOKUP($D45,DL,6,FALSE)),(INDEX('Sub Rates'!$F$9:$IK$48,MATCH(($E45&amp;$L45),'Sub Rates'!$E$9:$E$48,0),MATCH(($E$8&amp;$G45),'Sub Rates'!$F$8:$IK$8,0))))</f>
        <v>26</v>
      </c>
      <c r="N45" s="321">
        <f t="shared" ca="1" si="10"/>
        <v>27.39</v>
      </c>
      <c r="O45" s="321">
        <f t="shared" ca="1" si="11"/>
        <v>0</v>
      </c>
      <c r="P45" s="321">
        <f t="shared" ca="1" si="11"/>
        <v>0</v>
      </c>
      <c r="Q45" s="321">
        <f t="shared" ca="1" si="12"/>
        <v>8.556636000000001</v>
      </c>
      <c r="R45" s="321">
        <f t="shared" ca="1" si="13"/>
        <v>0.80160998279999995</v>
      </c>
      <c r="S45" s="321">
        <f>$S$10/AD45</f>
        <v>0</v>
      </c>
      <c r="T45" s="321">
        <f>$T$10/AD45</f>
        <v>0</v>
      </c>
      <c r="U45" s="321">
        <f>(M45*AD45)*$U$10</f>
        <v>0</v>
      </c>
      <c r="V45" s="321">
        <f>($V$10/$AF$29)</f>
        <v>27.25</v>
      </c>
      <c r="W45" s="321">
        <f t="shared" si="23"/>
        <v>0</v>
      </c>
      <c r="X45" s="321">
        <f ca="1">N45*$X$10</f>
        <v>0.52041000000000004</v>
      </c>
      <c r="Y45" s="321">
        <f>$Y$10/AD45</f>
        <v>0</v>
      </c>
      <c r="Z45" s="321">
        <f ca="1">IF($G45="ManTech",(SUM($N45:$Y45)*(VLOOKUP($L45,$L$9:$AB$24,Z$6,FALSE))),(IF(R45=0,((SUM(N45,#REF!))*(VLOOKUP($L45,$L$9:$AB$24,Z$6,FALSE))),(SUM($R45:$R45)*(VLOOKUP($L45,$L$9:$AB$24,Z$6,FALSE))))))</f>
        <v>5.9615238128107197</v>
      </c>
      <c r="AA45" s="321">
        <f t="shared" ca="1" si="24"/>
        <v>70.480179795610724</v>
      </c>
      <c r="AB45" s="321">
        <f t="shared" ca="1" si="20"/>
        <v>5.6384143836488576</v>
      </c>
      <c r="AC45" s="321">
        <f t="shared" ca="1" si="25"/>
        <v>76.12</v>
      </c>
      <c r="AD45" s="214">
        <f t="shared" si="26"/>
        <v>96</v>
      </c>
      <c r="AE45" s="336">
        <f t="shared" ca="1" si="21"/>
        <v>7307.52</v>
      </c>
      <c r="AF45" s="1036">
        <f t="shared" ca="1" si="27"/>
        <v>608.96</v>
      </c>
      <c r="AG45" s="323"/>
      <c r="AH45" s="323"/>
      <c r="AI45" s="323">
        <f t="shared" ca="1" si="28"/>
        <v>6766.0972603786295</v>
      </c>
      <c r="AJ45" s="323">
        <f t="shared" ca="1" si="29"/>
        <v>7307.52</v>
      </c>
      <c r="AK45" s="323">
        <f t="shared" ca="1" si="30"/>
        <v>541.42273962137097</v>
      </c>
      <c r="AL45" s="20">
        <f t="shared" ca="1" si="31"/>
        <v>0.08</v>
      </c>
      <c r="AM45" s="323"/>
      <c r="AN45" s="323"/>
      <c r="AO45" s="323"/>
      <c r="AP45" s="323"/>
      <c r="AQ45" s="323"/>
      <c r="AR45" s="323"/>
      <c r="AS45" s="323"/>
      <c r="AT45" s="323"/>
      <c r="AU45" s="60"/>
      <c r="AV45" s="324"/>
      <c r="AW45" s="325"/>
      <c r="AZ45" s="251" t="str">
        <f t="shared" ca="1" si="32"/>
        <v>1</v>
      </c>
      <c r="BA45" s="251" t="str">
        <f t="shared" ca="1" si="33"/>
        <v>1</v>
      </c>
    </row>
    <row r="46" spans="4:53">
      <c r="D46" s="8">
        <f>D45+1</f>
        <v>15</v>
      </c>
      <c r="E46" s="319" t="str">
        <f t="shared" si="8"/>
        <v>Repair/Exchange Specialist</v>
      </c>
      <c r="F46" s="8"/>
      <c r="G46" s="363" t="str">
        <f>+InputSheet!E187</f>
        <v>ManTech</v>
      </c>
      <c r="H46" s="8"/>
      <c r="I46" s="320">
        <f t="shared" si="9"/>
        <v>0</v>
      </c>
      <c r="J46" s="198" t="str">
        <f t="shared" si="22"/>
        <v>ManTech150Govt</v>
      </c>
      <c r="K46" s="198"/>
      <c r="L46" s="363" t="s">
        <v>623</v>
      </c>
      <c r="M46" s="321">
        <f>IF(G46="ManTech",(VLOOKUP($D46,DL,6,FALSE)),(INDEX('Sub Rates'!$F$9:$IK$48,MATCH(($E46&amp;$L46),'Sub Rates'!$E$9:$E$48,0),MATCH(($E$8&amp;$G46),'Sub Rates'!$F$8:$IK$8,0))))</f>
        <v>25</v>
      </c>
      <c r="N46" s="321">
        <f t="shared" ca="1" si="10"/>
        <v>26.34</v>
      </c>
      <c r="O46" s="321">
        <f t="shared" ca="1" si="11"/>
        <v>0</v>
      </c>
      <c r="P46" s="321">
        <f t="shared" ca="1" si="11"/>
        <v>0</v>
      </c>
      <c r="Q46" s="321">
        <f t="shared" ca="1" si="12"/>
        <v>8.2286160000000006</v>
      </c>
      <c r="R46" s="321">
        <f t="shared" ca="1" si="13"/>
        <v>0.7708801368</v>
      </c>
      <c r="S46" s="321">
        <f>$S$10/AD46</f>
        <v>0</v>
      </c>
      <c r="T46" s="321">
        <f>$T$10/AD46</f>
        <v>0</v>
      </c>
      <c r="U46" s="321">
        <f>(M46*AD46)*$U$10</f>
        <v>0</v>
      </c>
      <c r="V46" s="321">
        <f>($V$10/$AF$29)</f>
        <v>27.25</v>
      </c>
      <c r="W46" s="321">
        <f t="shared" si="23"/>
        <v>0</v>
      </c>
      <c r="X46" s="321">
        <f ca="1">N46*$X$10</f>
        <v>0.50046000000000002</v>
      </c>
      <c r="Y46" s="321">
        <f>$Y$10/AD46</f>
        <v>0</v>
      </c>
      <c r="Z46" s="321">
        <f ca="1">IF($G46="ManTech",(SUM($N46:$Y46)*(VLOOKUP($L46,$L$9:$AB$24,Z$6,FALSE))),(IF(R46=0,((SUM(N46,#REF!))*(VLOOKUP($L46,$L$9:$AB$24,Z$6,FALSE))),(SUM($R46:$R46)*(VLOOKUP($L46,$L$9:$AB$24,Z$6,FALSE))))))</f>
        <v>5.8295119470403192</v>
      </c>
      <c r="AA46" s="321">
        <f t="shared" ca="1" si="24"/>
        <v>68.919468083840314</v>
      </c>
      <c r="AB46" s="321">
        <f t="shared" ca="1" si="20"/>
        <v>5.5135574467072255</v>
      </c>
      <c r="AC46" s="321">
        <f t="shared" ca="1" si="25"/>
        <v>74.430000000000007</v>
      </c>
      <c r="AD46" s="214">
        <f t="shared" si="26"/>
        <v>96</v>
      </c>
      <c r="AE46" s="336">
        <f t="shared" ca="1" si="21"/>
        <v>7145.2800000000007</v>
      </c>
      <c r="AF46" s="1036">
        <f t="shared" ca="1" si="27"/>
        <v>595.44000000000005</v>
      </c>
      <c r="AG46" s="323"/>
      <c r="AH46" s="323"/>
      <c r="AI46" s="323">
        <f t="shared" ca="1" si="28"/>
        <v>6616.2689360486702</v>
      </c>
      <c r="AJ46" s="323">
        <f t="shared" ca="1" si="29"/>
        <v>7145.2800000000007</v>
      </c>
      <c r="AK46" s="323">
        <f t="shared" ca="1" si="30"/>
        <v>529.01106395133047</v>
      </c>
      <c r="AL46" s="20">
        <f t="shared" ca="1" si="31"/>
        <v>0.08</v>
      </c>
      <c r="AM46" s="323"/>
      <c r="AN46" s="323"/>
      <c r="AO46" s="323"/>
      <c r="AP46" s="323"/>
      <c r="AQ46" s="323"/>
      <c r="AR46" s="323"/>
      <c r="AS46" s="323"/>
      <c r="AT46" s="323"/>
      <c r="AU46" s="60"/>
      <c r="AV46" s="324"/>
      <c r="AW46" s="325"/>
      <c r="AZ46" s="251" t="str">
        <f t="shared" ca="1" si="32"/>
        <v>1</v>
      </c>
      <c r="BA46" s="251" t="str">
        <f t="shared" ca="1" si="33"/>
        <v>1</v>
      </c>
    </row>
    <row r="47" spans="4:53">
      <c r="E47" s="319"/>
      <c r="F47" s="8"/>
      <c r="G47" s="363"/>
      <c r="H47" s="8"/>
      <c r="I47" s="320"/>
      <c r="J47" s="198"/>
      <c r="K47" s="198"/>
      <c r="L47" s="363"/>
      <c r="M47" s="321"/>
      <c r="N47" s="321"/>
      <c r="O47" s="321"/>
      <c r="P47" s="321"/>
      <c r="Q47" s="321"/>
      <c r="R47" s="321"/>
      <c r="S47" s="321"/>
      <c r="T47" s="321"/>
      <c r="U47" s="321"/>
      <c r="V47" s="321"/>
      <c r="W47" s="321"/>
      <c r="X47" s="321"/>
      <c r="Y47" s="321"/>
      <c r="Z47" s="321"/>
      <c r="AA47" s="321"/>
      <c r="AB47" s="321"/>
      <c r="AC47" s="321"/>
      <c r="AD47" s="214"/>
      <c r="AE47" s="336"/>
      <c r="AF47" s="1036"/>
      <c r="AG47" s="323"/>
      <c r="AH47" s="323"/>
      <c r="AI47" s="323"/>
      <c r="AJ47" s="323"/>
      <c r="AK47" s="323"/>
      <c r="AL47" s="20"/>
      <c r="AM47" s="323"/>
      <c r="AN47" s="323"/>
      <c r="AO47" s="323"/>
      <c r="AP47" s="323"/>
      <c r="AQ47" s="323"/>
      <c r="AR47" s="323"/>
      <c r="AS47" s="323"/>
      <c r="AT47" s="323"/>
      <c r="AU47" s="60"/>
      <c r="AV47" s="324"/>
      <c r="AW47" s="325"/>
    </row>
    <row r="48" spans="4:53">
      <c r="D48" s="8">
        <v>16</v>
      </c>
      <c r="E48" s="319" t="str">
        <f t="shared" si="8"/>
        <v>PMO Cost</v>
      </c>
      <c r="F48" s="8"/>
      <c r="G48" s="363" t="s">
        <v>643</v>
      </c>
      <c r="H48" s="8"/>
      <c r="I48" s="320" t="str">
        <f t="shared" si="9"/>
        <v>Martin,Lindy E</v>
      </c>
      <c r="J48" s="198" t="str">
        <f>G48&amp;D48&amp;I48&amp;L48</f>
        <v>ManTech16Martin,Lindy EGovt</v>
      </c>
      <c r="K48" s="198"/>
      <c r="L48" s="363" t="s">
        <v>623</v>
      </c>
      <c r="M48" s="321">
        <f>IF(G48="ManTech",(VLOOKUP($D48,DL,6,FALSE)),(INDEX('Sub Rates'!$F$9:$IK$48,MATCH(($E48&amp;$L48),'Sub Rates'!$E$9:$E$48,0),MATCH(($E$8&amp;$G48),'Sub Rates'!$F$8:$IK$8,0))))</f>
        <v>108.5</v>
      </c>
      <c r="N48" s="321">
        <f t="shared" ca="1" si="10"/>
        <v>114.31</v>
      </c>
      <c r="O48" s="321">
        <f t="shared" ca="1" si="11"/>
        <v>0</v>
      </c>
      <c r="P48" s="321">
        <f t="shared" ca="1" si="11"/>
        <v>0</v>
      </c>
      <c r="Q48" s="321">
        <f ca="1">($N48+O48+P48)*(VLOOKUP($L48,$L$9:$AB$24,Q$6,FALSE))</f>
        <v>35.710444000000003</v>
      </c>
      <c r="R48" s="321">
        <f ca="1">($N48+$Q48+O48+P48)*(VLOOKUP($L48,$L$9:$AB$24,R$6,FALSE))</f>
        <v>3.3454559011999998</v>
      </c>
      <c r="S48" s="321"/>
      <c r="T48" s="321"/>
      <c r="U48" s="321">
        <v>0</v>
      </c>
      <c r="V48" s="321">
        <v>0</v>
      </c>
      <c r="W48" s="321">
        <v>0</v>
      </c>
      <c r="X48" s="321">
        <v>0</v>
      </c>
      <c r="Y48" s="321">
        <v>0</v>
      </c>
      <c r="Z48" s="321">
        <f ca="1">IF($G48="ManTech",(SUM($N48:$Y48)*(VLOOKUP($L48,$L$9:$AB$24,Z$6,FALSE))),(IF(R48=0,((SUM(N48,#REF!))*(VLOOKUP($L48,$L$9:$AB$24,Z$6,FALSE))),(SUM($R48:$R48)*(VLOOKUP($L48,$L$9:$AB$24,Z$6,FALSE))))))</f>
        <v>14.17100915087088</v>
      </c>
      <c r="AA48" s="321">
        <f ca="1">SUM(N48:Z48)</f>
        <v>167.53690905207088</v>
      </c>
      <c r="AB48" s="321">
        <f ca="1">(AA48*(VLOOKUP($L48,$L$9:$AB$24,AB$6,FALSE)))</f>
        <v>13.402952724165671</v>
      </c>
      <c r="AC48" s="321">
        <f ca="1">ROUND(SUM(AA48:AB48),2)</f>
        <v>180.94</v>
      </c>
      <c r="AD48" s="214">
        <v>0</v>
      </c>
      <c r="AE48" s="336">
        <f t="shared" ca="1" si="21"/>
        <v>0</v>
      </c>
      <c r="AF48" s="1036">
        <f ca="1">AC48*$AF$29</f>
        <v>1447.52</v>
      </c>
      <c r="AG48" s="323"/>
      <c r="AH48" s="323"/>
      <c r="AI48" s="323">
        <f ca="1">AA48*AD48</f>
        <v>0</v>
      </c>
      <c r="AJ48" s="323">
        <f ca="1">AC48*AD48</f>
        <v>0</v>
      </c>
      <c r="AK48" s="323">
        <f ca="1">AJ48-AI48</f>
        <v>0</v>
      </c>
      <c r="AL48" s="20">
        <f ca="1">IF(AK48=0,0,ROUND(AK48/AI48,2))</f>
        <v>0</v>
      </c>
      <c r="AM48" s="323"/>
      <c r="AN48" s="323"/>
      <c r="AO48" s="323"/>
      <c r="AP48" s="323"/>
      <c r="AQ48" s="323"/>
      <c r="AR48" s="323"/>
      <c r="AS48" s="323"/>
      <c r="AT48" s="323"/>
      <c r="AU48" s="60"/>
      <c r="AV48" s="324"/>
      <c r="AW48" s="325"/>
      <c r="AZ48" s="251" t="str">
        <f ca="1">IF((OR((AC48=""),(AC48&gt;0))),"1","0")</f>
        <v>1</v>
      </c>
      <c r="BA48" s="251" t="str">
        <f ca="1">IF((OR((AE48=""),(AE48&gt;0))),"1","0")</f>
        <v>0</v>
      </c>
    </row>
    <row r="49" spans="2:53">
      <c r="D49" s="8">
        <f>D48+1</f>
        <v>17</v>
      </c>
      <c r="E49" s="319" t="str">
        <f t="shared" si="8"/>
        <v>Project Controller Cost</v>
      </c>
      <c r="F49" s="8"/>
      <c r="G49" s="363" t="str">
        <f>+InputSheet!E190</f>
        <v>Yvan</v>
      </c>
      <c r="H49" s="8"/>
      <c r="I49" s="320">
        <f t="shared" si="9"/>
        <v>0</v>
      </c>
      <c r="J49" s="198" t="str">
        <f>G49&amp;D49&amp;I49&amp;L49</f>
        <v>Yvan170Govt_Sub</v>
      </c>
      <c r="K49" s="198"/>
      <c r="L49" s="363" t="s">
        <v>684</v>
      </c>
      <c r="M49" s="321">
        <f>IF(G49="ManTech",(VLOOKUP($D49,DL,6,FALSE)),(INDEX('Sub Rates'!$F$9:$IK$48,MATCH(($E49&amp;$L49),'Sub Rates'!$E$9:$E$48,0),MATCH(($E$8&amp;$G49),'Sub Rates'!$F$8:$IK$8,0))))</f>
        <v>148.14407599999998</v>
      </c>
      <c r="N49" s="321">
        <f t="shared" ca="1" si="10"/>
        <v>148.13999999999999</v>
      </c>
      <c r="O49" s="321">
        <f t="shared" ca="1" si="11"/>
        <v>0</v>
      </c>
      <c r="P49" s="321">
        <f t="shared" ca="1" si="11"/>
        <v>0</v>
      </c>
      <c r="Q49" s="321">
        <f ca="1">($N49+O49+P49)*(VLOOKUP($L49,$L$9:$AB$24,Q$6,FALSE))</f>
        <v>0</v>
      </c>
      <c r="R49" s="321">
        <f ca="1">($N49+$Q49+O49+P49)*(VLOOKUP($L49,$L$9:$AB$24,R$6,FALSE))</f>
        <v>4.4293859999999992</v>
      </c>
      <c r="S49" s="321"/>
      <c r="T49" s="321"/>
      <c r="U49" s="321">
        <v>0</v>
      </c>
      <c r="V49" s="321">
        <v>0</v>
      </c>
      <c r="W49" s="321">
        <v>0</v>
      </c>
      <c r="X49" s="321">
        <v>0</v>
      </c>
      <c r="Y49" s="321">
        <v>0</v>
      </c>
      <c r="Z49" s="321">
        <f ca="1">IF($G49="ManTech",(SUM($N49:$Y49)*(VLOOKUP($L49,$L$9:$AB$24,Z$6,FALSE))),(IF(R49=0,((SUM(N49,#REF!))*(VLOOKUP($L49,$L$9:$AB$24,Z$6,FALSE))),(SUM($R49:$R49)*(VLOOKUP($L49,$L$9:$AB$24,Z$6,FALSE))))))</f>
        <v>0.40927526639999989</v>
      </c>
      <c r="AA49" s="321">
        <f ca="1">SUM(N49:Z49)</f>
        <v>152.97866126639997</v>
      </c>
      <c r="AB49" s="321">
        <f ca="1">(AA49*(VLOOKUP($L49,$L$9:$AB$24,AB$6,FALSE)))</f>
        <v>12.238292901311997</v>
      </c>
      <c r="AC49" s="321">
        <f ca="1">ROUND(SUM(AA49:AB49),2)</f>
        <v>165.22</v>
      </c>
      <c r="AD49" s="214">
        <v>0</v>
      </c>
      <c r="AE49" s="336">
        <f t="shared" ca="1" si="21"/>
        <v>0</v>
      </c>
      <c r="AF49" s="1036">
        <f ca="1">AC49*$AF$29</f>
        <v>1321.76</v>
      </c>
      <c r="AG49" s="323"/>
      <c r="AH49" s="323"/>
      <c r="AI49" s="323">
        <f ca="1">AA49*AD49</f>
        <v>0</v>
      </c>
      <c r="AJ49" s="323">
        <f ca="1">AC49*AD49</f>
        <v>0</v>
      </c>
      <c r="AK49" s="323">
        <f ca="1">AJ49-AI49</f>
        <v>0</v>
      </c>
      <c r="AL49" s="20">
        <f ca="1">IF(AK49=0,0,ROUND(AK49/AI49,2))</f>
        <v>0</v>
      </c>
      <c r="AM49" s="323"/>
      <c r="AN49" s="323"/>
      <c r="AO49" s="323"/>
      <c r="AP49" s="323"/>
      <c r="AQ49" s="323"/>
      <c r="AR49" s="323"/>
      <c r="AS49" s="323"/>
      <c r="AT49" s="323"/>
      <c r="AU49" s="60"/>
      <c r="AV49" s="324"/>
      <c r="AW49" s="325"/>
      <c r="AZ49" s="251" t="str">
        <f ca="1">IF((OR((AC49=""),(AC49&gt;0))),"1","0")</f>
        <v>1</v>
      </c>
      <c r="BA49" s="251" t="str">
        <f ca="1">IF((OR((AE49=""),(AE49&gt;0))),"1","0")</f>
        <v>0</v>
      </c>
    </row>
    <row r="50" spans="2:53">
      <c r="E50" s="326"/>
      <c r="F50" s="327"/>
      <c r="G50" s="327"/>
      <c r="H50" s="327"/>
      <c r="I50" s="328"/>
      <c r="J50" s="329"/>
      <c r="K50" s="329"/>
      <c r="L50" s="364"/>
      <c r="M50" s="330"/>
      <c r="N50" s="330"/>
      <c r="O50" s="330"/>
      <c r="P50" s="330"/>
      <c r="Q50" s="330"/>
      <c r="R50" s="330"/>
      <c r="S50" s="330"/>
      <c r="T50" s="330"/>
      <c r="U50" s="330"/>
      <c r="V50" s="330"/>
      <c r="W50" s="330"/>
      <c r="X50" s="330"/>
      <c r="Y50" s="330"/>
      <c r="Z50" s="330"/>
      <c r="AA50" s="330"/>
      <c r="AB50" s="330"/>
      <c r="AC50" s="330"/>
      <c r="AD50" s="218"/>
      <c r="AE50" s="339"/>
      <c r="AF50" s="1037"/>
      <c r="AG50" s="332"/>
      <c r="AH50" s="332"/>
      <c r="AI50" s="332"/>
      <c r="AJ50" s="332"/>
      <c r="AK50" s="332"/>
      <c r="AL50" s="332"/>
      <c r="AM50" s="332"/>
      <c r="AN50" s="332"/>
      <c r="AO50" s="332"/>
      <c r="AP50" s="332"/>
      <c r="AQ50" s="332"/>
      <c r="AR50" s="332"/>
      <c r="AS50" s="332"/>
      <c r="AT50" s="332"/>
      <c r="AU50" s="332"/>
      <c r="AV50" s="333"/>
      <c r="AW50" s="325"/>
      <c r="AZ50" s="251" t="str">
        <f t="shared" si="32"/>
        <v>1</v>
      </c>
      <c r="BA50" s="251" t="str">
        <f t="shared" si="33"/>
        <v>1</v>
      </c>
    </row>
    <row r="51" spans="2:53">
      <c r="E51" s="248"/>
      <c r="F51" s="8"/>
      <c r="G51" s="8"/>
      <c r="H51" s="8"/>
      <c r="I51" s="8"/>
      <c r="J51" s="8"/>
      <c r="K51" s="8"/>
      <c r="L51" s="8"/>
      <c r="M51" s="321"/>
      <c r="N51" s="321"/>
      <c r="O51" s="321"/>
      <c r="P51" s="321"/>
      <c r="Q51" s="321"/>
      <c r="R51" s="321"/>
      <c r="S51" s="321"/>
      <c r="T51" s="321"/>
      <c r="U51" s="321"/>
      <c r="V51" s="321"/>
      <c r="W51" s="321"/>
      <c r="X51" s="321"/>
      <c r="Y51" s="321"/>
      <c r="Z51" s="321"/>
      <c r="AA51" s="321"/>
      <c r="AB51" s="321"/>
      <c r="AC51" s="321"/>
      <c r="AD51" s="321"/>
      <c r="AE51" s="321"/>
      <c r="AF51" s="250"/>
      <c r="AG51" s="323"/>
      <c r="AH51" s="323"/>
      <c r="AI51" s="323"/>
      <c r="AJ51" s="323"/>
      <c r="AK51" s="323"/>
      <c r="AL51" s="323"/>
      <c r="AM51" s="323"/>
      <c r="AN51" s="323"/>
      <c r="AO51" s="323"/>
      <c r="AP51" s="323"/>
      <c r="AQ51" s="323"/>
      <c r="AR51" s="323"/>
      <c r="AS51" s="323"/>
      <c r="AT51" s="323"/>
      <c r="AU51" s="60"/>
      <c r="AV51" s="324"/>
      <c r="AW51" s="325"/>
      <c r="AZ51" s="251" t="str">
        <f t="shared" si="32"/>
        <v>1</v>
      </c>
      <c r="BA51" s="251" t="str">
        <f t="shared" si="33"/>
        <v>1</v>
      </c>
    </row>
    <row r="52" spans="2:53">
      <c r="E52" s="248"/>
      <c r="F52" s="8"/>
      <c r="G52" s="8"/>
      <c r="H52" s="8"/>
      <c r="I52" s="8"/>
      <c r="J52" s="8"/>
      <c r="K52" s="8"/>
      <c r="L52" s="8"/>
      <c r="M52" s="8"/>
      <c r="N52" s="8"/>
      <c r="O52" s="8"/>
      <c r="P52" s="8"/>
      <c r="Q52" s="8"/>
      <c r="R52" s="8"/>
      <c r="S52" s="8"/>
      <c r="T52" s="8"/>
      <c r="U52" s="8"/>
      <c r="V52" s="8"/>
      <c r="W52" s="8"/>
      <c r="X52" s="8"/>
      <c r="Y52" s="8"/>
      <c r="Z52" s="8"/>
      <c r="AA52" s="8"/>
      <c r="AB52" s="8"/>
      <c r="AC52" s="313" t="s">
        <v>647</v>
      </c>
      <c r="AD52" s="334">
        <f>SUBTOTAL(9,AD$31:AD$51)</f>
        <v>1060</v>
      </c>
      <c r="AE52" s="1028">
        <f ca="1">SUBTOTAL(9,AE$31:AE$51)</f>
        <v>88519.520000000019</v>
      </c>
      <c r="AF52" s="250"/>
      <c r="AG52" s="323"/>
      <c r="AH52" s="323"/>
      <c r="AI52" s="323"/>
      <c r="AJ52" s="323"/>
      <c r="AK52" s="323"/>
      <c r="AL52" s="323"/>
      <c r="AM52" s="323"/>
      <c r="AN52" s="323"/>
      <c r="AO52" s="323"/>
      <c r="AP52" s="323"/>
      <c r="AQ52" s="323"/>
      <c r="AR52" s="323"/>
      <c r="AS52" s="323"/>
      <c r="AT52" s="323"/>
      <c r="AU52" s="60"/>
      <c r="AV52" s="324"/>
      <c r="AW52" s="325"/>
      <c r="AZ52" s="251" t="str">
        <f t="shared" si="32"/>
        <v>1</v>
      </c>
      <c r="BA52" s="251" t="str">
        <f t="shared" ca="1" si="33"/>
        <v>1</v>
      </c>
    </row>
    <row r="53" spans="2:53" ht="13.5" thickBot="1">
      <c r="B53" s="8" t="s">
        <v>854</v>
      </c>
      <c r="E53" s="248"/>
      <c r="F53" s="8"/>
      <c r="G53" s="8"/>
      <c r="H53" s="8"/>
      <c r="I53" s="8"/>
      <c r="J53" s="8"/>
      <c r="K53" s="8"/>
      <c r="L53" s="8"/>
      <c r="M53" s="8"/>
      <c r="N53" s="8"/>
      <c r="O53" s="8"/>
      <c r="P53" s="8"/>
      <c r="Q53" s="8"/>
      <c r="R53" s="8"/>
      <c r="S53" s="8"/>
      <c r="T53" s="8"/>
      <c r="U53" s="8"/>
      <c r="V53" s="8"/>
      <c r="W53" s="8"/>
      <c r="X53" s="8"/>
      <c r="Y53" s="8"/>
      <c r="Z53" s="8"/>
      <c r="AA53" s="8"/>
      <c r="AB53" s="8"/>
      <c r="AC53" s="313"/>
      <c r="AD53" s="57"/>
      <c r="AE53" s="60"/>
      <c r="AF53" s="250"/>
      <c r="AR53" s="13"/>
      <c r="AS53" s="335"/>
      <c r="AZ53" s="251" t="str">
        <f t="shared" si="32"/>
        <v>1</v>
      </c>
      <c r="BA53" s="251" t="str">
        <f t="shared" si="33"/>
        <v>1</v>
      </c>
    </row>
    <row r="54" spans="2:53" s="317" customFormat="1" ht="16.5" thickBot="1">
      <c r="B54" s="919">
        <v>1.4735</v>
      </c>
      <c r="E54" s="240" t="s">
        <v>737</v>
      </c>
      <c r="F54" s="202"/>
      <c r="G54" s="202"/>
      <c r="H54" s="203"/>
      <c r="I54" s="202"/>
      <c r="J54" s="201"/>
      <c r="K54" s="201"/>
      <c r="L54" s="202"/>
      <c r="M54" s="204"/>
      <c r="N54" s="204"/>
      <c r="O54" s="204"/>
      <c r="P54" s="204"/>
      <c r="Q54" s="204"/>
      <c r="R54" s="204"/>
      <c r="S54" s="204"/>
      <c r="T54" s="204"/>
      <c r="U54" s="204"/>
      <c r="V54" s="204"/>
      <c r="W54" s="204"/>
      <c r="X54" s="204"/>
      <c r="Y54" s="204"/>
      <c r="Z54" s="204"/>
      <c r="AA54" s="204"/>
      <c r="AB54" s="204"/>
      <c r="AC54" s="204"/>
      <c r="AD54" s="204"/>
      <c r="AE54" s="204"/>
      <c r="AF54" s="1038"/>
      <c r="AG54" s="206"/>
      <c r="AH54" s="206"/>
      <c r="AI54" s="206"/>
      <c r="AJ54" s="206"/>
      <c r="AK54" s="206"/>
      <c r="AL54" s="206"/>
      <c r="AM54" s="206"/>
      <c r="AN54" s="206"/>
      <c r="AO54" s="206"/>
      <c r="AP54" s="206"/>
      <c r="AQ54" s="206"/>
      <c r="AR54" s="206"/>
      <c r="AS54" s="206"/>
      <c r="AT54" s="206"/>
      <c r="AU54" s="206"/>
      <c r="AV54" s="206"/>
      <c r="AW54" s="318"/>
      <c r="AZ54" s="251" t="str">
        <f t="shared" si="32"/>
        <v>1</v>
      </c>
      <c r="BA54" s="251" t="str">
        <f t="shared" si="33"/>
        <v>1</v>
      </c>
    </row>
    <row r="55" spans="2:53" ht="15.75">
      <c r="E55" s="1059" t="s">
        <v>941</v>
      </c>
      <c r="F55" s="1060"/>
      <c r="G55" s="1060"/>
      <c r="H55" s="1061"/>
      <c r="I55" s="1060"/>
      <c r="J55" s="1062"/>
      <c r="K55" s="1062"/>
      <c r="L55" s="1060"/>
      <c r="M55" s="1063"/>
      <c r="N55" s="1063"/>
      <c r="O55" s="1063"/>
      <c r="P55" s="1063"/>
      <c r="Q55" s="1063"/>
      <c r="R55" s="1063"/>
      <c r="S55" s="1063"/>
      <c r="T55" s="1063"/>
      <c r="U55" s="1063"/>
      <c r="V55" s="1063"/>
      <c r="W55" s="1063"/>
      <c r="X55" s="1063"/>
      <c r="Y55" s="1063"/>
      <c r="Z55" s="1063"/>
      <c r="AA55" s="1063"/>
      <c r="AB55" s="1063"/>
      <c r="AC55" s="1063"/>
      <c r="AD55" s="1063"/>
      <c r="AE55" s="1063"/>
      <c r="AF55" s="1064"/>
      <c r="AG55" s="337"/>
      <c r="AH55" s="337"/>
      <c r="AI55" s="323"/>
      <c r="AJ55" s="323"/>
      <c r="AK55" s="323"/>
      <c r="AL55" s="20"/>
      <c r="AM55" s="337"/>
      <c r="AN55" s="337"/>
      <c r="AO55" s="337"/>
      <c r="AP55" s="337"/>
      <c r="AQ55" s="337"/>
      <c r="AR55" s="323"/>
      <c r="AS55" s="337"/>
      <c r="AT55" s="323"/>
      <c r="AU55" s="60"/>
      <c r="AV55" s="324"/>
      <c r="AW55" s="325"/>
    </row>
    <row r="56" spans="2:53">
      <c r="E56" s="832" t="s">
        <v>912</v>
      </c>
      <c r="F56" s="8"/>
      <c r="G56" s="8"/>
      <c r="H56" s="8"/>
      <c r="I56" s="8"/>
      <c r="J56" s="8"/>
      <c r="K56" s="8"/>
      <c r="L56" s="363" t="s">
        <v>617</v>
      </c>
      <c r="M56" s="336">
        <f>'[6]Service Quote'!$E$23</f>
        <v>499.95</v>
      </c>
      <c r="N56" s="336">
        <f ca="1">ROUND($M56*(VLOOKUP($L56,$L$9:$AB$24,N$6,FALSE)),2)</f>
        <v>499.95</v>
      </c>
      <c r="O56" s="336">
        <f t="shared" ref="O56:Q58" ca="1" si="35">ROUND($N56*(VLOOKUP($L56,$L$9:$AB$24,O$6,FALSE)),2)</f>
        <v>0</v>
      </c>
      <c r="P56" s="336">
        <f t="shared" ca="1" si="35"/>
        <v>0</v>
      </c>
      <c r="Q56" s="336">
        <f t="shared" ca="1" si="35"/>
        <v>0</v>
      </c>
      <c r="R56" s="336">
        <f ca="1">ROUND(($N56+$Q56)*(VLOOKUP($L56,$L$9:$AB$24,R$6,FALSE)),2)</f>
        <v>0</v>
      </c>
      <c r="S56" s="336"/>
      <c r="T56" s="336"/>
      <c r="U56" s="336">
        <f t="shared" ref="U56:Y58" ca="1" si="36">ROUND($N56*(VLOOKUP($L56,$L$9:$AB$24,U$6,FALSE)),2)</f>
        <v>0</v>
      </c>
      <c r="V56" s="336">
        <f t="shared" ca="1" si="36"/>
        <v>0</v>
      </c>
      <c r="W56" s="336">
        <f t="shared" ca="1" si="36"/>
        <v>0</v>
      </c>
      <c r="X56" s="336">
        <f t="shared" ca="1" si="36"/>
        <v>0</v>
      </c>
      <c r="Y56" s="336">
        <f t="shared" ca="1" si="36"/>
        <v>0</v>
      </c>
      <c r="Z56" s="336">
        <f ca="1">IF($R56=0,ROUND(SUM($N56:$R56)*(VLOOKUP($L56,$L$9:$AB$24,Z$6,FALSE)),2),ROUND(SUM($R56:$R56)*(VLOOKUP($L56,$L$9:$AB$24,Z$6,FALSE)),2))</f>
        <v>46.2</v>
      </c>
      <c r="AA56" s="336">
        <f ca="1">SUM(N56:Z56)</f>
        <v>546.15</v>
      </c>
      <c r="AB56" s="336">
        <f ca="1">ROUND(AA56*(VLOOKUP($L56,$L$9:$AB$24,AB$6,FALSE)),2)</f>
        <v>43.69</v>
      </c>
      <c r="AC56" s="336">
        <f ca="1">SUM(AA56:AB56)</f>
        <v>589.83999999999992</v>
      </c>
      <c r="AD56" s="214">
        <v>1</v>
      </c>
      <c r="AE56" s="336">
        <f ca="1">$AC56*$AD56</f>
        <v>589.83999999999992</v>
      </c>
      <c r="AF56" s="250"/>
      <c r="AG56" s="337"/>
      <c r="AH56" s="337"/>
      <c r="AI56" s="323">
        <f ca="1">AA56*AD56</f>
        <v>546.15</v>
      </c>
      <c r="AJ56" s="323">
        <f ca="1">AC56*AD56</f>
        <v>589.83999999999992</v>
      </c>
      <c r="AK56" s="323">
        <f ca="1">AJ56-AI56</f>
        <v>43.689999999999941</v>
      </c>
      <c r="AL56" s="20">
        <f ca="1">IF(AK56=0,0,ROUND(AK56/AI56,2))</f>
        <v>0.08</v>
      </c>
      <c r="AM56" s="337"/>
      <c r="AN56" s="337"/>
      <c r="AO56" s="337"/>
      <c r="AP56" s="337"/>
      <c r="AQ56" s="337"/>
      <c r="AR56" s="323"/>
      <c r="AS56" s="337"/>
      <c r="AT56" s="323"/>
      <c r="AU56" s="60"/>
      <c r="AV56" s="324"/>
      <c r="AW56" s="325"/>
      <c r="AZ56" s="251" t="str">
        <f ca="1">IF((OR((AC56=""),(AC56&gt;0))),"1","0")</f>
        <v>1</v>
      </c>
      <c r="BA56" s="251" t="str">
        <f ca="1">IF((OR((AE56=""),(AE56&gt;0))),"1","0")</f>
        <v>1</v>
      </c>
    </row>
    <row r="57" spans="2:53">
      <c r="E57" s="832" t="s">
        <v>913</v>
      </c>
      <c r="F57" s="8"/>
      <c r="G57" s="8"/>
      <c r="H57" s="8"/>
      <c r="I57" s="8"/>
      <c r="J57" s="8"/>
      <c r="K57" s="8"/>
      <c r="L57" s="363" t="s">
        <v>617</v>
      </c>
      <c r="M57" s="336">
        <f>'[6]Service Quote'!$E$26</f>
        <v>359</v>
      </c>
      <c r="N57" s="336">
        <f ca="1">ROUND($M57*(VLOOKUP($L57,$L$9:$AB$24,N$6,FALSE)),2)</f>
        <v>359</v>
      </c>
      <c r="O57" s="336">
        <f t="shared" ca="1" si="35"/>
        <v>0</v>
      </c>
      <c r="P57" s="336">
        <f t="shared" ca="1" si="35"/>
        <v>0</v>
      </c>
      <c r="Q57" s="336">
        <f t="shared" ca="1" si="35"/>
        <v>0</v>
      </c>
      <c r="R57" s="336">
        <f ca="1">ROUND(($N57+$Q57)*(VLOOKUP($L57,$L$9:$AB$24,R$6,FALSE)),2)</f>
        <v>0</v>
      </c>
      <c r="S57" s="336"/>
      <c r="T57" s="336"/>
      <c r="U57" s="336">
        <f t="shared" ca="1" si="36"/>
        <v>0</v>
      </c>
      <c r="V57" s="336">
        <f t="shared" ca="1" si="36"/>
        <v>0</v>
      </c>
      <c r="W57" s="336">
        <f t="shared" ca="1" si="36"/>
        <v>0</v>
      </c>
      <c r="X57" s="336">
        <f t="shared" ca="1" si="36"/>
        <v>0</v>
      </c>
      <c r="Y57" s="336">
        <f t="shared" ca="1" si="36"/>
        <v>0</v>
      </c>
      <c r="Z57" s="336">
        <f ca="1">IF($R57=0,ROUND(SUM($N57:$R57)*(VLOOKUP($L57,$L$9:$AB$24,Z$6,FALSE)),2),ROUND(SUM($R57:$R57)*(VLOOKUP($L57,$L$9:$AB$24,Z$6,FALSE)),2))</f>
        <v>33.17</v>
      </c>
      <c r="AA57" s="336">
        <f ca="1">SUM(N57:Z57)</f>
        <v>392.17</v>
      </c>
      <c r="AB57" s="336">
        <f ca="1">ROUND(AA57*(VLOOKUP($L57,$L$9:$AB$24,AB$6,FALSE)),2)</f>
        <v>31.37</v>
      </c>
      <c r="AC57" s="336">
        <f ca="1">SUM(AA57:AB57)</f>
        <v>423.54</v>
      </c>
      <c r="AD57" s="214">
        <v>1</v>
      </c>
      <c r="AE57" s="336">
        <f ca="1">$AC57*$AD57</f>
        <v>423.54</v>
      </c>
      <c r="AF57" s="250"/>
      <c r="AG57" s="337"/>
      <c r="AH57" s="337"/>
      <c r="AI57" s="323">
        <f ca="1">AA57*AD57</f>
        <v>392.17</v>
      </c>
      <c r="AJ57" s="323">
        <f ca="1">AC57*AD57</f>
        <v>423.54</v>
      </c>
      <c r="AK57" s="323">
        <f ca="1">AJ57-AI57</f>
        <v>31.370000000000005</v>
      </c>
      <c r="AL57" s="20">
        <f ca="1">IF(AK57=0,0,ROUND(AK57/AI57,2))</f>
        <v>0.08</v>
      </c>
      <c r="AM57" s="337"/>
      <c r="AN57" s="337"/>
      <c r="AO57" s="337"/>
      <c r="AP57" s="337"/>
      <c r="AQ57" s="337"/>
      <c r="AR57" s="323"/>
      <c r="AS57" s="337"/>
      <c r="AT57" s="323"/>
      <c r="AU57" s="60"/>
      <c r="AV57" s="324"/>
      <c r="AW57" s="325"/>
      <c r="AZ57" s="251" t="str">
        <f ca="1">IF((OR((AC57=""),(AC57&gt;0))),"1","0")</f>
        <v>1</v>
      </c>
      <c r="BA57" s="251" t="str">
        <f ca="1">IF((OR((AE57=""),(AE57&gt;0))),"1","0")</f>
        <v>1</v>
      </c>
    </row>
    <row r="58" spans="2:53">
      <c r="E58" s="832" t="s">
        <v>914</v>
      </c>
      <c r="F58" s="8"/>
      <c r="G58" s="8"/>
      <c r="H58" s="8"/>
      <c r="I58" s="8"/>
      <c r="J58" s="8"/>
      <c r="K58" s="8"/>
      <c r="L58" s="363" t="s">
        <v>617</v>
      </c>
      <c r="M58" s="336">
        <f>'[6]Service Quote'!$E$29</f>
        <v>199.95</v>
      </c>
      <c r="N58" s="336">
        <f ca="1">ROUND($M58*(VLOOKUP($L58,$L$9:$AB$24,N$6,FALSE)),2)</f>
        <v>199.95</v>
      </c>
      <c r="O58" s="336">
        <f t="shared" ca="1" si="35"/>
        <v>0</v>
      </c>
      <c r="P58" s="336">
        <f t="shared" ca="1" si="35"/>
        <v>0</v>
      </c>
      <c r="Q58" s="336">
        <f t="shared" ca="1" si="35"/>
        <v>0</v>
      </c>
      <c r="R58" s="336">
        <f ca="1">ROUND(($N58+$Q58)*(VLOOKUP($L58,$L$9:$AB$24,R$6,FALSE)),2)</f>
        <v>0</v>
      </c>
      <c r="S58" s="336"/>
      <c r="T58" s="336"/>
      <c r="U58" s="336">
        <f t="shared" ca="1" si="36"/>
        <v>0</v>
      </c>
      <c r="V58" s="336">
        <f t="shared" ca="1" si="36"/>
        <v>0</v>
      </c>
      <c r="W58" s="336">
        <f t="shared" ca="1" si="36"/>
        <v>0</v>
      </c>
      <c r="X58" s="336">
        <f t="shared" ca="1" si="36"/>
        <v>0</v>
      </c>
      <c r="Y58" s="336">
        <f t="shared" ca="1" si="36"/>
        <v>0</v>
      </c>
      <c r="Z58" s="336">
        <f ca="1">IF($R58=0,ROUND(SUM($N58:$R58)*(VLOOKUP($L58,$L$9:$AB$24,Z$6,FALSE)),2),ROUND(SUM($R58:$R58)*(VLOOKUP($L58,$L$9:$AB$24,Z$6,FALSE)),2))</f>
        <v>18.48</v>
      </c>
      <c r="AA58" s="336">
        <f ca="1">SUM(N58:Z58)</f>
        <v>218.42999999999998</v>
      </c>
      <c r="AB58" s="336">
        <f ca="1">ROUND(AA58*(VLOOKUP($L58,$L$9:$AB$24,AB$6,FALSE)),2)</f>
        <v>17.47</v>
      </c>
      <c r="AC58" s="336">
        <f ca="1">SUM(AA58:AB58)</f>
        <v>235.89999999999998</v>
      </c>
      <c r="AD58" s="214">
        <v>1</v>
      </c>
      <c r="AE58" s="336">
        <f ca="1">$AC58*$AD58</f>
        <v>235.89999999999998</v>
      </c>
      <c r="AF58" s="250"/>
      <c r="AG58" s="337"/>
      <c r="AH58" s="337"/>
      <c r="AI58" s="323">
        <f ca="1">AA58*AD58</f>
        <v>218.42999999999998</v>
      </c>
      <c r="AJ58" s="323">
        <f ca="1">AC58*AD58</f>
        <v>235.89999999999998</v>
      </c>
      <c r="AK58" s="323">
        <f ca="1">AJ58-AI58</f>
        <v>17.47</v>
      </c>
      <c r="AL58" s="20">
        <f ca="1">IF(AK58=0,0,ROUND(AK58/AI58,2))</f>
        <v>0.08</v>
      </c>
      <c r="AM58" s="337"/>
      <c r="AN58" s="337"/>
      <c r="AO58" s="337"/>
      <c r="AP58" s="337"/>
      <c r="AQ58" s="337"/>
      <c r="AR58" s="323"/>
      <c r="AS58" s="337"/>
      <c r="AT58" s="323"/>
      <c r="AU58" s="60"/>
      <c r="AV58" s="324"/>
      <c r="AW58" s="325"/>
    </row>
    <row r="59" spans="2:53">
      <c r="E59" s="832"/>
      <c r="F59" s="8"/>
      <c r="G59" s="8"/>
      <c r="H59" s="8"/>
      <c r="I59" s="8"/>
      <c r="J59" s="8"/>
      <c r="K59" s="8"/>
      <c r="L59" s="363"/>
      <c r="M59" s="336"/>
      <c r="N59" s="336"/>
      <c r="O59" s="336"/>
      <c r="P59" s="336"/>
      <c r="Q59" s="336"/>
      <c r="R59" s="336"/>
      <c r="S59" s="336"/>
      <c r="T59" s="336"/>
      <c r="U59" s="336"/>
      <c r="V59" s="336"/>
      <c r="W59" s="336"/>
      <c r="X59" s="336"/>
      <c r="Y59" s="336"/>
      <c r="Z59" s="336"/>
      <c r="AA59" s="336"/>
      <c r="AB59" s="336"/>
      <c r="AC59" s="336" t="s">
        <v>942</v>
      </c>
      <c r="AD59" s="214"/>
      <c r="AE59" s="336">
        <f ca="1">SUBTOTAL(9,AE56:AE58)</f>
        <v>1249.2799999999997</v>
      </c>
      <c r="AF59" s="250"/>
      <c r="AG59" s="337"/>
      <c r="AH59" s="337"/>
      <c r="AI59" s="323"/>
      <c r="AJ59" s="323"/>
      <c r="AK59" s="323"/>
      <c r="AL59" s="20"/>
      <c r="AM59" s="337"/>
      <c r="AN59" s="337"/>
      <c r="AO59" s="337"/>
      <c r="AP59" s="337"/>
      <c r="AQ59" s="337"/>
      <c r="AR59" s="323"/>
      <c r="AS59" s="337"/>
      <c r="AT59" s="323"/>
      <c r="AU59" s="60"/>
      <c r="AV59" s="324"/>
      <c r="AW59" s="325"/>
    </row>
    <row r="60" spans="2:53">
      <c r="E60" s="338"/>
      <c r="F60" s="327"/>
      <c r="G60" s="327"/>
      <c r="H60" s="327"/>
      <c r="I60" s="327"/>
      <c r="J60" s="327"/>
      <c r="K60" s="327"/>
      <c r="L60" s="327"/>
      <c r="M60" s="339"/>
      <c r="N60" s="339"/>
      <c r="O60" s="339"/>
      <c r="P60" s="339"/>
      <c r="Q60" s="339"/>
      <c r="R60" s="339"/>
      <c r="S60" s="339"/>
      <c r="T60" s="339"/>
      <c r="U60" s="339"/>
      <c r="V60" s="339"/>
      <c r="W60" s="339"/>
      <c r="X60" s="339"/>
      <c r="Y60" s="339"/>
      <c r="Z60" s="339"/>
      <c r="AA60" s="339"/>
      <c r="AB60" s="339"/>
      <c r="AC60" s="339"/>
      <c r="AD60" s="331"/>
      <c r="AE60" s="339"/>
      <c r="AF60" s="1037"/>
      <c r="AG60" s="339"/>
      <c r="AH60" s="339"/>
      <c r="AI60" s="339"/>
      <c r="AJ60" s="339"/>
      <c r="AK60" s="339"/>
      <c r="AL60" s="339"/>
      <c r="AM60" s="339"/>
      <c r="AN60" s="339"/>
      <c r="AO60" s="339"/>
      <c r="AP60" s="339"/>
      <c r="AQ60" s="339"/>
      <c r="AR60" s="332"/>
      <c r="AS60" s="339"/>
      <c r="AT60" s="332"/>
      <c r="AU60" s="332"/>
      <c r="AV60" s="333"/>
      <c r="AW60" s="325"/>
      <c r="AZ60" s="251" t="str">
        <f t="shared" si="32"/>
        <v>1</v>
      </c>
      <c r="BA60" s="251" t="str">
        <f t="shared" si="33"/>
        <v>1</v>
      </c>
    </row>
    <row r="61" spans="2:53">
      <c r="E61" s="248"/>
      <c r="F61" s="8"/>
      <c r="G61" s="8"/>
      <c r="H61" s="8"/>
      <c r="I61" s="8"/>
      <c r="J61" s="8"/>
      <c r="K61" s="8"/>
      <c r="L61" s="8"/>
      <c r="M61" s="8"/>
      <c r="N61" s="8"/>
      <c r="O61" s="8"/>
      <c r="P61" s="8"/>
      <c r="Q61" s="8"/>
      <c r="R61" s="8"/>
      <c r="S61" s="8"/>
      <c r="T61" s="8"/>
      <c r="U61" s="8"/>
      <c r="V61" s="8"/>
      <c r="W61" s="8"/>
      <c r="X61" s="8"/>
      <c r="Y61" s="8"/>
      <c r="Z61" s="8"/>
      <c r="AA61" s="8"/>
      <c r="AB61" s="8"/>
      <c r="AC61" s="8"/>
      <c r="AD61" s="8"/>
      <c r="AE61" s="336"/>
      <c r="AF61" s="250"/>
      <c r="AZ61" s="251" t="str">
        <f t="shared" si="32"/>
        <v>1</v>
      </c>
      <c r="BA61" s="251" t="str">
        <f t="shared" si="33"/>
        <v>1</v>
      </c>
    </row>
    <row r="62" spans="2:53">
      <c r="E62" s="248"/>
      <c r="F62" s="8"/>
      <c r="G62" s="8"/>
      <c r="H62" s="8"/>
      <c r="I62" s="8"/>
      <c r="J62" s="8"/>
      <c r="K62" s="8"/>
      <c r="L62" s="8"/>
      <c r="M62" s="8"/>
      <c r="N62" s="8"/>
      <c r="O62" s="8"/>
      <c r="P62" s="8"/>
      <c r="Q62" s="8"/>
      <c r="R62" s="8"/>
      <c r="S62" s="8"/>
      <c r="T62" s="8"/>
      <c r="U62" s="8"/>
      <c r="V62" s="8"/>
      <c r="W62" s="8"/>
      <c r="X62" s="8"/>
      <c r="Y62" s="8"/>
      <c r="Z62" s="8"/>
      <c r="AA62" s="8"/>
      <c r="AB62" s="8"/>
      <c r="AC62" s="313" t="s">
        <v>648</v>
      </c>
      <c r="AD62" s="322"/>
      <c r="AE62" s="1029">
        <f ca="1">SUBTOTAL(9,AE$54:AE$61)</f>
        <v>1249.2799999999997</v>
      </c>
      <c r="AF62" s="250"/>
      <c r="AG62" s="337"/>
      <c r="AH62" s="337"/>
      <c r="AI62" s="337">
        <f ca="1">SUM(AI32:AI58)</f>
        <v>83119.280967262472</v>
      </c>
      <c r="AJ62" s="337">
        <f ca="1">SUM(AJ32:AJ58)</f>
        <v>89768.8</v>
      </c>
      <c r="AK62" s="337">
        <f ca="1">SUM(AK32:AK58)</f>
        <v>6649.5190327375303</v>
      </c>
      <c r="AL62" s="20">
        <f ca="1">IF(AK62=0,0,ROUND(AK62/AI62,2))</f>
        <v>0.08</v>
      </c>
      <c r="AM62" s="337"/>
      <c r="AN62" s="337"/>
      <c r="AO62" s="337"/>
      <c r="AP62" s="337"/>
      <c r="AQ62" s="337"/>
      <c r="AR62" s="337"/>
      <c r="AS62" s="337"/>
      <c r="AT62" s="337"/>
      <c r="AU62" s="336"/>
      <c r="AV62" s="324"/>
      <c r="AW62" s="325"/>
      <c r="AZ62" s="251" t="str">
        <f t="shared" si="32"/>
        <v>1</v>
      </c>
      <c r="BA62" s="251" t="str">
        <f t="shared" ca="1" si="33"/>
        <v>1</v>
      </c>
    </row>
    <row r="63" spans="2:53">
      <c r="E63" s="248"/>
      <c r="F63" s="8"/>
      <c r="G63" s="8"/>
      <c r="H63" s="8"/>
      <c r="I63" s="8"/>
      <c r="J63" s="8"/>
      <c r="K63" s="8"/>
      <c r="L63" s="8"/>
      <c r="M63" s="8"/>
      <c r="N63" s="8"/>
      <c r="O63" s="8"/>
      <c r="P63" s="8"/>
      <c r="Q63" s="8"/>
      <c r="R63" s="8"/>
      <c r="S63" s="8"/>
      <c r="T63" s="8"/>
      <c r="U63" s="8"/>
      <c r="V63" s="8"/>
      <c r="W63" s="8"/>
      <c r="X63" s="8"/>
      <c r="Y63" s="8"/>
      <c r="Z63" s="8"/>
      <c r="AA63" s="8"/>
      <c r="AB63" s="8"/>
      <c r="AC63" s="8"/>
      <c r="AD63" s="8"/>
      <c r="AE63" s="8"/>
      <c r="AF63" s="250"/>
      <c r="AR63" s="13"/>
      <c r="AS63" s="335"/>
      <c r="AZ63" s="251" t="str">
        <f t="shared" si="32"/>
        <v>1</v>
      </c>
      <c r="BA63" s="251" t="str">
        <f t="shared" si="33"/>
        <v>1</v>
      </c>
    </row>
    <row r="64" spans="2:53">
      <c r="E64" s="340"/>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41"/>
      <c r="AG64" s="307"/>
      <c r="AH64" s="307"/>
      <c r="AI64" s="307"/>
      <c r="AJ64" s="307"/>
      <c r="AK64" s="307"/>
      <c r="AL64" s="307"/>
      <c r="AM64" s="307"/>
      <c r="AN64" s="307"/>
      <c r="AO64" s="307"/>
      <c r="AP64" s="307"/>
      <c r="AQ64" s="307"/>
      <c r="AR64" s="307"/>
      <c r="AS64" s="307"/>
      <c r="AT64" s="307"/>
      <c r="AV64" s="307"/>
      <c r="AZ64" s="251" t="str">
        <f t="shared" si="32"/>
        <v>1</v>
      </c>
      <c r="BA64" s="251" t="str">
        <f t="shared" si="33"/>
        <v>1</v>
      </c>
    </row>
    <row r="65" spans="5:53" ht="13.5" thickBot="1">
      <c r="E65" s="252"/>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342" t="s">
        <v>649</v>
      </c>
      <c r="AD65" s="343">
        <f>AD52</f>
        <v>1060</v>
      </c>
      <c r="AE65" s="1030">
        <f ca="1">SUBTOTAL(9,AE$31:AE$64)</f>
        <v>89768.8</v>
      </c>
      <c r="AF65" s="258"/>
      <c r="AG65" s="323"/>
      <c r="AH65" s="323"/>
      <c r="AI65" s="323"/>
      <c r="AJ65" s="323"/>
      <c r="AK65" s="323"/>
      <c r="AL65" s="323"/>
      <c r="AM65" s="323"/>
      <c r="AN65" s="323"/>
      <c r="AO65" s="323"/>
      <c r="AP65" s="323"/>
      <c r="AQ65" s="323"/>
      <c r="AR65" s="323"/>
      <c r="AS65" s="323"/>
      <c r="AT65" s="323"/>
      <c r="AU65" s="60"/>
      <c r="AV65" s="324"/>
      <c r="AW65" s="325"/>
      <c r="AZ65" s="251" t="str">
        <f t="shared" si="32"/>
        <v>1</v>
      </c>
      <c r="BA65" s="251" t="str">
        <f t="shared" ca="1" si="33"/>
        <v>1</v>
      </c>
    </row>
    <row r="66" spans="5:53">
      <c r="AR66" s="344"/>
      <c r="AS66" s="345"/>
      <c r="AZ66" s="251" t="str">
        <f t="shared" si="32"/>
        <v>1</v>
      </c>
      <c r="BA66" s="251" t="str">
        <f t="shared" si="33"/>
        <v>1</v>
      </c>
    </row>
    <row r="67" spans="5:53">
      <c r="AZ67" s="251" t="str">
        <f t="shared" si="32"/>
        <v>1</v>
      </c>
      <c r="BA67" s="251" t="str">
        <f t="shared" si="33"/>
        <v>1</v>
      </c>
    </row>
    <row r="68" spans="5:53">
      <c r="O68" s="346"/>
      <c r="P68" s="346"/>
      <c r="R68" s="280" t="s">
        <v>633</v>
      </c>
      <c r="S68" s="1160"/>
      <c r="T68" s="1160"/>
      <c r="U68" s="346"/>
      <c r="V68" s="346"/>
      <c r="W68" s="346"/>
      <c r="X68" s="346"/>
      <c r="Y68" s="346"/>
      <c r="Z68" s="282" t="s">
        <v>61</v>
      </c>
      <c r="AA68" s="281" t="s">
        <v>60</v>
      </c>
      <c r="AB68" s="282" t="s">
        <v>63</v>
      </c>
      <c r="AC68" s="281" t="s">
        <v>59</v>
      </c>
      <c r="AD68" s="282" t="s">
        <v>602</v>
      </c>
      <c r="AE68" s="281" t="s">
        <v>638</v>
      </c>
      <c r="AZ68" s="251" t="str">
        <f t="shared" si="32"/>
        <v>1</v>
      </c>
      <c r="BA68" s="251" t="str">
        <f t="shared" si="33"/>
        <v>1</v>
      </c>
    </row>
    <row r="69" spans="5:53">
      <c r="O69" s="8"/>
      <c r="P69" s="8"/>
      <c r="R69" s="347" t="s">
        <v>643</v>
      </c>
      <c r="S69" s="1161"/>
      <c r="T69" s="1161"/>
      <c r="U69" s="8"/>
      <c r="V69" s="8"/>
      <c r="W69" s="8"/>
      <c r="X69" s="8"/>
      <c r="Y69" s="8"/>
      <c r="Z69" s="348">
        <f>IF(AD69=0,0,(AD69/AD$90))</f>
        <v>0.99622641509433962</v>
      </c>
      <c r="AA69" s="349">
        <f ca="1">IF(AE69=0,0,(AE69/AE$90))</f>
        <v>0.96114393751796212</v>
      </c>
      <c r="AB69" s="350" t="s">
        <v>62</v>
      </c>
      <c r="AC69" s="269" t="s">
        <v>62</v>
      </c>
      <c r="AD69" s="351">
        <f t="shared" ref="AD69:AE89" si="37">SUMIF($G$31:$G$53,$R69,AD$31:AD$63)</f>
        <v>1056</v>
      </c>
      <c r="AE69" s="352">
        <f t="shared" ca="1" si="37"/>
        <v>85080.000000000015</v>
      </c>
      <c r="AF69" s="6" t="str">
        <f t="shared" ref="AF69:AF89" si="38">R69</f>
        <v>ManTech</v>
      </c>
      <c r="AG69" s="60"/>
      <c r="AH69" s="60"/>
      <c r="AI69" s="60"/>
      <c r="AJ69" s="60"/>
      <c r="AK69" s="60"/>
      <c r="AL69" s="60"/>
      <c r="AM69" s="60"/>
      <c r="AN69" s="60"/>
      <c r="AO69" s="60"/>
      <c r="AP69" s="60"/>
      <c r="AQ69" s="60"/>
      <c r="AR69" s="60"/>
      <c r="AS69" s="60"/>
      <c r="AT69" s="60"/>
      <c r="AU69" s="60"/>
      <c r="AV69" s="324"/>
      <c r="AW69" s="325"/>
      <c r="AZ69" s="251" t="str">
        <f t="shared" si="32"/>
        <v>1</v>
      </c>
      <c r="BA69" s="251" t="str">
        <f t="shared" ca="1" si="33"/>
        <v>1</v>
      </c>
    </row>
    <row r="70" spans="5:53">
      <c r="M70" s="11"/>
      <c r="O70" s="8"/>
      <c r="P70" s="8"/>
      <c r="R70" s="347" t="str">
        <f>InputSheet!C149</f>
        <v>Segovia, Inc.</v>
      </c>
      <c r="S70" s="1161"/>
      <c r="T70" s="1161"/>
      <c r="U70" s="8"/>
      <c r="V70" s="8"/>
      <c r="W70" s="8"/>
      <c r="X70" s="8"/>
      <c r="Y70" s="8"/>
      <c r="Z70" s="348">
        <f t="shared" ref="Z70:AA89" si="39">IF(AD70=0,0,(AD70/AD$90))</f>
        <v>3.7735849056603774E-3</v>
      </c>
      <c r="AA70" s="349">
        <f t="shared" ca="1" si="39"/>
        <v>3.8856062482037851E-2</v>
      </c>
      <c r="AB70" s="348">
        <f>IF(AD70=0,0,(AD70/(AD$90-AD$69)))</f>
        <v>1</v>
      </c>
      <c r="AC70" s="353">
        <f ca="1">IF(AE70=0,0,(AE70/(AE$90-AE$69)))</f>
        <v>0.99999999999999878</v>
      </c>
      <c r="AD70" s="351">
        <f t="shared" si="37"/>
        <v>4</v>
      </c>
      <c r="AE70" s="352">
        <f t="shared" ca="1" si="37"/>
        <v>3439.52</v>
      </c>
      <c r="AF70" s="6" t="str">
        <f t="shared" si="38"/>
        <v>Segovia, Inc.</v>
      </c>
      <c r="AG70" s="60"/>
      <c r="AH70" s="60"/>
      <c r="AI70" s="60"/>
      <c r="AJ70" s="60"/>
      <c r="AK70" s="60"/>
      <c r="AL70" s="60"/>
      <c r="AM70" s="60"/>
      <c r="AN70" s="60"/>
      <c r="AO70" s="60"/>
      <c r="AP70" s="60"/>
      <c r="AQ70" s="60"/>
      <c r="AR70" s="60"/>
      <c r="AS70" s="60"/>
      <c r="AT70" s="60"/>
      <c r="AU70" s="60"/>
      <c r="AV70" s="324"/>
      <c r="AW70" s="325"/>
      <c r="AZ70" s="251" t="str">
        <f t="shared" ca="1" si="32"/>
        <v>1</v>
      </c>
      <c r="BA70" s="251" t="str">
        <f t="shared" ca="1" si="33"/>
        <v>1</v>
      </c>
    </row>
    <row r="71" spans="5:53">
      <c r="M71" s="11"/>
      <c r="O71" s="8"/>
      <c r="P71" s="8"/>
      <c r="R71" s="347" t="str">
        <f>InputSheet!C150</f>
        <v>Briggs and Sons</v>
      </c>
      <c r="S71" s="1161"/>
      <c r="T71" s="1161"/>
      <c r="U71" s="8"/>
      <c r="V71" s="8"/>
      <c r="W71" s="8"/>
      <c r="X71" s="8"/>
      <c r="Y71" s="8"/>
      <c r="Z71" s="348">
        <f t="shared" si="39"/>
        <v>0</v>
      </c>
      <c r="AA71" s="349">
        <f t="shared" si="39"/>
        <v>0</v>
      </c>
      <c r="AB71" s="348">
        <f t="shared" ref="AB71:AC89" si="40">IF(AD71=0,0,(AD71/(AD$90-AD$69)))</f>
        <v>0</v>
      </c>
      <c r="AC71" s="353">
        <f t="shared" si="40"/>
        <v>0</v>
      </c>
      <c r="AD71" s="351">
        <f t="shared" si="37"/>
        <v>0</v>
      </c>
      <c r="AE71" s="352">
        <f t="shared" si="37"/>
        <v>0</v>
      </c>
      <c r="AF71" s="6" t="str">
        <f t="shared" si="38"/>
        <v>Briggs and Sons</v>
      </c>
      <c r="AG71" s="60"/>
      <c r="AH71" s="60"/>
      <c r="AI71" s="60"/>
      <c r="AJ71" s="60"/>
      <c r="AK71" s="60"/>
      <c r="AL71" s="60"/>
      <c r="AM71" s="60"/>
      <c r="AN71" s="60"/>
      <c r="AO71" s="60"/>
      <c r="AP71" s="60"/>
      <c r="AQ71" s="60"/>
      <c r="AR71" s="60"/>
      <c r="AS71" s="60"/>
      <c r="AT71" s="60"/>
      <c r="AU71" s="60"/>
      <c r="AV71" s="324"/>
      <c r="AW71" s="325"/>
      <c r="AZ71" s="251" t="str">
        <f t="shared" si="32"/>
        <v>0</v>
      </c>
      <c r="BA71" s="251" t="str">
        <f t="shared" si="33"/>
        <v>0</v>
      </c>
    </row>
    <row r="72" spans="5:53">
      <c r="M72" s="11"/>
      <c r="O72" s="8"/>
      <c r="P72" s="8"/>
      <c r="R72" s="347" t="str">
        <f>InputSheet!C151</f>
        <v>Yvan</v>
      </c>
      <c r="S72" s="1161"/>
      <c r="T72" s="1161"/>
      <c r="U72" s="8"/>
      <c r="V72" s="8"/>
      <c r="W72" s="8"/>
      <c r="X72" s="8"/>
      <c r="Y72" s="8"/>
      <c r="Z72" s="348">
        <f t="shared" si="39"/>
        <v>0</v>
      </c>
      <c r="AA72" s="349">
        <f t="shared" ca="1" si="39"/>
        <v>0</v>
      </c>
      <c r="AB72" s="348">
        <f t="shared" si="40"/>
        <v>0</v>
      </c>
      <c r="AC72" s="353">
        <f t="shared" ca="1" si="40"/>
        <v>0</v>
      </c>
      <c r="AD72" s="351">
        <f t="shared" si="37"/>
        <v>0</v>
      </c>
      <c r="AE72" s="352">
        <f t="shared" ca="1" si="37"/>
        <v>0</v>
      </c>
      <c r="AF72" s="6" t="str">
        <f t="shared" si="38"/>
        <v>Yvan</v>
      </c>
      <c r="AG72" s="60"/>
      <c r="AH72" s="60"/>
      <c r="AI72" s="60"/>
      <c r="AJ72" s="60"/>
      <c r="AK72" s="60"/>
      <c r="AL72" s="60"/>
      <c r="AM72" s="60"/>
      <c r="AN72" s="60"/>
      <c r="AO72" s="60"/>
      <c r="AP72" s="60"/>
      <c r="AQ72" s="60"/>
      <c r="AR72" s="60"/>
      <c r="AS72" s="60"/>
      <c r="AT72" s="60"/>
      <c r="AU72" s="60"/>
      <c r="AV72" s="324"/>
      <c r="AW72" s="325"/>
      <c r="AZ72" s="251" t="str">
        <f t="shared" ca="1" si="32"/>
        <v>0</v>
      </c>
      <c r="BA72" s="251" t="str">
        <f t="shared" ca="1" si="33"/>
        <v>0</v>
      </c>
    </row>
    <row r="73" spans="5:53">
      <c r="O73" s="8"/>
      <c r="P73" s="8"/>
      <c r="R73" s="347" t="str">
        <f>InputSheet!C152</f>
        <v>Sub 4</v>
      </c>
      <c r="S73" s="1161"/>
      <c r="T73" s="1161"/>
      <c r="U73" s="8"/>
      <c r="V73" s="8"/>
      <c r="W73" s="8"/>
      <c r="X73" s="8"/>
      <c r="Y73" s="8"/>
      <c r="Z73" s="348">
        <f t="shared" si="39"/>
        <v>0</v>
      </c>
      <c r="AA73" s="349">
        <f t="shared" si="39"/>
        <v>0</v>
      </c>
      <c r="AB73" s="348">
        <f t="shared" si="40"/>
        <v>0</v>
      </c>
      <c r="AC73" s="353">
        <f t="shared" si="40"/>
        <v>0</v>
      </c>
      <c r="AD73" s="351">
        <f t="shared" si="37"/>
        <v>0</v>
      </c>
      <c r="AE73" s="352">
        <f t="shared" si="37"/>
        <v>0</v>
      </c>
      <c r="AF73" s="6" t="str">
        <f t="shared" si="38"/>
        <v>Sub 4</v>
      </c>
      <c r="AG73" s="60"/>
      <c r="AH73" s="60"/>
      <c r="AI73" s="60"/>
      <c r="AJ73" s="60"/>
      <c r="AK73" s="60"/>
      <c r="AL73" s="60"/>
      <c r="AM73" s="60"/>
      <c r="AN73" s="60"/>
      <c r="AO73" s="60"/>
      <c r="AP73" s="60"/>
      <c r="AQ73" s="60"/>
      <c r="AR73" s="60"/>
      <c r="AS73" s="60"/>
      <c r="AT73" s="60"/>
      <c r="AU73" s="60"/>
      <c r="AV73" s="324"/>
      <c r="AW73" s="325"/>
      <c r="AZ73" s="251" t="str">
        <f t="shared" si="32"/>
        <v>0</v>
      </c>
      <c r="BA73" s="251" t="str">
        <f t="shared" si="33"/>
        <v>0</v>
      </c>
    </row>
    <row r="74" spans="5:53">
      <c r="O74" s="8"/>
      <c r="P74" s="8"/>
      <c r="R74" s="347" t="str">
        <f>InputSheet!C153</f>
        <v>Sub 5</v>
      </c>
      <c r="S74" s="1161"/>
      <c r="T74" s="1161"/>
      <c r="U74" s="8"/>
      <c r="V74" s="8"/>
      <c r="W74" s="8"/>
      <c r="X74" s="8"/>
      <c r="Y74" s="8"/>
      <c r="Z74" s="348">
        <f t="shared" si="39"/>
        <v>0</v>
      </c>
      <c r="AA74" s="349">
        <f t="shared" si="39"/>
        <v>0</v>
      </c>
      <c r="AB74" s="348">
        <f t="shared" si="40"/>
        <v>0</v>
      </c>
      <c r="AC74" s="353">
        <f t="shared" si="40"/>
        <v>0</v>
      </c>
      <c r="AD74" s="351">
        <f t="shared" si="37"/>
        <v>0</v>
      </c>
      <c r="AE74" s="352">
        <f t="shared" si="37"/>
        <v>0</v>
      </c>
      <c r="AF74" s="6" t="str">
        <f t="shared" si="38"/>
        <v>Sub 5</v>
      </c>
      <c r="AG74" s="60"/>
      <c r="AH74" s="60"/>
      <c r="AI74" s="60"/>
      <c r="AJ74" s="60"/>
      <c r="AK74" s="60"/>
      <c r="AL74" s="60"/>
      <c r="AM74" s="60"/>
      <c r="AN74" s="60"/>
      <c r="AO74" s="60"/>
      <c r="AP74" s="60"/>
      <c r="AQ74" s="60"/>
      <c r="AR74" s="60"/>
      <c r="AS74" s="60"/>
      <c r="AT74" s="60"/>
      <c r="AU74" s="60"/>
      <c r="AV74" s="324"/>
      <c r="AW74" s="325"/>
      <c r="AZ74" s="251" t="str">
        <f t="shared" si="32"/>
        <v>0</v>
      </c>
      <c r="BA74" s="251" t="str">
        <f t="shared" si="33"/>
        <v>0</v>
      </c>
    </row>
    <row r="75" spans="5:53">
      <c r="O75" s="8"/>
      <c r="P75" s="8"/>
      <c r="R75" s="347" t="str">
        <f>InputSheet!C154</f>
        <v>Sub 6</v>
      </c>
      <c r="S75" s="1161"/>
      <c r="T75" s="1161"/>
      <c r="U75" s="8"/>
      <c r="V75" s="8"/>
      <c r="W75" s="8"/>
      <c r="X75" s="8"/>
      <c r="Y75" s="8"/>
      <c r="Z75" s="348">
        <f t="shared" si="39"/>
        <v>0</v>
      </c>
      <c r="AA75" s="349">
        <f t="shared" si="39"/>
        <v>0</v>
      </c>
      <c r="AB75" s="348">
        <f t="shared" si="40"/>
        <v>0</v>
      </c>
      <c r="AC75" s="353">
        <f t="shared" si="40"/>
        <v>0</v>
      </c>
      <c r="AD75" s="351">
        <f t="shared" si="37"/>
        <v>0</v>
      </c>
      <c r="AE75" s="352">
        <f t="shared" si="37"/>
        <v>0</v>
      </c>
      <c r="AF75" s="6" t="str">
        <f t="shared" si="38"/>
        <v>Sub 6</v>
      </c>
      <c r="AG75" s="60"/>
      <c r="AH75" s="60"/>
      <c r="AI75" s="60"/>
      <c r="AJ75" s="60"/>
      <c r="AK75" s="60"/>
      <c r="AL75" s="60"/>
      <c r="AM75" s="60"/>
      <c r="AN75" s="60"/>
      <c r="AO75" s="60"/>
      <c r="AP75" s="60"/>
      <c r="AQ75" s="60"/>
      <c r="AR75" s="60"/>
      <c r="AS75" s="60"/>
      <c r="AT75" s="60"/>
      <c r="AU75" s="60"/>
      <c r="AV75" s="324"/>
      <c r="AW75" s="325"/>
      <c r="AZ75" s="251" t="str">
        <f t="shared" si="32"/>
        <v>0</v>
      </c>
      <c r="BA75" s="251" t="str">
        <f t="shared" si="33"/>
        <v>0</v>
      </c>
    </row>
    <row r="76" spans="5:53">
      <c r="O76" s="8"/>
      <c r="P76" s="8"/>
      <c r="R76" s="347" t="str">
        <f>InputSheet!C155</f>
        <v>Sub 7</v>
      </c>
      <c r="S76" s="1161"/>
      <c r="T76" s="1161"/>
      <c r="U76" s="8"/>
      <c r="V76" s="8"/>
      <c r="W76" s="8"/>
      <c r="X76" s="8"/>
      <c r="Y76" s="8"/>
      <c r="Z76" s="348">
        <f t="shared" si="39"/>
        <v>0</v>
      </c>
      <c r="AA76" s="349">
        <f t="shared" si="39"/>
        <v>0</v>
      </c>
      <c r="AB76" s="348">
        <f t="shared" si="40"/>
        <v>0</v>
      </c>
      <c r="AC76" s="353">
        <f t="shared" si="40"/>
        <v>0</v>
      </c>
      <c r="AD76" s="351">
        <f t="shared" si="37"/>
        <v>0</v>
      </c>
      <c r="AE76" s="352">
        <f t="shared" si="37"/>
        <v>0</v>
      </c>
      <c r="AF76" s="6" t="str">
        <f t="shared" si="38"/>
        <v>Sub 7</v>
      </c>
      <c r="AG76" s="60"/>
      <c r="AH76" s="60"/>
      <c r="AI76" s="60"/>
      <c r="AJ76" s="60"/>
      <c r="AK76" s="60"/>
      <c r="AL76" s="60"/>
      <c r="AM76" s="60"/>
      <c r="AN76" s="60"/>
      <c r="AO76" s="60"/>
      <c r="AP76" s="60"/>
      <c r="AQ76" s="60"/>
      <c r="AR76" s="60"/>
      <c r="AS76" s="60"/>
      <c r="AT76" s="60"/>
      <c r="AU76" s="60"/>
      <c r="AV76" s="324"/>
      <c r="AW76" s="325"/>
      <c r="AZ76" s="251" t="str">
        <f t="shared" si="32"/>
        <v>0</v>
      </c>
      <c r="BA76" s="251" t="str">
        <f t="shared" si="33"/>
        <v>0</v>
      </c>
    </row>
    <row r="77" spans="5:53">
      <c r="O77" s="8"/>
      <c r="P77" s="8"/>
      <c r="R77" s="347" t="str">
        <f>InputSheet!C156</f>
        <v>Sub 8</v>
      </c>
      <c r="S77" s="1161"/>
      <c r="T77" s="1161"/>
      <c r="U77" s="8"/>
      <c r="V77" s="8"/>
      <c r="W77" s="8"/>
      <c r="X77" s="8"/>
      <c r="Y77" s="8"/>
      <c r="Z77" s="348">
        <f t="shared" si="39"/>
        <v>0</v>
      </c>
      <c r="AA77" s="349">
        <f t="shared" si="39"/>
        <v>0</v>
      </c>
      <c r="AB77" s="348">
        <f t="shared" si="40"/>
        <v>0</v>
      </c>
      <c r="AC77" s="353">
        <f t="shared" si="40"/>
        <v>0</v>
      </c>
      <c r="AD77" s="351">
        <f t="shared" si="37"/>
        <v>0</v>
      </c>
      <c r="AE77" s="352">
        <f t="shared" si="37"/>
        <v>0</v>
      </c>
      <c r="AF77" s="6" t="str">
        <f t="shared" si="38"/>
        <v>Sub 8</v>
      </c>
      <c r="AG77" s="60"/>
      <c r="AH77" s="60"/>
      <c r="AI77" s="60"/>
      <c r="AJ77" s="60"/>
      <c r="AK77" s="60"/>
      <c r="AL77" s="60"/>
      <c r="AM77" s="60"/>
      <c r="AN77" s="60"/>
      <c r="AO77" s="60"/>
      <c r="AP77" s="60"/>
      <c r="AQ77" s="60"/>
      <c r="AR77" s="60"/>
      <c r="AS77" s="60"/>
      <c r="AT77" s="60"/>
      <c r="AU77" s="60"/>
      <c r="AV77" s="324"/>
      <c r="AW77" s="325"/>
      <c r="AZ77" s="251" t="str">
        <f t="shared" si="32"/>
        <v>0</v>
      </c>
      <c r="BA77" s="251" t="str">
        <f t="shared" si="33"/>
        <v>0</v>
      </c>
    </row>
    <row r="78" spans="5:53">
      <c r="O78" s="8"/>
      <c r="P78" s="8"/>
      <c r="R78" s="347" t="str">
        <f>InputSheet!C157</f>
        <v>Sub 9</v>
      </c>
      <c r="S78" s="1161"/>
      <c r="T78" s="1161"/>
      <c r="U78" s="8"/>
      <c r="V78" s="8"/>
      <c r="W78" s="8"/>
      <c r="X78" s="8"/>
      <c r="Y78" s="8"/>
      <c r="Z78" s="348">
        <f t="shared" si="39"/>
        <v>0</v>
      </c>
      <c r="AA78" s="349">
        <f t="shared" si="39"/>
        <v>0</v>
      </c>
      <c r="AB78" s="348">
        <f t="shared" si="40"/>
        <v>0</v>
      </c>
      <c r="AC78" s="353">
        <f t="shared" si="40"/>
        <v>0</v>
      </c>
      <c r="AD78" s="351">
        <f t="shared" si="37"/>
        <v>0</v>
      </c>
      <c r="AE78" s="352">
        <f t="shared" si="37"/>
        <v>0</v>
      </c>
      <c r="AF78" s="6" t="str">
        <f t="shared" si="38"/>
        <v>Sub 9</v>
      </c>
      <c r="AG78" s="60"/>
      <c r="AH78" s="60"/>
      <c r="AI78" s="60"/>
      <c r="AJ78" s="60"/>
      <c r="AK78" s="60"/>
      <c r="AL78" s="60"/>
      <c r="AM78" s="60"/>
      <c r="AN78" s="60"/>
      <c r="AO78" s="60"/>
      <c r="AP78" s="60"/>
      <c r="AQ78" s="60"/>
      <c r="AR78" s="60"/>
      <c r="AS78" s="60"/>
      <c r="AT78" s="60"/>
      <c r="AU78" s="60"/>
      <c r="AV78" s="324"/>
      <c r="AW78" s="325"/>
      <c r="AZ78" s="251" t="str">
        <f t="shared" si="32"/>
        <v>0</v>
      </c>
      <c r="BA78" s="251" t="str">
        <f t="shared" si="33"/>
        <v>0</v>
      </c>
    </row>
    <row r="79" spans="5:53">
      <c r="O79" s="8"/>
      <c r="P79" s="8"/>
      <c r="R79" s="347" t="str">
        <f>InputSheet!C158</f>
        <v>Sub 10</v>
      </c>
      <c r="S79" s="1161"/>
      <c r="T79" s="1161"/>
      <c r="U79" s="8"/>
      <c r="V79" s="8"/>
      <c r="W79" s="8"/>
      <c r="X79" s="8"/>
      <c r="Y79" s="8"/>
      <c r="Z79" s="348">
        <f t="shared" si="39"/>
        <v>0</v>
      </c>
      <c r="AA79" s="349">
        <f t="shared" si="39"/>
        <v>0</v>
      </c>
      <c r="AB79" s="348">
        <f t="shared" si="40"/>
        <v>0</v>
      </c>
      <c r="AC79" s="353">
        <f t="shared" si="40"/>
        <v>0</v>
      </c>
      <c r="AD79" s="351">
        <f t="shared" si="37"/>
        <v>0</v>
      </c>
      <c r="AE79" s="352">
        <f t="shared" si="37"/>
        <v>0</v>
      </c>
      <c r="AF79" s="6" t="str">
        <f t="shared" si="38"/>
        <v>Sub 10</v>
      </c>
      <c r="AG79" s="60"/>
      <c r="AH79" s="60"/>
      <c r="AI79" s="60"/>
      <c r="AJ79" s="60"/>
      <c r="AK79" s="60"/>
      <c r="AL79" s="60"/>
      <c r="AM79" s="60"/>
      <c r="AN79" s="60"/>
      <c r="AO79" s="60"/>
      <c r="AP79" s="60"/>
      <c r="AQ79" s="60"/>
      <c r="AR79" s="60"/>
      <c r="AS79" s="60"/>
      <c r="AT79" s="60"/>
      <c r="AU79" s="60"/>
      <c r="AV79" s="324"/>
      <c r="AW79" s="325"/>
      <c r="AZ79" s="251" t="str">
        <f t="shared" si="32"/>
        <v>0</v>
      </c>
      <c r="BA79" s="251" t="str">
        <f t="shared" si="33"/>
        <v>0</v>
      </c>
    </row>
    <row r="80" spans="5:53">
      <c r="O80" s="8"/>
      <c r="P80" s="8"/>
      <c r="R80" s="347" t="str">
        <f>InputSheet!C159</f>
        <v>Sub 11</v>
      </c>
      <c r="S80" s="1161"/>
      <c r="T80" s="1161"/>
      <c r="U80" s="8"/>
      <c r="V80" s="8"/>
      <c r="W80" s="8"/>
      <c r="X80" s="8"/>
      <c r="Y80" s="8"/>
      <c r="Z80" s="348">
        <f t="shared" si="39"/>
        <v>0</v>
      </c>
      <c r="AA80" s="349">
        <f t="shared" si="39"/>
        <v>0</v>
      </c>
      <c r="AB80" s="348">
        <f t="shared" si="40"/>
        <v>0</v>
      </c>
      <c r="AC80" s="353">
        <f t="shared" si="40"/>
        <v>0</v>
      </c>
      <c r="AD80" s="351">
        <f t="shared" si="37"/>
        <v>0</v>
      </c>
      <c r="AE80" s="352">
        <f t="shared" si="37"/>
        <v>0</v>
      </c>
      <c r="AF80" s="6" t="str">
        <f t="shared" si="38"/>
        <v>Sub 11</v>
      </c>
      <c r="AG80" s="60"/>
      <c r="AH80" s="60"/>
      <c r="AI80" s="60"/>
      <c r="AJ80" s="60"/>
      <c r="AK80" s="60"/>
      <c r="AL80" s="60"/>
      <c r="AM80" s="60"/>
      <c r="AN80" s="60"/>
      <c r="AO80" s="60"/>
      <c r="AP80" s="60"/>
      <c r="AQ80" s="60"/>
      <c r="AR80" s="60"/>
      <c r="AS80" s="60"/>
      <c r="AT80" s="60"/>
      <c r="AU80" s="60"/>
      <c r="AV80" s="324"/>
      <c r="AW80" s="325"/>
      <c r="AZ80" s="251" t="str">
        <f t="shared" si="32"/>
        <v>0</v>
      </c>
      <c r="BA80" s="251" t="str">
        <f t="shared" si="33"/>
        <v>0</v>
      </c>
    </row>
    <row r="81" spans="15:53">
      <c r="O81" s="8"/>
      <c r="P81" s="8"/>
      <c r="R81" s="347" t="str">
        <f>InputSheet!C160</f>
        <v>Sub 12</v>
      </c>
      <c r="S81" s="1161"/>
      <c r="T81" s="1161"/>
      <c r="U81" s="8"/>
      <c r="V81" s="8"/>
      <c r="W81" s="8"/>
      <c r="X81" s="8"/>
      <c r="Y81" s="8"/>
      <c r="Z81" s="348">
        <f t="shared" si="39"/>
        <v>0</v>
      </c>
      <c r="AA81" s="349">
        <f t="shared" si="39"/>
        <v>0</v>
      </c>
      <c r="AB81" s="348">
        <f t="shared" si="40"/>
        <v>0</v>
      </c>
      <c r="AC81" s="353">
        <f t="shared" si="40"/>
        <v>0</v>
      </c>
      <c r="AD81" s="351">
        <f t="shared" si="37"/>
        <v>0</v>
      </c>
      <c r="AE81" s="352">
        <f t="shared" si="37"/>
        <v>0</v>
      </c>
      <c r="AF81" s="6" t="str">
        <f t="shared" si="38"/>
        <v>Sub 12</v>
      </c>
      <c r="AG81" s="60"/>
      <c r="AH81" s="60"/>
      <c r="AI81" s="60"/>
      <c r="AJ81" s="60"/>
      <c r="AK81" s="60"/>
      <c r="AL81" s="60"/>
      <c r="AM81" s="60"/>
      <c r="AN81" s="60"/>
      <c r="AO81" s="60"/>
      <c r="AP81" s="60"/>
      <c r="AQ81" s="60"/>
      <c r="AR81" s="60"/>
      <c r="AS81" s="60"/>
      <c r="AT81" s="60"/>
      <c r="AU81" s="60"/>
      <c r="AV81" s="324"/>
      <c r="AW81" s="325"/>
      <c r="AZ81" s="251" t="str">
        <f t="shared" si="32"/>
        <v>0</v>
      </c>
      <c r="BA81" s="251" t="str">
        <f t="shared" si="33"/>
        <v>0</v>
      </c>
    </row>
    <row r="82" spans="15:53">
      <c r="O82" s="8"/>
      <c r="P82" s="8"/>
      <c r="R82" s="347" t="str">
        <f>InputSheet!C161</f>
        <v>Sub 13</v>
      </c>
      <c r="S82" s="1161"/>
      <c r="T82" s="1161"/>
      <c r="U82" s="8"/>
      <c r="V82" s="8"/>
      <c r="W82" s="8"/>
      <c r="X82" s="8"/>
      <c r="Y82" s="8"/>
      <c r="Z82" s="348">
        <f t="shared" si="39"/>
        <v>0</v>
      </c>
      <c r="AA82" s="349">
        <f t="shared" si="39"/>
        <v>0</v>
      </c>
      <c r="AB82" s="348">
        <f t="shared" si="40"/>
        <v>0</v>
      </c>
      <c r="AC82" s="353">
        <f t="shared" si="40"/>
        <v>0</v>
      </c>
      <c r="AD82" s="351">
        <f t="shared" si="37"/>
        <v>0</v>
      </c>
      <c r="AE82" s="352">
        <f t="shared" si="37"/>
        <v>0</v>
      </c>
      <c r="AF82" s="6" t="str">
        <f t="shared" si="38"/>
        <v>Sub 13</v>
      </c>
      <c r="AG82" s="60"/>
      <c r="AH82" s="60"/>
      <c r="AI82" s="60"/>
      <c r="AJ82" s="60"/>
      <c r="AK82" s="60"/>
      <c r="AL82" s="60"/>
      <c r="AM82" s="60"/>
      <c r="AN82" s="60"/>
      <c r="AO82" s="60"/>
      <c r="AP82" s="60"/>
      <c r="AQ82" s="60"/>
      <c r="AR82" s="60"/>
      <c r="AS82" s="60"/>
      <c r="AT82" s="60"/>
      <c r="AU82" s="60"/>
      <c r="AV82" s="324"/>
      <c r="AW82" s="325"/>
      <c r="AZ82" s="251" t="str">
        <f t="shared" si="32"/>
        <v>0</v>
      </c>
      <c r="BA82" s="251" t="str">
        <f t="shared" si="33"/>
        <v>0</v>
      </c>
    </row>
    <row r="83" spans="15:53">
      <c r="O83" s="8"/>
      <c r="P83" s="8"/>
      <c r="R83" s="347" t="str">
        <f>InputSheet!C162</f>
        <v>Sub 14</v>
      </c>
      <c r="S83" s="1161"/>
      <c r="T83" s="1161"/>
      <c r="U83" s="8"/>
      <c r="V83" s="8"/>
      <c r="W83" s="8"/>
      <c r="X83" s="8"/>
      <c r="Y83" s="8"/>
      <c r="Z83" s="348">
        <f t="shared" si="39"/>
        <v>0</v>
      </c>
      <c r="AA83" s="349">
        <f t="shared" si="39"/>
        <v>0</v>
      </c>
      <c r="AB83" s="348">
        <f t="shared" si="40"/>
        <v>0</v>
      </c>
      <c r="AC83" s="353">
        <f t="shared" si="40"/>
        <v>0</v>
      </c>
      <c r="AD83" s="351">
        <f t="shared" si="37"/>
        <v>0</v>
      </c>
      <c r="AE83" s="352">
        <f t="shared" si="37"/>
        <v>0</v>
      </c>
      <c r="AF83" s="6" t="str">
        <f t="shared" si="38"/>
        <v>Sub 14</v>
      </c>
      <c r="AG83" s="60"/>
      <c r="AH83" s="60"/>
      <c r="AI83" s="60"/>
      <c r="AJ83" s="60"/>
      <c r="AK83" s="60"/>
      <c r="AL83" s="60"/>
      <c r="AM83" s="60"/>
      <c r="AN83" s="60"/>
      <c r="AO83" s="60"/>
      <c r="AP83" s="60"/>
      <c r="AQ83" s="60"/>
      <c r="AR83" s="60"/>
      <c r="AS83" s="60"/>
      <c r="AT83" s="60"/>
      <c r="AU83" s="60"/>
      <c r="AV83" s="324"/>
      <c r="AW83" s="325"/>
      <c r="AZ83" s="251" t="str">
        <f t="shared" si="32"/>
        <v>0</v>
      </c>
      <c r="BA83" s="251" t="str">
        <f t="shared" si="33"/>
        <v>0</v>
      </c>
    </row>
    <row r="84" spans="15:53">
      <c r="O84" s="8"/>
      <c r="P84" s="8"/>
      <c r="R84" s="347" t="str">
        <f>InputSheet!C163</f>
        <v>Sub 15</v>
      </c>
      <c r="S84" s="1161"/>
      <c r="T84" s="1161"/>
      <c r="U84" s="8"/>
      <c r="V84" s="8"/>
      <c r="W84" s="8"/>
      <c r="X84" s="8"/>
      <c r="Y84" s="8"/>
      <c r="Z84" s="348">
        <f t="shared" si="39"/>
        <v>0</v>
      </c>
      <c r="AA84" s="349">
        <f t="shared" si="39"/>
        <v>0</v>
      </c>
      <c r="AB84" s="348">
        <f t="shared" si="40"/>
        <v>0</v>
      </c>
      <c r="AC84" s="353">
        <f t="shared" si="40"/>
        <v>0</v>
      </c>
      <c r="AD84" s="351">
        <f t="shared" si="37"/>
        <v>0</v>
      </c>
      <c r="AE84" s="352">
        <f t="shared" si="37"/>
        <v>0</v>
      </c>
      <c r="AF84" s="6" t="str">
        <f t="shared" si="38"/>
        <v>Sub 15</v>
      </c>
      <c r="AG84" s="60"/>
      <c r="AH84" s="60"/>
      <c r="AI84" s="60"/>
      <c r="AJ84" s="60"/>
      <c r="AK84" s="60"/>
      <c r="AL84" s="60"/>
      <c r="AM84" s="60"/>
      <c r="AN84" s="60"/>
      <c r="AO84" s="60"/>
      <c r="AP84" s="60"/>
      <c r="AQ84" s="60"/>
      <c r="AR84" s="60"/>
      <c r="AS84" s="60"/>
      <c r="AT84" s="60"/>
      <c r="AU84" s="60"/>
      <c r="AV84" s="324"/>
      <c r="AW84" s="325"/>
      <c r="AZ84" s="251" t="str">
        <f t="shared" si="32"/>
        <v>0</v>
      </c>
      <c r="BA84" s="251" t="str">
        <f t="shared" si="33"/>
        <v>0</v>
      </c>
    </row>
    <row r="85" spans="15:53">
      <c r="O85" s="8"/>
      <c r="P85" s="8"/>
      <c r="R85" s="347" t="str">
        <f>InputSheet!C164</f>
        <v>Sub 16</v>
      </c>
      <c r="S85" s="1161"/>
      <c r="T85" s="1161"/>
      <c r="U85" s="8"/>
      <c r="V85" s="8"/>
      <c r="W85" s="8"/>
      <c r="X85" s="8"/>
      <c r="Y85" s="8"/>
      <c r="Z85" s="348">
        <f t="shared" si="39"/>
        <v>0</v>
      </c>
      <c r="AA85" s="349">
        <f t="shared" si="39"/>
        <v>0</v>
      </c>
      <c r="AB85" s="348">
        <f t="shared" si="40"/>
        <v>0</v>
      </c>
      <c r="AC85" s="353">
        <f t="shared" si="40"/>
        <v>0</v>
      </c>
      <c r="AD85" s="351">
        <f t="shared" si="37"/>
        <v>0</v>
      </c>
      <c r="AE85" s="352">
        <f t="shared" si="37"/>
        <v>0</v>
      </c>
      <c r="AF85" s="6" t="str">
        <f t="shared" si="38"/>
        <v>Sub 16</v>
      </c>
      <c r="AG85" s="60"/>
      <c r="AH85" s="60"/>
      <c r="AI85" s="60"/>
      <c r="AJ85" s="60"/>
      <c r="AK85" s="60"/>
      <c r="AL85" s="60"/>
      <c r="AM85" s="60"/>
      <c r="AN85" s="60"/>
      <c r="AO85" s="60"/>
      <c r="AP85" s="60"/>
      <c r="AQ85" s="60"/>
      <c r="AR85" s="60"/>
      <c r="AS85" s="60"/>
      <c r="AT85" s="60"/>
      <c r="AU85" s="60"/>
      <c r="AV85" s="324"/>
      <c r="AW85" s="325"/>
      <c r="AZ85" s="251" t="str">
        <f t="shared" si="32"/>
        <v>0</v>
      </c>
      <c r="BA85" s="251" t="str">
        <f t="shared" si="33"/>
        <v>0</v>
      </c>
    </row>
    <row r="86" spans="15:53">
      <c r="O86" s="8"/>
      <c r="P86" s="8"/>
      <c r="R86" s="347" t="str">
        <f>InputSheet!C165</f>
        <v>Sub 17</v>
      </c>
      <c r="S86" s="1161"/>
      <c r="T86" s="1161"/>
      <c r="U86" s="8"/>
      <c r="V86" s="8"/>
      <c r="W86" s="8"/>
      <c r="X86" s="8"/>
      <c r="Y86" s="8"/>
      <c r="Z86" s="348">
        <f t="shared" si="39"/>
        <v>0</v>
      </c>
      <c r="AA86" s="349">
        <f t="shared" si="39"/>
        <v>0</v>
      </c>
      <c r="AB86" s="348">
        <f t="shared" si="40"/>
        <v>0</v>
      </c>
      <c r="AC86" s="353">
        <f t="shared" si="40"/>
        <v>0</v>
      </c>
      <c r="AD86" s="351">
        <f t="shared" si="37"/>
        <v>0</v>
      </c>
      <c r="AE86" s="352">
        <f t="shared" si="37"/>
        <v>0</v>
      </c>
      <c r="AF86" s="6" t="str">
        <f t="shared" si="38"/>
        <v>Sub 17</v>
      </c>
      <c r="AG86" s="60"/>
      <c r="AH86" s="60"/>
      <c r="AI86" s="60"/>
      <c r="AJ86" s="60"/>
      <c r="AK86" s="60"/>
      <c r="AL86" s="60"/>
      <c r="AM86" s="60"/>
      <c r="AN86" s="60"/>
      <c r="AO86" s="60"/>
      <c r="AP86" s="60"/>
      <c r="AQ86" s="60"/>
      <c r="AR86" s="60"/>
      <c r="AS86" s="60"/>
      <c r="AT86" s="60"/>
      <c r="AU86" s="60"/>
      <c r="AV86" s="324"/>
      <c r="AW86" s="325"/>
      <c r="AZ86" s="251" t="str">
        <f t="shared" si="32"/>
        <v>0</v>
      </c>
      <c r="BA86" s="251" t="str">
        <f t="shared" si="33"/>
        <v>0</v>
      </c>
    </row>
    <row r="87" spans="15:53">
      <c r="O87" s="8"/>
      <c r="P87" s="8"/>
      <c r="R87" s="347" t="str">
        <f>InputSheet!C166</f>
        <v>Sub 18</v>
      </c>
      <c r="S87" s="1161"/>
      <c r="T87" s="1161"/>
      <c r="U87" s="8"/>
      <c r="V87" s="8"/>
      <c r="W87" s="8"/>
      <c r="X87" s="8"/>
      <c r="Y87" s="8"/>
      <c r="Z87" s="348">
        <f t="shared" si="39"/>
        <v>0</v>
      </c>
      <c r="AA87" s="349">
        <f t="shared" si="39"/>
        <v>0</v>
      </c>
      <c r="AB87" s="348">
        <f t="shared" si="40"/>
        <v>0</v>
      </c>
      <c r="AC87" s="353">
        <f t="shared" si="40"/>
        <v>0</v>
      </c>
      <c r="AD87" s="351">
        <f t="shared" si="37"/>
        <v>0</v>
      </c>
      <c r="AE87" s="352">
        <f t="shared" si="37"/>
        <v>0</v>
      </c>
      <c r="AF87" s="6" t="str">
        <f t="shared" si="38"/>
        <v>Sub 18</v>
      </c>
      <c r="AG87" s="60"/>
      <c r="AH87" s="60"/>
      <c r="AI87" s="60"/>
      <c r="AJ87" s="60"/>
      <c r="AK87" s="60"/>
      <c r="AL87" s="60"/>
      <c r="AM87" s="60"/>
      <c r="AN87" s="60"/>
      <c r="AO87" s="60"/>
      <c r="AP87" s="60"/>
      <c r="AQ87" s="60"/>
      <c r="AR87" s="60"/>
      <c r="AS87" s="60"/>
      <c r="AT87" s="60"/>
      <c r="AU87" s="60"/>
      <c r="AV87" s="324"/>
      <c r="AW87" s="325"/>
      <c r="AZ87" s="251" t="str">
        <f t="shared" si="32"/>
        <v>0</v>
      </c>
      <c r="BA87" s="251" t="str">
        <f t="shared" si="33"/>
        <v>0</v>
      </c>
    </row>
    <row r="88" spans="15:53">
      <c r="O88" s="8"/>
      <c r="P88" s="8"/>
      <c r="R88" s="347" t="str">
        <f>InputSheet!C167</f>
        <v>Sub 19</v>
      </c>
      <c r="S88" s="1161"/>
      <c r="T88" s="1161"/>
      <c r="U88" s="8"/>
      <c r="V88" s="8"/>
      <c r="W88" s="8"/>
      <c r="X88" s="8"/>
      <c r="Y88" s="8"/>
      <c r="Z88" s="348">
        <f t="shared" si="39"/>
        <v>0</v>
      </c>
      <c r="AA88" s="349">
        <f t="shared" si="39"/>
        <v>0</v>
      </c>
      <c r="AB88" s="348">
        <f t="shared" si="40"/>
        <v>0</v>
      </c>
      <c r="AC88" s="353">
        <f t="shared" si="40"/>
        <v>0</v>
      </c>
      <c r="AD88" s="351">
        <f t="shared" si="37"/>
        <v>0</v>
      </c>
      <c r="AE88" s="352">
        <f t="shared" si="37"/>
        <v>0</v>
      </c>
      <c r="AF88" s="6" t="str">
        <f t="shared" si="38"/>
        <v>Sub 19</v>
      </c>
      <c r="AG88" s="60"/>
      <c r="AH88" s="60"/>
      <c r="AI88" s="60"/>
      <c r="AJ88" s="60"/>
      <c r="AK88" s="60"/>
      <c r="AL88" s="60"/>
      <c r="AM88" s="60"/>
      <c r="AN88" s="60"/>
      <c r="AO88" s="60"/>
      <c r="AP88" s="60"/>
      <c r="AQ88" s="60"/>
      <c r="AR88" s="60"/>
      <c r="AS88" s="60"/>
      <c r="AT88" s="60"/>
      <c r="AU88" s="60"/>
      <c r="AV88" s="324"/>
      <c r="AW88" s="325"/>
      <c r="AZ88" s="251" t="str">
        <f t="shared" si="32"/>
        <v>0</v>
      </c>
      <c r="BA88" s="251" t="str">
        <f t="shared" si="33"/>
        <v>0</v>
      </c>
    </row>
    <row r="89" spans="15:53">
      <c r="O89" s="8"/>
      <c r="P89" s="8"/>
      <c r="R89" s="347" t="str">
        <f>InputSheet!C168</f>
        <v>Sub 20</v>
      </c>
      <c r="S89" s="1161"/>
      <c r="T89" s="1161"/>
      <c r="U89" s="8"/>
      <c r="V89" s="8"/>
      <c r="W89" s="8"/>
      <c r="X89" s="8"/>
      <c r="Y89" s="8"/>
      <c r="Z89" s="348">
        <f t="shared" si="39"/>
        <v>0</v>
      </c>
      <c r="AA89" s="349">
        <f t="shared" si="39"/>
        <v>0</v>
      </c>
      <c r="AB89" s="348">
        <f t="shared" si="40"/>
        <v>0</v>
      </c>
      <c r="AC89" s="353">
        <f t="shared" si="40"/>
        <v>0</v>
      </c>
      <c r="AD89" s="351">
        <f t="shared" si="37"/>
        <v>0</v>
      </c>
      <c r="AE89" s="352">
        <f t="shared" si="37"/>
        <v>0</v>
      </c>
      <c r="AF89" s="6" t="str">
        <f t="shared" si="38"/>
        <v>Sub 20</v>
      </c>
      <c r="AG89" s="60"/>
      <c r="AH89" s="60"/>
      <c r="AI89" s="60"/>
      <c r="AJ89" s="60"/>
      <c r="AK89" s="60"/>
      <c r="AL89" s="60"/>
      <c r="AM89" s="60"/>
      <c r="AN89" s="60"/>
      <c r="AO89" s="60"/>
      <c r="AP89" s="60"/>
      <c r="AQ89" s="60"/>
      <c r="AR89" s="60"/>
      <c r="AS89" s="60"/>
      <c r="AT89" s="60"/>
      <c r="AU89" s="60"/>
      <c r="AV89" s="324"/>
      <c r="AW89" s="325"/>
      <c r="AZ89" s="251" t="str">
        <f t="shared" si="32"/>
        <v>0</v>
      </c>
      <c r="BA89" s="251" t="str">
        <f t="shared" si="33"/>
        <v>0</v>
      </c>
    </row>
    <row r="90" spans="15:53" ht="13.5" thickBot="1">
      <c r="O90" s="355"/>
      <c r="P90" s="355"/>
      <c r="R90" s="354" t="s">
        <v>650</v>
      </c>
      <c r="S90" s="355"/>
      <c r="T90" s="355"/>
      <c r="U90" s="355"/>
      <c r="V90" s="355"/>
      <c r="W90" s="355"/>
      <c r="X90" s="355"/>
      <c r="Y90" s="355"/>
      <c r="Z90" s="354"/>
      <c r="AA90" s="356"/>
      <c r="AB90" s="354"/>
      <c r="AC90" s="357"/>
      <c r="AD90" s="358">
        <f>SUM(AD69:AD89)</f>
        <v>1060</v>
      </c>
      <c r="AE90" s="359">
        <f ca="1">SUM(AE69:AE89)</f>
        <v>88519.520000000019</v>
      </c>
      <c r="AG90" s="360"/>
      <c r="AH90" s="360"/>
      <c r="AI90" s="360"/>
      <c r="AJ90" s="360"/>
      <c r="AK90" s="360"/>
      <c r="AL90" s="360"/>
      <c r="AM90" s="360"/>
      <c r="AN90" s="360"/>
      <c r="AO90" s="360"/>
      <c r="AP90" s="360"/>
      <c r="AQ90" s="360"/>
      <c r="AR90" s="360"/>
      <c r="AS90" s="360"/>
      <c r="AT90" s="360"/>
      <c r="AU90" s="60"/>
      <c r="AV90" s="324"/>
      <c r="AW90" s="325"/>
      <c r="AZ90" s="251" t="str">
        <f t="shared" si="32"/>
        <v>1</v>
      </c>
      <c r="BA90" s="251" t="str">
        <f t="shared" ca="1" si="33"/>
        <v>1</v>
      </c>
    </row>
    <row r="91" spans="15:53" ht="13.5" thickTop="1">
      <c r="O91" s="327"/>
      <c r="P91" s="327"/>
      <c r="R91" s="361"/>
      <c r="S91" s="327"/>
      <c r="T91" s="327"/>
      <c r="U91" s="327"/>
      <c r="V91" s="327"/>
      <c r="W91" s="327"/>
      <c r="X91" s="327"/>
      <c r="Y91" s="327"/>
      <c r="Z91" s="327"/>
      <c r="AA91" s="327"/>
      <c r="AB91" s="327"/>
      <c r="AC91" s="327"/>
      <c r="AD91" s="327"/>
      <c r="AE91" s="362"/>
      <c r="AZ91" s="251" t="str">
        <f t="shared" si="32"/>
        <v>1</v>
      </c>
      <c r="BA91" s="251" t="str">
        <f t="shared" si="33"/>
        <v>1</v>
      </c>
    </row>
  </sheetData>
  <autoFilter ref="AZ29:BA29"/>
  <mergeCells count="1">
    <mergeCell ref="F2:L2"/>
  </mergeCells>
  <conditionalFormatting sqref="R24:U24">
    <cfRule type="cellIs" dxfId="4" priority="1" stopIfTrue="1" operator="greaterThan">
      <formula>0</formula>
    </cfRule>
  </conditionalFormatting>
  <dataValidations count="2">
    <dataValidation type="list" allowBlank="1" showInputMessage="1" showErrorMessage="1" sqref="L32:L49">
      <formula1>$L$9:$L$25</formula1>
    </dataValidation>
    <dataValidation type="list" allowBlank="1" showInputMessage="1" showErrorMessage="1" sqref="G32:G49">
      <formula1>$R$69:$R$89</formula1>
    </dataValidation>
  </dataValidations>
  <printOptions horizontalCentered="1" verticalCentered="1"/>
  <pageMargins left="0.25" right="0.25" top="0.25" bottom="0.25" header="0.5" footer="0.5"/>
  <pageSetup paperSize="5" scale="45" orientation="landscape" r:id="rId1"/>
  <headerFooter alignWithMargins="0"/>
  <rowBreaks count="1" manualBreakCount="1">
    <brk id="66" min="3" max="25" man="1"/>
  </rowBreaks>
  <legacyDrawing r:id="rId2"/>
</worksheet>
</file>

<file path=xl/worksheets/sheet11.xml><?xml version="1.0" encoding="utf-8"?>
<worksheet xmlns="http://schemas.openxmlformats.org/spreadsheetml/2006/main" xmlns:r="http://schemas.openxmlformats.org/officeDocument/2006/relationships">
  <sheetPr>
    <tabColor indexed="57"/>
    <pageSetUpPr fitToPage="1"/>
  </sheetPr>
  <dimension ref="A1:BA91"/>
  <sheetViews>
    <sheetView showGridLines="0" view="pageBreakPreview" topLeftCell="D1" zoomScale="85" zoomScaleNormal="70" zoomScaleSheetLayoutView="85" workbookViewId="0">
      <selection activeCell="H47" sqref="H47"/>
    </sheetView>
  </sheetViews>
  <sheetFormatPr defaultRowHeight="12.75" outlineLevelRow="1" outlineLevelCol="1"/>
  <cols>
    <col min="1" max="1" width="9.5703125" style="8" bestFit="1" customWidth="1"/>
    <col min="2" max="2" width="9.5703125" style="8" customWidth="1"/>
    <col min="3" max="3" width="9.140625" style="8"/>
    <col min="4" max="4" width="3.85546875" style="8" customWidth="1"/>
    <col min="5" max="5" width="17.7109375" style="6" customWidth="1"/>
    <col min="6" max="7" width="10.5703125" style="6" customWidth="1"/>
    <col min="8" max="8" width="3" style="6" customWidth="1"/>
    <col min="9" max="9" width="11.28515625" style="6" bestFit="1" customWidth="1"/>
    <col min="10" max="10" width="16.5703125" style="6" hidden="1" customWidth="1" outlineLevel="1"/>
    <col min="11" max="11" width="20.42578125" style="6" hidden="1" customWidth="1" outlineLevel="1"/>
    <col min="12" max="12" width="14" style="6" bestFit="1" customWidth="1" collapsed="1"/>
    <col min="13" max="13" width="14.7109375" style="6" bestFit="1" customWidth="1"/>
    <col min="14" max="14" width="12" style="6" customWidth="1"/>
    <col min="15" max="15" width="11.140625" style="6" customWidth="1" outlineLevel="1"/>
    <col min="16" max="16" width="9.85546875" style="6" customWidth="1" outlineLevel="1"/>
    <col min="17" max="17" width="9.85546875" style="6" bestFit="1" customWidth="1"/>
    <col min="18" max="18" width="16.7109375" style="6" customWidth="1"/>
    <col min="19" max="19" width="20.140625" style="6" bestFit="1" customWidth="1"/>
    <col min="20" max="20" width="10.5703125" style="6" bestFit="1" customWidth="1"/>
    <col min="21" max="23" width="12.42578125" style="6" bestFit="1" customWidth="1" outlineLevel="1"/>
    <col min="24" max="25" width="8.42578125" style="6" bestFit="1" customWidth="1" outlineLevel="1"/>
    <col min="26" max="26" width="10.5703125" style="6" customWidth="1"/>
    <col min="27" max="27" width="8.85546875" style="6" bestFit="1" customWidth="1"/>
    <col min="28" max="28" width="11.140625" style="6" customWidth="1"/>
    <col min="29" max="29" width="19.7109375" style="6" bestFit="1" customWidth="1"/>
    <col min="30" max="30" width="10.42578125" style="6" customWidth="1"/>
    <col min="31" max="31" width="13.28515625" style="6" customWidth="1"/>
    <col min="32" max="32" width="12.42578125" style="6" customWidth="1" outlineLevel="1"/>
    <col min="33" max="35" width="10.7109375" style="6" customWidth="1" outlineLevel="1"/>
    <col min="36" max="36" width="9.85546875" style="6" customWidth="1" outlineLevel="1"/>
    <col min="37" max="42" width="11.140625" style="6" customWidth="1" outlineLevel="1"/>
    <col min="43" max="43" width="11.28515625" style="6" customWidth="1" outlineLevel="1"/>
    <col min="44" max="44" width="10.28515625" style="6" customWidth="1" outlineLevel="1"/>
    <col min="45" max="45" width="11.140625" style="6" customWidth="1" outlineLevel="1"/>
    <col min="46" max="46" width="10.7109375" style="6" customWidth="1" outlineLevel="1"/>
    <col min="47" max="47" width="3.5703125" style="8" customWidth="1" outlineLevel="1"/>
    <col min="48" max="48" width="13.7109375" style="6" customWidth="1" outlineLevel="1"/>
    <col min="49" max="49" width="13.7109375" style="8" customWidth="1"/>
    <col min="50" max="51" width="9.140625" style="8" customWidth="1"/>
    <col min="52" max="53" width="19.85546875" style="251" bestFit="1" customWidth="1"/>
    <col min="54" max="16384" width="9.140625" style="8"/>
  </cols>
  <sheetData>
    <row r="1" spans="1:53">
      <c r="E1" s="241" t="s">
        <v>666</v>
      </c>
      <c r="F1" s="242" t="str">
        <f>InputSheet!D1</f>
        <v>NCSA HQ 7010</v>
      </c>
      <c r="G1" s="243"/>
      <c r="H1" s="243"/>
      <c r="I1" s="243"/>
      <c r="J1" s="244"/>
      <c r="K1" s="244"/>
      <c r="L1" s="243"/>
      <c r="M1" s="245" t="s">
        <v>610</v>
      </c>
      <c r="N1" s="242" t="str">
        <f>InputSheet!D4</f>
        <v>P-12246</v>
      </c>
      <c r="O1" s="243"/>
      <c r="P1" s="243"/>
      <c r="Q1" s="243"/>
      <c r="R1" s="243"/>
      <c r="S1" s="243"/>
      <c r="T1" s="243"/>
      <c r="U1" s="243"/>
      <c r="V1" s="243"/>
      <c r="W1" s="243"/>
      <c r="X1" s="243"/>
      <c r="Y1" s="243"/>
      <c r="Z1" s="243"/>
      <c r="AA1" s="243"/>
      <c r="AB1" s="243"/>
      <c r="AC1" s="243"/>
      <c r="AD1" s="243"/>
      <c r="AE1" s="243"/>
      <c r="AF1" s="246"/>
      <c r="AZ1" s="247"/>
      <c r="BA1" s="247"/>
    </row>
    <row r="2" spans="1:53">
      <c r="E2" s="248" t="s">
        <v>612</v>
      </c>
      <c r="F2" s="1195" t="str">
        <f>InputSheet!D2</f>
        <v>CIS Consultant Services</v>
      </c>
      <c r="G2" s="1195"/>
      <c r="H2" s="1195"/>
      <c r="I2" s="1195"/>
      <c r="J2" s="1195"/>
      <c r="K2" s="1195"/>
      <c r="L2" s="1196"/>
      <c r="M2" s="249" t="s">
        <v>611</v>
      </c>
      <c r="N2" s="27" t="str">
        <f>InputSheet!D3</f>
        <v>ManTech Telecommunications and Information Systems Corporation</v>
      </c>
      <c r="O2" s="8"/>
      <c r="P2" s="8"/>
      <c r="Q2" s="8"/>
      <c r="R2" s="8"/>
      <c r="S2" s="8"/>
      <c r="T2" s="8"/>
      <c r="U2" s="8"/>
      <c r="V2" s="8"/>
      <c r="W2" s="8"/>
      <c r="X2" s="8"/>
      <c r="Y2" s="8"/>
      <c r="Z2" s="8"/>
      <c r="AA2" s="8"/>
      <c r="AB2" s="8"/>
      <c r="AC2" s="8"/>
      <c r="AD2" s="8"/>
      <c r="AE2" s="8"/>
      <c r="AF2" s="250"/>
    </row>
    <row r="3" spans="1:53" s="254" customFormat="1" ht="13.5" thickBot="1">
      <c r="A3" s="8"/>
      <c r="B3" s="8"/>
      <c r="C3" s="8"/>
      <c r="D3" s="8"/>
      <c r="E3" s="252" t="s">
        <v>613</v>
      </c>
      <c r="F3" s="253" t="s">
        <v>619</v>
      </c>
      <c r="J3" s="255"/>
      <c r="K3" s="255"/>
      <c r="M3" s="256"/>
      <c r="Q3" s="257"/>
      <c r="AF3" s="258"/>
      <c r="AK3" s="257"/>
      <c r="AL3" s="257"/>
      <c r="AM3" s="257"/>
      <c r="AN3" s="257"/>
      <c r="AO3" s="257"/>
      <c r="AP3" s="257"/>
      <c r="AZ3" s="259"/>
      <c r="BA3" s="259"/>
    </row>
    <row r="4" spans="1:53">
      <c r="E4" s="248"/>
      <c r="F4" s="8"/>
      <c r="G4" s="8"/>
      <c r="H4" s="8"/>
      <c r="I4" s="8"/>
      <c r="J4" s="260"/>
      <c r="K4" s="260"/>
      <c r="L4" s="8"/>
      <c r="M4" s="8"/>
      <c r="N4" s="8"/>
      <c r="O4" s="8"/>
      <c r="P4" s="8"/>
      <c r="Q4" s="8"/>
      <c r="R4" s="8"/>
      <c r="S4" s="8"/>
      <c r="T4" s="8"/>
      <c r="U4" s="8"/>
      <c r="V4" s="8"/>
      <c r="W4" s="8"/>
      <c r="X4" s="8"/>
      <c r="Y4" s="8"/>
      <c r="Z4" s="8"/>
      <c r="AA4" s="8"/>
      <c r="AB4" s="8"/>
      <c r="AC4" s="8"/>
      <c r="AD4" s="8"/>
      <c r="AE4" s="8"/>
      <c r="AF4" s="250"/>
      <c r="AT4" s="8"/>
    </row>
    <row r="5" spans="1:53" hidden="1" outlineLevel="1">
      <c r="E5" s="248"/>
      <c r="F5" s="8"/>
      <c r="G5" s="8"/>
      <c r="H5" s="8"/>
      <c r="I5" s="8"/>
      <c r="J5" s="261"/>
      <c r="K5" s="261"/>
      <c r="L5" s="262"/>
      <c r="M5" s="8"/>
      <c r="N5" s="263" t="str">
        <f>N28&amp;"%"</f>
        <v>B%</v>
      </c>
      <c r="O5" s="263" t="str">
        <f>O28&amp;"%"</f>
        <v>%</v>
      </c>
      <c r="P5" s="263" t="str">
        <f>P28&amp;"%"</f>
        <v>%</v>
      </c>
      <c r="Q5" s="263" t="str">
        <f>Q28&amp;"%"</f>
        <v>C%</v>
      </c>
      <c r="R5" s="263" t="str">
        <f>R28&amp;"%"</f>
        <v>D%</v>
      </c>
      <c r="S5" s="263"/>
      <c r="T5" s="263"/>
      <c r="U5" s="263" t="str">
        <f t="shared" ref="U5:Z5" si="0">U28&amp;"%"</f>
        <v>%</v>
      </c>
      <c r="V5" s="263" t="str">
        <f t="shared" si="0"/>
        <v>%</v>
      </c>
      <c r="W5" s="263" t="str">
        <f t="shared" si="0"/>
        <v>%</v>
      </c>
      <c r="X5" s="263" t="str">
        <f t="shared" si="0"/>
        <v>%</v>
      </c>
      <c r="Y5" s="263" t="str">
        <f t="shared" si="0"/>
        <v>%</v>
      </c>
      <c r="Z5" s="263" t="str">
        <f t="shared" si="0"/>
        <v>E%</v>
      </c>
      <c r="AA5" s="263"/>
      <c r="AB5" s="263" t="str">
        <f>AB28&amp;"%"</f>
        <v>G%</v>
      </c>
      <c r="AC5" s="8"/>
      <c r="AD5" s="8"/>
      <c r="AE5" s="8"/>
      <c r="AF5" s="250"/>
      <c r="AJ5" s="263"/>
      <c r="AK5" s="263"/>
      <c r="AL5" s="263"/>
      <c r="AM5" s="263"/>
      <c r="AN5" s="263"/>
      <c r="AO5" s="263"/>
      <c r="AP5" s="263"/>
      <c r="AQ5" s="263"/>
      <c r="AR5" s="263"/>
      <c r="AS5" s="263"/>
      <c r="AT5" s="264"/>
      <c r="AU5" s="47"/>
    </row>
    <row r="6" spans="1:53" hidden="1" outlineLevel="1">
      <c r="E6" s="248"/>
      <c r="F6" s="8"/>
      <c r="G6" s="8"/>
      <c r="H6" s="8"/>
      <c r="I6" s="265"/>
      <c r="J6" s="266"/>
      <c r="K6" s="263"/>
      <c r="L6" s="267">
        <f ca="1">COLUMN(L6)-COLUMN(OFFSET($L6,0,-1))</f>
        <v>1</v>
      </c>
      <c r="M6" s="267">
        <f t="shared" ref="M6:AB6" ca="1" si="1">COLUMN(M6)-COLUMN(OFFSET($L6,0,-1))</f>
        <v>2</v>
      </c>
      <c r="N6" s="267">
        <f t="shared" ca="1" si="1"/>
        <v>3</v>
      </c>
      <c r="O6" s="267">
        <f t="shared" ca="1" si="1"/>
        <v>4</v>
      </c>
      <c r="P6" s="267">
        <f t="shared" ca="1" si="1"/>
        <v>5</v>
      </c>
      <c r="Q6" s="267">
        <f t="shared" ca="1" si="1"/>
        <v>6</v>
      </c>
      <c r="R6" s="267">
        <f t="shared" ca="1" si="1"/>
        <v>7</v>
      </c>
      <c r="S6" s="267"/>
      <c r="T6" s="267"/>
      <c r="U6" s="267">
        <f t="shared" ca="1" si="1"/>
        <v>10</v>
      </c>
      <c r="V6" s="267">
        <f t="shared" ca="1" si="1"/>
        <v>11</v>
      </c>
      <c r="W6" s="267">
        <f t="shared" ca="1" si="1"/>
        <v>12</v>
      </c>
      <c r="X6" s="267">
        <f t="shared" ca="1" si="1"/>
        <v>13</v>
      </c>
      <c r="Y6" s="267">
        <f t="shared" ca="1" si="1"/>
        <v>14</v>
      </c>
      <c r="Z6" s="267">
        <f t="shared" ca="1" si="1"/>
        <v>15</v>
      </c>
      <c r="AA6" s="267"/>
      <c r="AB6" s="267">
        <f t="shared" ca="1" si="1"/>
        <v>17</v>
      </c>
      <c r="AC6" s="8"/>
      <c r="AD6" s="8"/>
      <c r="AE6" s="8"/>
      <c r="AF6" s="250"/>
      <c r="AG6" s="266"/>
      <c r="AH6" s="266"/>
      <c r="AI6" s="266"/>
      <c r="AJ6" s="263"/>
      <c r="AK6" s="263"/>
      <c r="AL6" s="263"/>
      <c r="AM6" s="263"/>
      <c r="AN6" s="263"/>
      <c r="AO6" s="263"/>
      <c r="AP6" s="263"/>
      <c r="AQ6" s="263"/>
      <c r="AR6" s="263"/>
      <c r="AS6" s="263"/>
      <c r="AT6" s="264"/>
      <c r="AU6" s="47"/>
    </row>
    <row r="7" spans="1:53" collapsed="1">
      <c r="E7" s="268"/>
      <c r="F7" s="39" t="s">
        <v>587</v>
      </c>
      <c r="G7" s="39" t="s">
        <v>588</v>
      </c>
      <c r="H7" s="39"/>
      <c r="I7" s="269"/>
      <c r="J7" s="270"/>
      <c r="K7" s="270"/>
      <c r="L7" s="271"/>
      <c r="M7" s="272"/>
      <c r="N7" s="272"/>
      <c r="O7" s="272"/>
      <c r="P7" s="272"/>
      <c r="Q7" s="272" t="str">
        <f>InputSheet!D41</f>
        <v>Contr/Govt</v>
      </c>
      <c r="R7" s="272"/>
      <c r="S7" s="272"/>
      <c r="T7" s="272"/>
      <c r="U7" s="272"/>
      <c r="V7" s="272"/>
      <c r="W7" s="272"/>
      <c r="X7" s="272"/>
      <c r="Y7" s="272"/>
      <c r="Z7" s="272" t="str">
        <f>$Q7</f>
        <v>Contr/Govt</v>
      </c>
      <c r="AA7" s="272"/>
      <c r="AB7" s="273"/>
      <c r="AC7" s="8"/>
      <c r="AD7" s="8"/>
      <c r="AE7" s="8"/>
      <c r="AF7" s="1032"/>
      <c r="AG7" s="1016"/>
      <c r="AH7" s="1016"/>
      <c r="AI7" s="1016"/>
      <c r="AJ7" s="270"/>
      <c r="AK7" s="270"/>
      <c r="AL7" s="270"/>
      <c r="AM7" s="270"/>
      <c r="AN7" s="270"/>
      <c r="AO7" s="270"/>
      <c r="AP7" s="270"/>
      <c r="AQ7" s="270"/>
      <c r="AR7" s="270"/>
      <c r="AS7" s="274"/>
      <c r="AT7" s="249"/>
    </row>
    <row r="8" spans="1:53" ht="14.25" customHeight="1">
      <c r="E8" s="239" t="str">
        <f>InputSheet!$C$25</f>
        <v>Training and Processing</v>
      </c>
      <c r="F8" s="275">
        <f>VLOOKUP($E$8,InputSheet!$C$22:$G$38,2,FALSE)</f>
        <v>40179</v>
      </c>
      <c r="G8" s="276">
        <f>VLOOKUP($E$8,InputSheet!$C$22:$G$38,3,FALSE)</f>
        <v>41152</v>
      </c>
      <c r="H8" s="277"/>
      <c r="I8" s="278"/>
      <c r="J8" s="279" t="s">
        <v>593</v>
      </c>
      <c r="K8" s="279" t="s">
        <v>628</v>
      </c>
      <c r="L8" s="280" t="s">
        <v>52</v>
      </c>
      <c r="M8" s="279" t="s">
        <v>0</v>
      </c>
      <c r="N8" s="279" t="s">
        <v>620</v>
      </c>
      <c r="O8" s="279" t="s">
        <v>895</v>
      </c>
      <c r="P8" s="279" t="s">
        <v>911</v>
      </c>
      <c r="Q8" s="279" t="s">
        <v>621</v>
      </c>
      <c r="R8" s="279" t="s">
        <v>637</v>
      </c>
      <c r="S8" s="1158" t="s">
        <v>996</v>
      </c>
      <c r="T8" s="1158" t="s">
        <v>995</v>
      </c>
      <c r="U8" s="1158" t="s">
        <v>993</v>
      </c>
      <c r="V8" s="279" t="s">
        <v>863</v>
      </c>
      <c r="W8" s="279" t="s">
        <v>949</v>
      </c>
      <c r="X8" s="279" t="s">
        <v>950</v>
      </c>
      <c r="Y8" s="279" t="s">
        <v>718</v>
      </c>
      <c r="Z8" s="279" t="s">
        <v>597</v>
      </c>
      <c r="AA8" s="279" t="s">
        <v>53</v>
      </c>
      <c r="AB8" s="281" t="s">
        <v>55</v>
      </c>
      <c r="AC8" s="8"/>
      <c r="AD8" s="8"/>
      <c r="AE8" s="8"/>
      <c r="AF8" s="1033" t="s">
        <v>717</v>
      </c>
      <c r="AG8" s="1017"/>
      <c r="AH8" s="1017"/>
      <c r="AI8" s="1017"/>
      <c r="AJ8" s="279"/>
      <c r="AK8" s="279"/>
      <c r="AL8" s="279"/>
      <c r="AM8" s="279"/>
      <c r="AN8" s="279"/>
      <c r="AO8" s="279"/>
      <c r="AP8" s="279"/>
      <c r="AQ8" s="279"/>
      <c r="AR8" s="279"/>
      <c r="AS8" s="279"/>
      <c r="AT8" s="249"/>
    </row>
    <row r="9" spans="1:53" hidden="1">
      <c r="B9" s="8">
        <v>750</v>
      </c>
      <c r="E9" s="248"/>
      <c r="F9" s="8"/>
      <c r="G9" s="8"/>
      <c r="H9" s="8"/>
      <c r="I9" s="278"/>
      <c r="J9" s="283" t="str">
        <f>InputSheet!I40</f>
        <v>IS</v>
      </c>
      <c r="K9" s="284" t="str">
        <f>InputSheet!$D$42</f>
        <v>Contr</v>
      </c>
      <c r="L9" s="207" t="s">
        <v>622</v>
      </c>
      <c r="M9" s="285">
        <f>InputSheet!$E$7</f>
        <v>3.3000000000000002E-2</v>
      </c>
      <c r="N9" s="286">
        <f>VLOOKUP(($E$8&amp;$J9),InputSheet!$A$22:$G$130,7,FALSE)</f>
        <v>1.0535182089062498</v>
      </c>
      <c r="O9" s="833">
        <v>0.35</v>
      </c>
      <c r="P9" s="833">
        <v>0.35</v>
      </c>
      <c r="Q9" s="287">
        <f>IF(Q$7="",VLOOKUP($E$8&amp;$J9&amp;Q$8&amp;$K9,Indirects,2,FALSE),VLOOKUP($E$8&amp;$J9&amp;Q$8&amp;Q$7,Indirects,2,FALSE))</f>
        <v>0.31240000000000001</v>
      </c>
      <c r="R9" s="287">
        <f>IF(R$7="",VLOOKUP($E$8&amp;$J9&amp;R$8&amp;$K9,Indirects,2,FALSE),VLOOKUP($E$8&amp;$J9&amp;R$8&amp;R$7,Indirects,2,FALSE))</f>
        <v>0.1988</v>
      </c>
      <c r="S9" s="287"/>
      <c r="T9" s="287"/>
      <c r="U9" s="1015">
        <v>5000</v>
      </c>
      <c r="V9" s="1015">
        <v>5000</v>
      </c>
      <c r="W9" s="833">
        <v>0.35</v>
      </c>
      <c r="X9" s="833">
        <v>0.35</v>
      </c>
      <c r="Y9" s="833">
        <v>0.35</v>
      </c>
      <c r="Z9" s="287">
        <f>IF(Z$7="",VLOOKUP($E$8&amp;$J9&amp;Z$8&amp;$K9,Indirects,2,FALSE),VLOOKUP($E$8&amp;$J9&amp;Z$8&amp;Z$7,Indirects,2,FALSE))</f>
        <v>9.2399999999999996E-2</v>
      </c>
      <c r="AA9" s="288"/>
      <c r="AB9" s="213">
        <v>0.15</v>
      </c>
      <c r="AC9" s="8"/>
      <c r="AD9" s="8"/>
      <c r="AE9" s="8"/>
      <c r="AF9" s="1034">
        <f t="shared" ref="AF9:AF24" si="2">IF(M9="","",M9)</f>
        <v>3.3000000000000002E-2</v>
      </c>
      <c r="AG9" s="1023"/>
      <c r="AH9" s="1023"/>
      <c r="AI9" s="1023"/>
      <c r="AJ9" s="287"/>
      <c r="AK9" s="287"/>
      <c r="AL9" s="287"/>
      <c r="AM9" s="287"/>
      <c r="AN9" s="287"/>
      <c r="AO9" s="287"/>
      <c r="AP9" s="287"/>
      <c r="AQ9" s="287"/>
      <c r="AR9" s="287"/>
      <c r="AS9" s="287"/>
      <c r="AT9" s="249"/>
    </row>
    <row r="10" spans="1:53" ht="15" customHeight="1">
      <c r="B10" s="8">
        <f>B9/3</f>
        <v>250</v>
      </c>
      <c r="E10" s="248"/>
      <c r="F10" s="8"/>
      <c r="G10" s="8"/>
      <c r="H10" s="8"/>
      <c r="I10" s="278"/>
      <c r="J10" s="289" t="str">
        <f>J$9</f>
        <v>IS</v>
      </c>
      <c r="K10" s="290" t="str">
        <f>InputSheet!$D$43</f>
        <v>Govt</v>
      </c>
      <c r="L10" s="208" t="s">
        <v>623</v>
      </c>
      <c r="M10" s="285">
        <f>InputSheet!$E$7</f>
        <v>3.3000000000000002E-2</v>
      </c>
      <c r="N10" s="286">
        <f>VLOOKUP(($E$8&amp;$J10),InputSheet!$A$22:$G$130,7,FALSE)</f>
        <v>1.0535182089062498</v>
      </c>
      <c r="O10" s="834">
        <v>0</v>
      </c>
      <c r="P10" s="834">
        <v>0</v>
      </c>
      <c r="Q10" s="287">
        <f>IF(Q$7="",VLOOKUP($E$8&amp;$J10&amp;Q$8&amp;$K10,Indirects,2,FALSE),VLOOKUP($E$8&amp;$J10&amp;Q$8&amp;Q$7,Indirects,2,FALSE))</f>
        <v>0.31240000000000001</v>
      </c>
      <c r="R10" s="287">
        <f>IF(R$7="",VLOOKUP($E$8&amp;$J10&amp;R$8&amp;$K10,Indirects,2,FALSE),VLOOKUP($E$8&amp;$J10&amp;R$8&amp;R$7,Indirects,2,FALSE))</f>
        <v>2.23E-2</v>
      </c>
      <c r="S10" s="1163"/>
      <c r="T10" s="1163"/>
      <c r="U10" s="1159">
        <v>0</v>
      </c>
      <c r="V10" s="1015">
        <v>242</v>
      </c>
      <c r="W10" s="1094">
        <v>0</v>
      </c>
      <c r="X10" s="834">
        <v>1.9E-2</v>
      </c>
      <c r="Y10" s="1091">
        <v>0</v>
      </c>
      <c r="Z10" s="287">
        <f t="shared" ref="Z10:Z24" si="3">IF(Z$7="",VLOOKUP($E$8&amp;$J10&amp;Z$8&amp;$K10,Indirects,2,FALSE),VLOOKUP($E$8&amp;$J10&amp;Z$8&amp;Z$7,Indirects,2,FALSE))</f>
        <v>9.2399999999999996E-2</v>
      </c>
      <c r="AA10" s="291"/>
      <c r="AB10" s="209">
        <f>'Pricing Summary'!C52</f>
        <v>0.08</v>
      </c>
      <c r="AC10" s="8"/>
      <c r="AD10" s="8"/>
      <c r="AE10" s="8"/>
      <c r="AF10" s="1034">
        <f t="shared" si="2"/>
        <v>3.3000000000000002E-2</v>
      </c>
      <c r="AG10" s="1024"/>
      <c r="AH10" s="1024"/>
      <c r="AI10" s="1024"/>
      <c r="AJ10" s="287"/>
      <c r="AK10" s="287"/>
      <c r="AL10" s="287"/>
      <c r="AM10" s="287"/>
      <c r="AN10" s="287"/>
      <c r="AO10" s="287"/>
      <c r="AP10" s="287"/>
      <c r="AQ10" s="287"/>
      <c r="AR10" s="287"/>
      <c r="AS10" s="287"/>
      <c r="AT10" s="249"/>
    </row>
    <row r="11" spans="1:53" hidden="1" outlineLevel="1">
      <c r="E11" s="248"/>
      <c r="F11" s="8"/>
      <c r="G11" s="8"/>
      <c r="H11" s="8"/>
      <c r="I11" s="278"/>
      <c r="J11" s="289" t="str">
        <f t="shared" ref="J11:J24" si="4">J$9</f>
        <v>IS</v>
      </c>
      <c r="K11" s="290" t="str">
        <f>K$9</f>
        <v>Contr</v>
      </c>
      <c r="L11" s="208" t="s">
        <v>667</v>
      </c>
      <c r="M11" s="293">
        <v>0</v>
      </c>
      <c r="N11" s="292">
        <v>1</v>
      </c>
      <c r="O11" s="833">
        <v>0</v>
      </c>
      <c r="P11" s="834">
        <v>0</v>
      </c>
      <c r="Q11" s="287">
        <f t="shared" ref="Q11:R20" si="5">IF(Q$7="",VLOOKUP($E$8&amp;$J11&amp;Q$8&amp;$K11,Indirects,2,FALSE),VLOOKUP($E$8&amp;$J11&amp;Q$8&amp;Q$7,Indirects,2,FALSE))</f>
        <v>0.31240000000000001</v>
      </c>
      <c r="R11" s="287">
        <f t="shared" si="5"/>
        <v>0.1988</v>
      </c>
      <c r="S11" s="287"/>
      <c r="T11" s="287"/>
      <c r="U11" s="834">
        <v>0</v>
      </c>
      <c r="V11" s="834">
        <v>0</v>
      </c>
      <c r="W11" s="834">
        <v>0</v>
      </c>
      <c r="X11" s="834">
        <v>0</v>
      </c>
      <c r="Y11" s="834">
        <v>0</v>
      </c>
      <c r="Z11" s="287">
        <f t="shared" si="3"/>
        <v>9.2399999999999996E-2</v>
      </c>
      <c r="AA11" s="291"/>
      <c r="AB11" s="209">
        <f t="shared" ref="AB11:AB22" si="6">AB10</f>
        <v>0.08</v>
      </c>
      <c r="AC11" s="8"/>
      <c r="AD11" s="8"/>
      <c r="AE11" s="8"/>
      <c r="AF11" s="1034">
        <f t="shared" si="2"/>
        <v>0</v>
      </c>
      <c r="AG11" s="1024"/>
      <c r="AH11" s="1024"/>
      <c r="AI11" s="1024"/>
      <c r="AJ11" s="287"/>
      <c r="AK11" s="287"/>
      <c r="AL11" s="287"/>
      <c r="AM11" s="287"/>
      <c r="AN11" s="287"/>
      <c r="AO11" s="287"/>
      <c r="AP11" s="287"/>
      <c r="AQ11" s="287"/>
      <c r="AR11" s="287"/>
      <c r="AS11" s="287"/>
      <c r="AT11" s="249"/>
    </row>
    <row r="12" spans="1:53" hidden="1" outlineLevel="1">
      <c r="E12" s="248"/>
      <c r="F12" s="8"/>
      <c r="G12" s="8"/>
      <c r="H12" s="8"/>
      <c r="I12" s="278"/>
      <c r="J12" s="289" t="str">
        <f t="shared" si="4"/>
        <v>IS</v>
      </c>
      <c r="K12" s="290" t="str">
        <f>K$10</f>
        <v>Govt</v>
      </c>
      <c r="L12" s="208" t="s">
        <v>668</v>
      </c>
      <c r="M12" s="293">
        <v>0</v>
      </c>
      <c r="N12" s="292">
        <v>1</v>
      </c>
      <c r="O12" s="834">
        <v>0</v>
      </c>
      <c r="P12" s="834">
        <v>0</v>
      </c>
      <c r="Q12" s="287">
        <f t="shared" si="5"/>
        <v>0.31240000000000001</v>
      </c>
      <c r="R12" s="287">
        <f t="shared" si="5"/>
        <v>2.23E-2</v>
      </c>
      <c r="S12" s="287"/>
      <c r="T12" s="287"/>
      <c r="U12" s="834">
        <v>0</v>
      </c>
      <c r="V12" s="834">
        <v>0</v>
      </c>
      <c r="W12" s="834">
        <v>0</v>
      </c>
      <c r="X12" s="834">
        <v>0</v>
      </c>
      <c r="Y12" s="834">
        <v>0</v>
      </c>
      <c r="Z12" s="287">
        <f t="shared" si="3"/>
        <v>9.2399999999999996E-2</v>
      </c>
      <c r="AA12" s="291"/>
      <c r="AB12" s="209">
        <f t="shared" si="6"/>
        <v>0.08</v>
      </c>
      <c r="AC12" s="8"/>
      <c r="AD12" s="8"/>
      <c r="AE12" s="8"/>
      <c r="AF12" s="1034">
        <f t="shared" si="2"/>
        <v>0</v>
      </c>
      <c r="AG12" s="1024"/>
      <c r="AH12" s="1024"/>
      <c r="AI12" s="1024"/>
      <c r="AJ12" s="287"/>
      <c r="AK12" s="287"/>
      <c r="AL12" s="287"/>
      <c r="AM12" s="287"/>
      <c r="AN12" s="287"/>
      <c r="AO12" s="287"/>
      <c r="AP12" s="287"/>
      <c r="AQ12" s="287"/>
      <c r="AR12" s="287"/>
      <c r="AS12" s="287"/>
      <c r="AT12" s="249"/>
    </row>
    <row r="13" spans="1:53" hidden="1" outlineLevel="1">
      <c r="E13" s="248"/>
      <c r="F13" s="8"/>
      <c r="G13" s="8"/>
      <c r="H13" s="8"/>
      <c r="I13" s="278"/>
      <c r="J13" s="289" t="str">
        <f>InputSheet!I87</f>
        <v>ESD</v>
      </c>
      <c r="K13" s="290" t="str">
        <f>K$9</f>
        <v>Contr</v>
      </c>
      <c r="L13" s="208" t="s">
        <v>624</v>
      </c>
      <c r="M13" s="285">
        <f>InputSheet!$E$54</f>
        <v>3.3000000000000002E-2</v>
      </c>
      <c r="N13" s="286">
        <f>VLOOKUP(($E$8&amp;$J13),InputSheet!$A$22:$G$130,7,FALSE)</f>
        <v>1.0535182089062498</v>
      </c>
      <c r="O13" s="833">
        <v>0</v>
      </c>
      <c r="P13" s="833">
        <v>0</v>
      </c>
      <c r="Q13" s="287">
        <f>IF(Q$7="",VLOOKUP($E$8&amp;$J13&amp;Q$8&amp;$K13,Indirects,2,FALSE),VLOOKUP($E$8&amp;$J13&amp;Q$8&amp;Q$7,Indirects,2,FALSE))</f>
        <v>0</v>
      </c>
      <c r="R13" s="287">
        <f t="shared" si="5"/>
        <v>0</v>
      </c>
      <c r="S13" s="287"/>
      <c r="T13" s="287"/>
      <c r="U13" s="833">
        <v>0</v>
      </c>
      <c r="V13" s="833">
        <v>0</v>
      </c>
      <c r="W13" s="833">
        <v>0</v>
      </c>
      <c r="X13" s="833">
        <v>0</v>
      </c>
      <c r="Y13" s="833">
        <v>0</v>
      </c>
      <c r="Z13" s="287">
        <f t="shared" si="3"/>
        <v>0</v>
      </c>
      <c r="AA13" s="291"/>
      <c r="AB13" s="209">
        <f t="shared" si="6"/>
        <v>0.08</v>
      </c>
      <c r="AC13" s="8"/>
      <c r="AD13" s="8"/>
      <c r="AE13" s="8"/>
      <c r="AF13" s="1034">
        <f t="shared" si="2"/>
        <v>3.3000000000000002E-2</v>
      </c>
      <c r="AG13" s="1024"/>
      <c r="AH13" s="1024"/>
      <c r="AI13" s="1024"/>
      <c r="AJ13" s="287"/>
      <c r="AK13" s="287"/>
      <c r="AL13" s="287"/>
      <c r="AM13" s="287"/>
      <c r="AN13" s="287"/>
      <c r="AO13" s="287"/>
      <c r="AP13" s="287"/>
      <c r="AQ13" s="287"/>
      <c r="AR13" s="287"/>
      <c r="AS13" s="287"/>
      <c r="AT13" s="249"/>
    </row>
    <row r="14" spans="1:53" hidden="1" outlineLevel="1">
      <c r="E14" s="248"/>
      <c r="F14" s="8"/>
      <c r="G14" s="8"/>
      <c r="H14" s="8"/>
      <c r="I14" s="278"/>
      <c r="J14" s="289" t="str">
        <f>J13</f>
        <v>ESD</v>
      </c>
      <c r="K14" s="290" t="str">
        <f>K$10</f>
        <v>Govt</v>
      </c>
      <c r="L14" s="208" t="s">
        <v>625</v>
      </c>
      <c r="M14" s="285">
        <f>InputSheet!$E$54</f>
        <v>3.3000000000000002E-2</v>
      </c>
      <c r="N14" s="286">
        <f>VLOOKUP(($E$8&amp;$J14),InputSheet!$A$22:$G$130,7,FALSE)</f>
        <v>1.0535182089062498</v>
      </c>
      <c r="O14" s="834">
        <v>0</v>
      </c>
      <c r="P14" s="834">
        <v>0</v>
      </c>
      <c r="Q14" s="287">
        <f>IF(Q$7="",VLOOKUP($E$8&amp;$J14&amp;Q$8&amp;$K14,Indirects,2,FALSE),VLOOKUP($E$8&amp;$J14&amp;Q$8&amp;Q$7,Indirects,2,FALSE))</f>
        <v>0</v>
      </c>
      <c r="R14" s="287">
        <f t="shared" si="5"/>
        <v>0</v>
      </c>
      <c r="S14" s="287"/>
      <c r="T14" s="287"/>
      <c r="U14" s="834">
        <v>0</v>
      </c>
      <c r="V14" s="834">
        <v>0</v>
      </c>
      <c r="W14" s="834">
        <v>0</v>
      </c>
      <c r="X14" s="834">
        <v>0</v>
      </c>
      <c r="Y14" s="834">
        <v>0</v>
      </c>
      <c r="Z14" s="287">
        <f t="shared" si="3"/>
        <v>0</v>
      </c>
      <c r="AA14" s="291"/>
      <c r="AB14" s="209">
        <f t="shared" si="6"/>
        <v>0.08</v>
      </c>
      <c r="AC14" s="8"/>
      <c r="AD14" s="8"/>
      <c r="AE14" s="8"/>
      <c r="AF14" s="1034">
        <f t="shared" si="2"/>
        <v>3.3000000000000002E-2</v>
      </c>
      <c r="AG14" s="1024"/>
      <c r="AH14" s="1024"/>
      <c r="AI14" s="1024"/>
      <c r="AJ14" s="287"/>
      <c r="AK14" s="287"/>
      <c r="AL14" s="287"/>
      <c r="AM14" s="287"/>
      <c r="AN14" s="287"/>
      <c r="AO14" s="287"/>
      <c r="AP14" s="287"/>
      <c r="AQ14" s="287"/>
      <c r="AR14" s="287"/>
      <c r="AS14" s="287"/>
      <c r="AT14" s="249"/>
    </row>
    <row r="15" spans="1:53" hidden="1" outlineLevel="1">
      <c r="E15" s="248"/>
      <c r="F15" s="8"/>
      <c r="G15" s="8"/>
      <c r="H15" s="8"/>
      <c r="I15" s="278"/>
      <c r="J15" s="289" t="str">
        <f>InputSheet!I134</f>
        <v>ESD</v>
      </c>
      <c r="K15" s="290" t="str">
        <f>K$9</f>
        <v>Contr</v>
      </c>
      <c r="L15" s="208" t="s">
        <v>784</v>
      </c>
      <c r="M15" s="285">
        <f>InputSheet!$E$101</f>
        <v>3.3000000000000002E-2</v>
      </c>
      <c r="N15" s="286">
        <f>VLOOKUP(($E$8&amp;$J15),InputSheet!$A$22:$G$130,7,FALSE)</f>
        <v>1.0535182089062498</v>
      </c>
      <c r="O15" s="833">
        <v>0</v>
      </c>
      <c r="P15" s="833">
        <v>0</v>
      </c>
      <c r="Q15" s="287">
        <f>IF(Q$7="",VLOOKUP($E$8&amp;$J15&amp;Q$8&amp;$K15,Indirects,2,FALSE),VLOOKUP($E$8&amp;$J15&amp;Q$8&amp;Q$7,Indirects,2,FALSE))</f>
        <v>0</v>
      </c>
      <c r="R15" s="287">
        <f t="shared" si="5"/>
        <v>0</v>
      </c>
      <c r="S15" s="287"/>
      <c r="T15" s="287"/>
      <c r="U15" s="833">
        <v>0</v>
      </c>
      <c r="V15" s="833">
        <v>0</v>
      </c>
      <c r="W15" s="833">
        <v>0</v>
      </c>
      <c r="X15" s="833">
        <v>0</v>
      </c>
      <c r="Y15" s="833">
        <v>0</v>
      </c>
      <c r="Z15" s="287">
        <f t="shared" si="3"/>
        <v>0</v>
      </c>
      <c r="AA15" s="291"/>
      <c r="AB15" s="209">
        <f t="shared" si="6"/>
        <v>0.08</v>
      </c>
      <c r="AC15" s="8"/>
      <c r="AD15" s="8"/>
      <c r="AE15" s="8"/>
      <c r="AF15" s="1034">
        <f t="shared" si="2"/>
        <v>3.3000000000000002E-2</v>
      </c>
      <c r="AG15" s="1024"/>
      <c r="AH15" s="1024"/>
      <c r="AI15" s="1024"/>
      <c r="AJ15" s="287"/>
      <c r="AK15" s="287"/>
      <c r="AL15" s="287"/>
      <c r="AM15" s="287"/>
      <c r="AN15" s="287"/>
      <c r="AO15" s="287"/>
      <c r="AP15" s="287"/>
      <c r="AQ15" s="287"/>
      <c r="AR15" s="287"/>
      <c r="AS15" s="287"/>
      <c r="AT15" s="249"/>
    </row>
    <row r="16" spans="1:53" hidden="1" outlineLevel="1">
      <c r="E16" s="248"/>
      <c r="F16" s="8"/>
      <c r="G16" s="8"/>
      <c r="H16" s="8"/>
      <c r="I16" s="278"/>
      <c r="J16" s="289" t="str">
        <f>J15</f>
        <v>ESD</v>
      </c>
      <c r="K16" s="290" t="str">
        <f>K$10</f>
        <v>Govt</v>
      </c>
      <c r="L16" s="208" t="s">
        <v>785</v>
      </c>
      <c r="M16" s="285">
        <f>InputSheet!$E$101</f>
        <v>3.3000000000000002E-2</v>
      </c>
      <c r="N16" s="286">
        <f>VLOOKUP(($E$8&amp;$J16),InputSheet!$A$22:$G$130,7,FALSE)</f>
        <v>1.0535182089062498</v>
      </c>
      <c r="O16" s="834">
        <v>0</v>
      </c>
      <c r="P16" s="834">
        <v>0</v>
      </c>
      <c r="Q16" s="287">
        <f t="shared" si="5"/>
        <v>0</v>
      </c>
      <c r="R16" s="287">
        <f t="shared" si="5"/>
        <v>0</v>
      </c>
      <c r="S16" s="287"/>
      <c r="T16" s="287"/>
      <c r="U16" s="834">
        <v>0</v>
      </c>
      <c r="V16" s="834">
        <v>0</v>
      </c>
      <c r="W16" s="834">
        <v>0</v>
      </c>
      <c r="X16" s="834">
        <v>0</v>
      </c>
      <c r="Y16" s="834">
        <v>0</v>
      </c>
      <c r="Z16" s="287">
        <f t="shared" si="3"/>
        <v>0</v>
      </c>
      <c r="AA16" s="291"/>
      <c r="AB16" s="209">
        <f t="shared" si="6"/>
        <v>0.08</v>
      </c>
      <c r="AC16" s="8"/>
      <c r="AD16" s="8"/>
      <c r="AE16" s="8"/>
      <c r="AF16" s="1034">
        <f t="shared" si="2"/>
        <v>3.3000000000000002E-2</v>
      </c>
      <c r="AG16" s="1024"/>
      <c r="AH16" s="1024"/>
      <c r="AI16" s="1024"/>
      <c r="AJ16" s="287"/>
      <c r="AK16" s="287"/>
      <c r="AL16" s="287"/>
      <c r="AM16" s="287"/>
      <c r="AN16" s="287"/>
      <c r="AO16" s="287"/>
      <c r="AP16" s="287"/>
      <c r="AQ16" s="287"/>
      <c r="AR16" s="287"/>
      <c r="AS16" s="287"/>
      <c r="AT16" s="249"/>
    </row>
    <row r="17" spans="4:53" hidden="1" outlineLevel="1">
      <c r="E17" s="248"/>
      <c r="F17" s="8"/>
      <c r="G17" s="8"/>
      <c r="H17" s="8"/>
      <c r="I17" s="278"/>
      <c r="J17" s="289" t="str">
        <f t="shared" si="4"/>
        <v>IS</v>
      </c>
      <c r="K17" s="290" t="str">
        <f>K$9</f>
        <v>Contr</v>
      </c>
      <c r="L17" s="208" t="s">
        <v>716</v>
      </c>
      <c r="M17" s="285">
        <f>InputSheet!$E$7</f>
        <v>3.3000000000000002E-2</v>
      </c>
      <c r="N17" s="286">
        <f>VLOOKUP(($E$8&amp;$J17),InputSheet!$A$22:$G$130,7,FALSE)</f>
        <v>1.0535182089062498</v>
      </c>
      <c r="O17" s="834">
        <v>0.5</v>
      </c>
      <c r="P17" s="834">
        <v>0</v>
      </c>
      <c r="Q17" s="287">
        <f t="shared" si="5"/>
        <v>0.31240000000000001</v>
      </c>
      <c r="R17" s="287">
        <f t="shared" si="5"/>
        <v>0.1988</v>
      </c>
      <c r="S17" s="287"/>
      <c r="T17" s="287"/>
      <c r="U17" s="834">
        <v>0</v>
      </c>
      <c r="V17" s="834">
        <v>0</v>
      </c>
      <c r="W17" s="834">
        <v>0</v>
      </c>
      <c r="X17" s="834">
        <v>0</v>
      </c>
      <c r="Y17" s="834">
        <v>0</v>
      </c>
      <c r="Z17" s="287">
        <f t="shared" si="3"/>
        <v>9.2399999999999996E-2</v>
      </c>
      <c r="AA17" s="291"/>
      <c r="AB17" s="209">
        <f t="shared" si="6"/>
        <v>0.08</v>
      </c>
      <c r="AC17" s="8"/>
      <c r="AD17" s="8"/>
      <c r="AE17" s="8"/>
      <c r="AF17" s="1034">
        <f t="shared" si="2"/>
        <v>3.3000000000000002E-2</v>
      </c>
      <c r="AG17" s="1024"/>
      <c r="AH17" s="1024"/>
      <c r="AI17" s="1024"/>
      <c r="AJ17" s="287"/>
      <c r="AK17" s="287"/>
      <c r="AL17" s="287"/>
      <c r="AM17" s="287"/>
      <c r="AN17" s="287"/>
      <c r="AO17" s="287"/>
      <c r="AP17" s="287"/>
      <c r="AQ17" s="287"/>
      <c r="AR17" s="287"/>
      <c r="AS17" s="287"/>
      <c r="AT17" s="249"/>
    </row>
    <row r="18" spans="4:53" hidden="1" outlineLevel="1">
      <c r="E18" s="248"/>
      <c r="F18" s="8"/>
      <c r="G18" s="8"/>
      <c r="H18" s="8"/>
      <c r="I18" s="278"/>
      <c r="J18" s="289" t="str">
        <f t="shared" si="4"/>
        <v>IS</v>
      </c>
      <c r="K18" s="290" t="str">
        <f>K$10</f>
        <v>Govt</v>
      </c>
      <c r="L18" s="208" t="s">
        <v>715</v>
      </c>
      <c r="M18" s="285">
        <f>InputSheet!$E$7</f>
        <v>3.3000000000000002E-2</v>
      </c>
      <c r="N18" s="286">
        <f>VLOOKUP(($E$8&amp;$J18),InputSheet!$A$22:$G$130,7,FALSE)</f>
        <v>1.0535182089062498</v>
      </c>
      <c r="O18" s="834">
        <v>0.5</v>
      </c>
      <c r="P18" s="834">
        <v>0</v>
      </c>
      <c r="Q18" s="287">
        <f t="shared" si="5"/>
        <v>0.31240000000000001</v>
      </c>
      <c r="R18" s="287">
        <f t="shared" si="5"/>
        <v>2.23E-2</v>
      </c>
      <c r="S18" s="287"/>
      <c r="T18" s="287"/>
      <c r="U18" s="834">
        <v>0</v>
      </c>
      <c r="V18" s="834">
        <v>0</v>
      </c>
      <c r="W18" s="834">
        <v>0</v>
      </c>
      <c r="X18" s="834">
        <v>0</v>
      </c>
      <c r="Y18" s="834">
        <v>0</v>
      </c>
      <c r="Z18" s="287">
        <f t="shared" si="3"/>
        <v>9.2399999999999996E-2</v>
      </c>
      <c r="AA18" s="291"/>
      <c r="AB18" s="209">
        <f t="shared" si="6"/>
        <v>0.08</v>
      </c>
      <c r="AC18" s="8"/>
      <c r="AD18" s="8"/>
      <c r="AE18" s="8"/>
      <c r="AF18" s="1034">
        <f t="shared" si="2"/>
        <v>3.3000000000000002E-2</v>
      </c>
      <c r="AG18" s="1024"/>
      <c r="AH18" s="1024"/>
      <c r="AI18" s="1024"/>
      <c r="AJ18" s="287"/>
      <c r="AK18" s="287"/>
      <c r="AL18" s="287"/>
      <c r="AM18" s="287"/>
      <c r="AN18" s="287"/>
      <c r="AO18" s="287"/>
      <c r="AP18" s="287"/>
      <c r="AQ18" s="287"/>
      <c r="AR18" s="287"/>
      <c r="AS18" s="287"/>
      <c r="AT18" s="249"/>
    </row>
    <row r="19" spans="4:53" hidden="1" outlineLevel="1">
      <c r="E19" s="248"/>
      <c r="F19" s="8"/>
      <c r="G19" s="8"/>
      <c r="H19" s="8"/>
      <c r="I19" s="278"/>
      <c r="J19" s="289" t="str">
        <f t="shared" si="4"/>
        <v>IS</v>
      </c>
      <c r="K19" s="290" t="str">
        <f>K$9</f>
        <v>Contr</v>
      </c>
      <c r="L19" s="208" t="s">
        <v>670</v>
      </c>
      <c r="M19" s="293">
        <v>0</v>
      </c>
      <c r="N19" s="292">
        <v>1</v>
      </c>
      <c r="O19" s="833">
        <v>0.5</v>
      </c>
      <c r="P19" s="833">
        <v>0</v>
      </c>
      <c r="Q19" s="287">
        <f t="shared" si="5"/>
        <v>0.31240000000000001</v>
      </c>
      <c r="R19" s="287">
        <f t="shared" si="5"/>
        <v>0.1988</v>
      </c>
      <c r="S19" s="287"/>
      <c r="T19" s="287"/>
      <c r="U19" s="833">
        <v>0</v>
      </c>
      <c r="V19" s="833">
        <v>0</v>
      </c>
      <c r="W19" s="833">
        <v>0</v>
      </c>
      <c r="X19" s="833">
        <v>0</v>
      </c>
      <c r="Y19" s="833">
        <v>0</v>
      </c>
      <c r="Z19" s="287">
        <f t="shared" si="3"/>
        <v>9.2399999999999996E-2</v>
      </c>
      <c r="AA19" s="291"/>
      <c r="AB19" s="209">
        <f t="shared" si="6"/>
        <v>0.08</v>
      </c>
      <c r="AC19" s="8"/>
      <c r="AD19" s="8"/>
      <c r="AE19" s="8"/>
      <c r="AF19" s="1034">
        <f t="shared" si="2"/>
        <v>0</v>
      </c>
      <c r="AG19" s="1024"/>
      <c r="AH19" s="1024"/>
      <c r="AI19" s="1024"/>
      <c r="AJ19" s="287"/>
      <c r="AK19" s="287"/>
      <c r="AL19" s="287"/>
      <c r="AM19" s="287"/>
      <c r="AN19" s="287"/>
      <c r="AO19" s="287"/>
      <c r="AP19" s="287"/>
      <c r="AQ19" s="287"/>
      <c r="AR19" s="287"/>
      <c r="AS19" s="287"/>
      <c r="AT19" s="249"/>
    </row>
    <row r="20" spans="4:53" hidden="1" outlineLevel="1">
      <c r="E20" s="248"/>
      <c r="F20" s="8"/>
      <c r="G20" s="8"/>
      <c r="H20" s="8"/>
      <c r="I20" s="278"/>
      <c r="J20" s="289" t="str">
        <f t="shared" si="4"/>
        <v>IS</v>
      </c>
      <c r="K20" s="290" t="str">
        <f>K$10</f>
        <v>Govt</v>
      </c>
      <c r="L20" s="208" t="s">
        <v>669</v>
      </c>
      <c r="M20" s="293">
        <v>0</v>
      </c>
      <c r="N20" s="292">
        <v>1</v>
      </c>
      <c r="O20" s="834">
        <v>0.5</v>
      </c>
      <c r="P20" s="834">
        <v>0</v>
      </c>
      <c r="Q20" s="287">
        <f t="shared" si="5"/>
        <v>0.31240000000000001</v>
      </c>
      <c r="R20" s="287">
        <f t="shared" si="5"/>
        <v>2.23E-2</v>
      </c>
      <c r="S20" s="287"/>
      <c r="T20" s="287"/>
      <c r="U20" s="834">
        <v>0</v>
      </c>
      <c r="V20" s="834">
        <v>0</v>
      </c>
      <c r="W20" s="834">
        <v>0</v>
      </c>
      <c r="X20" s="834">
        <v>0</v>
      </c>
      <c r="Y20" s="834">
        <v>0</v>
      </c>
      <c r="Z20" s="287">
        <f t="shared" si="3"/>
        <v>9.2399999999999996E-2</v>
      </c>
      <c r="AA20" s="291"/>
      <c r="AB20" s="209">
        <f t="shared" si="6"/>
        <v>0.08</v>
      </c>
      <c r="AC20" s="8"/>
      <c r="AD20" s="8"/>
      <c r="AE20" s="8"/>
      <c r="AF20" s="1034">
        <f t="shared" si="2"/>
        <v>0</v>
      </c>
      <c r="AG20" s="1024"/>
      <c r="AH20" s="1024"/>
      <c r="AI20" s="1024"/>
      <c r="AJ20" s="287"/>
      <c r="AK20" s="287"/>
      <c r="AL20" s="287"/>
      <c r="AM20" s="287"/>
      <c r="AN20" s="287"/>
      <c r="AO20" s="287"/>
      <c r="AP20" s="287"/>
      <c r="AQ20" s="287"/>
      <c r="AR20" s="287"/>
      <c r="AS20" s="287"/>
      <c r="AT20" s="249"/>
    </row>
    <row r="21" spans="4:53" collapsed="1">
      <c r="E21" s="248"/>
      <c r="F21" s="8"/>
      <c r="G21" s="8"/>
      <c r="H21" s="8"/>
      <c r="I21" s="278"/>
      <c r="J21" s="283" t="str">
        <f t="shared" si="4"/>
        <v>IS</v>
      </c>
      <c r="K21" s="284" t="str">
        <f>InputSheet!$D$44</f>
        <v>Contr/Govt</v>
      </c>
      <c r="L21" s="210" t="s">
        <v>684</v>
      </c>
      <c r="M21" s="285">
        <v>0</v>
      </c>
      <c r="N21" s="286">
        <v>1</v>
      </c>
      <c r="O21" s="833">
        <v>0</v>
      </c>
      <c r="P21" s="833">
        <v>0</v>
      </c>
      <c r="Q21" s="287"/>
      <c r="R21" s="287">
        <f>VLOOKUP($E$8&amp;$J21&amp;InputSheet!$C$44&amp;$K21,Indirects,2,FALSE)</f>
        <v>2.9899999999999999E-2</v>
      </c>
      <c r="S21" s="287"/>
      <c r="T21" s="287"/>
      <c r="U21" s="833">
        <v>0</v>
      </c>
      <c r="V21" s="833">
        <v>0</v>
      </c>
      <c r="W21" s="833">
        <v>0</v>
      </c>
      <c r="X21" s="833">
        <v>0</v>
      </c>
      <c r="Y21" s="833">
        <v>0</v>
      </c>
      <c r="Z21" s="287">
        <f t="shared" si="3"/>
        <v>9.2399999999999996E-2</v>
      </c>
      <c r="AA21" s="288"/>
      <c r="AB21" s="209">
        <f>'Pricing Summary'!C53</f>
        <v>0.08</v>
      </c>
      <c r="AC21" s="8"/>
      <c r="AD21" s="8"/>
      <c r="AE21" s="8"/>
      <c r="AF21" s="1035">
        <f t="shared" si="2"/>
        <v>0</v>
      </c>
      <c r="AG21" s="1023"/>
      <c r="AH21" s="1023"/>
      <c r="AI21" s="1023"/>
      <c r="AJ21" s="287"/>
      <c r="AK21" s="287"/>
      <c r="AL21" s="287"/>
      <c r="AM21" s="287"/>
      <c r="AN21" s="287"/>
      <c r="AO21" s="287"/>
      <c r="AP21" s="287"/>
      <c r="AQ21" s="287"/>
      <c r="AR21" s="287"/>
      <c r="AS21" s="287"/>
      <c r="AT21" s="249"/>
    </row>
    <row r="22" spans="4:53" hidden="1">
      <c r="E22" s="248"/>
      <c r="F22" s="8"/>
      <c r="G22" s="8"/>
      <c r="H22" s="8"/>
      <c r="I22" s="278"/>
      <c r="J22" s="289" t="str">
        <f t="shared" si="4"/>
        <v>IS</v>
      </c>
      <c r="K22" s="290" t="str">
        <f>K21</f>
        <v>Contr/Govt</v>
      </c>
      <c r="L22" s="211" t="s">
        <v>685</v>
      </c>
      <c r="M22" s="807">
        <v>0</v>
      </c>
      <c r="N22" s="294">
        <f>N21</f>
        <v>1</v>
      </c>
      <c r="O22" s="835">
        <v>0</v>
      </c>
      <c r="P22" s="835">
        <v>0</v>
      </c>
      <c r="Q22" s="295"/>
      <c r="R22" s="296">
        <f>VLOOKUP($E$8&amp;$J22&amp;InputSheet!$C$44&amp;$K22,Indirects,2,FALSE)</f>
        <v>2.9899999999999999E-2</v>
      </c>
      <c r="S22" s="296"/>
      <c r="T22" s="296"/>
      <c r="U22" s="835">
        <v>0</v>
      </c>
      <c r="V22" s="835">
        <v>0</v>
      </c>
      <c r="W22" s="835">
        <v>0</v>
      </c>
      <c r="X22" s="835">
        <v>0</v>
      </c>
      <c r="Y22" s="835">
        <v>0</v>
      </c>
      <c r="Z22" s="296">
        <f t="shared" si="3"/>
        <v>9.2399999999999996E-2</v>
      </c>
      <c r="AA22" s="297"/>
      <c r="AB22" s="212">
        <f t="shared" si="6"/>
        <v>0.08</v>
      </c>
      <c r="AC22" s="8"/>
      <c r="AD22" s="8"/>
      <c r="AE22" s="8"/>
      <c r="AF22" s="1035">
        <f t="shared" si="2"/>
        <v>0</v>
      </c>
      <c r="AG22" s="1025"/>
      <c r="AH22" s="1025"/>
      <c r="AI22" s="1025"/>
      <c r="AJ22" s="295"/>
      <c r="AK22" s="296"/>
      <c r="AL22" s="296"/>
      <c r="AM22" s="296"/>
      <c r="AN22" s="296"/>
      <c r="AO22" s="296"/>
      <c r="AP22" s="296"/>
      <c r="AQ22" s="296"/>
      <c r="AR22" s="296"/>
      <c r="AS22" s="296"/>
      <c r="AT22" s="249"/>
    </row>
    <row r="23" spans="4:53" hidden="1">
      <c r="E23" s="248"/>
      <c r="F23" s="8"/>
      <c r="G23" s="8"/>
      <c r="H23" s="8"/>
      <c r="I23" s="278"/>
      <c r="J23" s="289" t="str">
        <f t="shared" si="4"/>
        <v>IS</v>
      </c>
      <c r="K23" s="290" t="str">
        <f>K22</f>
        <v>Contr/Govt</v>
      </c>
      <c r="L23" s="207" t="s">
        <v>616</v>
      </c>
      <c r="M23" s="808">
        <v>0</v>
      </c>
      <c r="N23" s="298">
        <v>1</v>
      </c>
      <c r="O23" s="836">
        <v>0</v>
      </c>
      <c r="P23" s="836">
        <v>0</v>
      </c>
      <c r="Q23" s="299"/>
      <c r="R23" s="299">
        <f>VLOOKUP($E$8&amp;$J23&amp;InputSheet!$C$44&amp;$K23,Indirects,2,FALSE)</f>
        <v>2.9899999999999999E-2</v>
      </c>
      <c r="S23" s="299"/>
      <c r="T23" s="299"/>
      <c r="U23" s="836">
        <v>0</v>
      </c>
      <c r="V23" s="836">
        <v>0</v>
      </c>
      <c r="W23" s="836">
        <v>0</v>
      </c>
      <c r="X23" s="836">
        <v>0</v>
      </c>
      <c r="Y23" s="836">
        <v>0</v>
      </c>
      <c r="Z23" s="299">
        <f t="shared" si="3"/>
        <v>9.2399999999999996E-2</v>
      </c>
      <c r="AA23" s="300"/>
      <c r="AB23" s="213">
        <v>0</v>
      </c>
      <c r="AC23" s="8"/>
      <c r="AD23" s="8"/>
      <c r="AE23" s="8"/>
      <c r="AF23" s="1035">
        <f t="shared" si="2"/>
        <v>0</v>
      </c>
      <c r="AG23" s="1026"/>
      <c r="AH23" s="1026"/>
      <c r="AI23" s="1026"/>
      <c r="AJ23" s="299"/>
      <c r="AK23" s="299"/>
      <c r="AL23" s="299"/>
      <c r="AM23" s="299"/>
      <c r="AN23" s="299"/>
      <c r="AO23" s="299"/>
      <c r="AP23" s="299"/>
      <c r="AQ23" s="299"/>
      <c r="AR23" s="299"/>
      <c r="AS23" s="299"/>
      <c r="AT23" s="249"/>
    </row>
    <row r="24" spans="4:53">
      <c r="E24" s="248"/>
      <c r="F24" s="8"/>
      <c r="G24" s="8"/>
      <c r="H24" s="8"/>
      <c r="I24" s="278"/>
      <c r="J24" s="301" t="str">
        <f t="shared" si="4"/>
        <v>IS</v>
      </c>
      <c r="K24" s="302" t="str">
        <f>K23</f>
        <v>Contr/Govt</v>
      </c>
      <c r="L24" s="237" t="s">
        <v>617</v>
      </c>
      <c r="M24" s="809">
        <v>0</v>
      </c>
      <c r="N24" s="303">
        <v>1</v>
      </c>
      <c r="O24" s="837">
        <v>0</v>
      </c>
      <c r="P24" s="837">
        <v>0</v>
      </c>
      <c r="Q24" s="304"/>
      <c r="R24" s="305">
        <f>IF(OR($J$24="MBI - FT",$J$24="MBI - PT"),R23,0)</f>
        <v>0</v>
      </c>
      <c r="S24" s="305"/>
      <c r="T24" s="305"/>
      <c r="U24" s="837">
        <v>0</v>
      </c>
      <c r="V24" s="837">
        <v>0</v>
      </c>
      <c r="W24" s="837">
        <v>0</v>
      </c>
      <c r="X24" s="837">
        <v>0</v>
      </c>
      <c r="Y24" s="837">
        <v>0</v>
      </c>
      <c r="Z24" s="305">
        <f t="shared" si="3"/>
        <v>9.2399999999999996E-2</v>
      </c>
      <c r="AA24" s="306"/>
      <c r="AB24" s="238">
        <f>'Pricing Summary'!C54</f>
        <v>0.08</v>
      </c>
      <c r="AC24" s="8"/>
      <c r="AD24" s="8"/>
      <c r="AE24" s="8"/>
      <c r="AF24" s="1035">
        <f t="shared" si="2"/>
        <v>0</v>
      </c>
      <c r="AG24" s="1027"/>
      <c r="AH24" s="1027"/>
      <c r="AI24" s="1027"/>
      <c r="AJ24" s="304"/>
      <c r="AK24" s="305"/>
      <c r="AL24" s="305"/>
      <c r="AM24" s="305"/>
      <c r="AN24" s="305"/>
      <c r="AO24" s="305"/>
      <c r="AP24" s="305"/>
      <c r="AQ24" s="305"/>
      <c r="AR24" s="305"/>
      <c r="AS24" s="305"/>
      <c r="AT24" s="249"/>
    </row>
    <row r="25" spans="4:53">
      <c r="E25" s="248"/>
      <c r="F25" s="8"/>
      <c r="G25" s="8"/>
      <c r="H25" s="8"/>
      <c r="I25" s="8"/>
      <c r="J25" s="307"/>
      <c r="K25" s="307"/>
      <c r="L25" s="307"/>
      <c r="M25" s="307"/>
      <c r="N25" s="307"/>
      <c r="O25" s="307"/>
      <c r="P25" s="307"/>
      <c r="Q25" s="307"/>
      <c r="R25" s="307"/>
      <c r="S25" s="307"/>
      <c r="T25" s="307"/>
      <c r="U25" s="307"/>
      <c r="V25" s="307"/>
      <c r="W25" s="307"/>
      <c r="X25" s="307"/>
      <c r="Y25" s="307"/>
      <c r="Z25" s="307"/>
      <c r="AA25" s="307"/>
      <c r="AB25" s="307"/>
      <c r="AC25" s="8"/>
      <c r="AD25" s="8"/>
      <c r="AE25" s="8"/>
      <c r="AF25" s="250" t="s">
        <v>920</v>
      </c>
      <c r="AG25" s="8"/>
      <c r="AH25" s="8"/>
      <c r="AI25" s="8"/>
      <c r="AJ25" s="8"/>
      <c r="AK25" s="8"/>
      <c r="AL25" s="8"/>
      <c r="AM25" s="8"/>
      <c r="AN25" s="8"/>
      <c r="AO25" s="8"/>
      <c r="AP25" s="8"/>
      <c r="AQ25" s="8"/>
      <c r="AR25" s="8"/>
      <c r="AS25" s="8"/>
      <c r="AT25" s="8"/>
      <c r="AZ25" s="308"/>
      <c r="BA25" s="308"/>
    </row>
    <row r="26" spans="4:53" hidden="1" outlineLevel="1">
      <c r="E26" s="248"/>
      <c r="F26" s="8"/>
      <c r="G26" s="8"/>
      <c r="H26" s="8"/>
      <c r="I26" s="8"/>
      <c r="J26" s="8"/>
      <c r="K26" s="8"/>
      <c r="L26" s="8"/>
      <c r="M26" s="309"/>
      <c r="N26" s="310" t="str">
        <f>M$28&amp;"*"&amp;N$5</f>
        <v>A*B%</v>
      </c>
      <c r="O26" s="310"/>
      <c r="P26" s="310"/>
      <c r="Q26" s="310" t="str">
        <f>N$28&amp;"*"&amp;Q$5</f>
        <v>B*C%</v>
      </c>
      <c r="R26" s="310" t="str">
        <f>"("&amp;N28&amp;"+"&amp;Q$28&amp;")"&amp;"*"&amp;R$5</f>
        <v>(B+C)*D%</v>
      </c>
      <c r="S26" s="310"/>
      <c r="T26" s="310"/>
      <c r="U26" s="310"/>
      <c r="V26" s="310"/>
      <c r="W26" s="310"/>
      <c r="X26" s="310"/>
      <c r="Y26" s="310"/>
      <c r="Z26" s="310" t="str">
        <f>"("&amp;N28&amp;"+"&amp;Q28&amp;"+"&amp;R$28&amp;")"&amp;"*"&amp;Z$5</f>
        <v>(B+C+D)*E%</v>
      </c>
      <c r="AA26" s="310" t="s">
        <v>776</v>
      </c>
      <c r="AB26" s="310" t="str">
        <f>"("&amp;N28&amp;"+"&amp;Q28&amp;"+"&amp;R$28&amp;"+"&amp;Z$28&amp;")"&amp;"*"&amp;AB$5</f>
        <v>(B+C+D+E)*G%</v>
      </c>
      <c r="AC26" s="8"/>
      <c r="AD26" s="8"/>
      <c r="AE26" s="8"/>
      <c r="AF26" s="250"/>
    </row>
    <row r="27" spans="4:53" ht="8.25" hidden="1" customHeight="1" outlineLevel="1">
      <c r="E27" s="248"/>
      <c r="F27" s="8"/>
      <c r="G27" s="8"/>
      <c r="H27" s="8"/>
      <c r="I27" s="8"/>
      <c r="J27" s="8"/>
      <c r="K27" s="8"/>
      <c r="L27" s="8"/>
      <c r="M27" s="311"/>
      <c r="N27" s="312"/>
      <c r="O27" s="312"/>
      <c r="P27" s="312"/>
      <c r="Q27" s="312"/>
      <c r="R27" s="312"/>
      <c r="S27" s="312"/>
      <c r="T27" s="312"/>
      <c r="U27" s="312"/>
      <c r="V27" s="312"/>
      <c r="W27" s="312"/>
      <c r="X27" s="312"/>
      <c r="Y27" s="312"/>
      <c r="Z27" s="312"/>
      <c r="AA27" s="312"/>
      <c r="AB27" s="312"/>
      <c r="AC27" s="8"/>
      <c r="AD27" s="8"/>
      <c r="AE27" s="8"/>
      <c r="AF27" s="250"/>
    </row>
    <row r="28" spans="4:53" hidden="1" outlineLevel="1">
      <c r="E28" s="248"/>
      <c r="F28" s="8"/>
      <c r="G28" s="8"/>
      <c r="H28" s="8"/>
      <c r="I28" s="8"/>
      <c r="J28" s="8"/>
      <c r="K28" s="8"/>
      <c r="L28" s="8"/>
      <c r="M28" s="263" t="s">
        <v>601</v>
      </c>
      <c r="N28" s="263" t="s">
        <v>598</v>
      </c>
      <c r="O28" s="263"/>
      <c r="P28" s="263"/>
      <c r="Q28" s="263" t="s">
        <v>599</v>
      </c>
      <c r="R28" s="263" t="s">
        <v>618</v>
      </c>
      <c r="S28" s="263"/>
      <c r="T28" s="263"/>
      <c r="U28" s="263"/>
      <c r="V28" s="263"/>
      <c r="W28" s="263"/>
      <c r="X28" s="263"/>
      <c r="Y28" s="263"/>
      <c r="Z28" s="263" t="s">
        <v>645</v>
      </c>
      <c r="AA28" s="263" t="s">
        <v>774</v>
      </c>
      <c r="AB28" s="263" t="s">
        <v>775</v>
      </c>
      <c r="AC28" s="8"/>
      <c r="AD28" s="8"/>
      <c r="AE28" s="8"/>
      <c r="AF28" s="250"/>
    </row>
    <row r="29" spans="4:53" collapsed="1">
      <c r="E29" s="248"/>
      <c r="F29" s="8"/>
      <c r="G29" s="8"/>
      <c r="H29" s="8"/>
      <c r="I29" s="8"/>
      <c r="J29" s="8"/>
      <c r="K29" s="8"/>
      <c r="L29" s="8"/>
      <c r="M29" s="8"/>
      <c r="N29" s="8"/>
      <c r="O29" s="8"/>
      <c r="P29" s="8"/>
      <c r="Q29" s="8"/>
      <c r="R29" s="8"/>
      <c r="S29" s="8"/>
      <c r="T29" s="8"/>
      <c r="U29" s="8"/>
      <c r="V29" s="8"/>
      <c r="W29" s="8"/>
      <c r="X29" s="8"/>
      <c r="Y29" s="8"/>
      <c r="Z29" s="8"/>
      <c r="AA29" s="313"/>
      <c r="AB29" s="8"/>
      <c r="AC29" s="8"/>
      <c r="AD29" s="8"/>
      <c r="AE29" s="8"/>
      <c r="AF29" s="250">
        <v>8</v>
      </c>
      <c r="AT29" s="314"/>
      <c r="AU29" s="39"/>
      <c r="AV29" s="314"/>
      <c r="AW29" s="39"/>
      <c r="AZ29" s="308" t="s">
        <v>778</v>
      </c>
      <c r="BA29" s="308" t="s">
        <v>777</v>
      </c>
    </row>
    <row r="30" spans="4:53" ht="13.5" thickBot="1">
      <c r="E30" s="315" t="s">
        <v>632</v>
      </c>
      <c r="F30" s="37"/>
      <c r="G30" s="37" t="s">
        <v>633</v>
      </c>
      <c r="H30" s="8"/>
      <c r="I30" s="37" t="s">
        <v>634</v>
      </c>
      <c r="J30" s="47" t="s">
        <v>644</v>
      </c>
      <c r="K30" s="47" t="s">
        <v>644</v>
      </c>
      <c r="L30" s="37" t="str">
        <f>L8</f>
        <v>Burden Code</v>
      </c>
      <c r="M30" s="39" t="s">
        <v>635</v>
      </c>
      <c r="N30" s="39" t="s">
        <v>58</v>
      </c>
      <c r="O30" s="39" t="str">
        <f>O8</f>
        <v>Hazard</v>
      </c>
      <c r="P30" s="39" t="str">
        <f>P8</f>
        <v>Harship</v>
      </c>
      <c r="Q30" s="39" t="str">
        <f t="shared" ref="Q30:AB30" si="7">Q8</f>
        <v>PRB</v>
      </c>
      <c r="R30" s="39" t="str">
        <f t="shared" si="7"/>
        <v>Overhead</v>
      </c>
      <c r="S30" s="39"/>
      <c r="T30" s="39"/>
      <c r="U30" s="39" t="str">
        <f t="shared" si="7"/>
        <v>Finders Fee</v>
      </c>
      <c r="V30" s="39" t="str">
        <f>V8</f>
        <v>Per Diem</v>
      </c>
      <c r="W30" s="39" t="str">
        <f>W8</f>
        <v>War Risk Ins.</v>
      </c>
      <c r="X30" s="39" t="str">
        <f>X8</f>
        <v>DBA Ins.</v>
      </c>
      <c r="Y30" s="39" t="str">
        <f>Y8</f>
        <v>Travel</v>
      </c>
      <c r="Z30" s="39" t="str">
        <f t="shared" si="7"/>
        <v>G&amp;A</v>
      </c>
      <c r="AA30" s="39" t="str">
        <f t="shared" si="7"/>
        <v>Cost</v>
      </c>
      <c r="AB30" s="39" t="str">
        <f t="shared" si="7"/>
        <v>Profit / Fee</v>
      </c>
      <c r="AC30" s="34" t="s">
        <v>994</v>
      </c>
      <c r="AD30" s="39" t="s">
        <v>646</v>
      </c>
      <c r="AE30" s="39" t="s">
        <v>638</v>
      </c>
      <c r="AF30" s="316" t="s">
        <v>907</v>
      </c>
      <c r="AG30" s="314"/>
      <c r="AH30" s="314"/>
      <c r="AI30" s="314"/>
      <c r="AJ30" s="314"/>
      <c r="AK30" s="314"/>
      <c r="AL30" s="314"/>
      <c r="AM30" s="314"/>
      <c r="AN30" s="314"/>
      <c r="AO30" s="314"/>
      <c r="AP30" s="314"/>
      <c r="AQ30" s="314"/>
      <c r="AR30" s="314"/>
      <c r="AS30" s="314"/>
      <c r="AT30" s="314"/>
      <c r="AU30" s="39"/>
      <c r="AV30" s="314"/>
      <c r="AW30" s="39"/>
      <c r="AZ30" s="251">
        <v>1</v>
      </c>
      <c r="BA30" s="251">
        <v>1</v>
      </c>
    </row>
    <row r="31" spans="4:53" s="317" customFormat="1" ht="16.5" thickBot="1">
      <c r="E31" s="240" t="s">
        <v>640</v>
      </c>
      <c r="F31" s="202"/>
      <c r="G31" s="202"/>
      <c r="H31" s="203"/>
      <c r="I31" s="202"/>
      <c r="J31" s="201"/>
      <c r="K31" s="201"/>
      <c r="L31" s="202"/>
      <c r="M31" s="204"/>
      <c r="N31" s="204"/>
      <c r="O31" s="204"/>
      <c r="P31" s="204"/>
      <c r="Q31" s="204"/>
      <c r="R31" s="204"/>
      <c r="S31" s="204"/>
      <c r="T31" s="204"/>
      <c r="U31" s="204"/>
      <c r="V31" s="204"/>
      <c r="W31" s="204"/>
      <c r="X31" s="204"/>
      <c r="Y31" s="204"/>
      <c r="Z31" s="204"/>
      <c r="AA31" s="204"/>
      <c r="AB31" s="204"/>
      <c r="AC31" s="204"/>
      <c r="AD31" s="204"/>
      <c r="AE31" s="204"/>
      <c r="AF31" s="205"/>
      <c r="AG31" s="206"/>
      <c r="AH31" s="206"/>
      <c r="AI31" s="206" t="s">
        <v>742</v>
      </c>
      <c r="AJ31" s="206" t="s">
        <v>741</v>
      </c>
      <c r="AK31" s="206" t="s">
        <v>66</v>
      </c>
      <c r="AL31" s="206"/>
      <c r="AM31" s="206"/>
      <c r="AN31" s="206"/>
      <c r="AO31" s="206"/>
      <c r="AP31" s="206"/>
      <c r="AQ31" s="206"/>
      <c r="AR31" s="206"/>
      <c r="AS31" s="206"/>
      <c r="AT31" s="206"/>
      <c r="AU31" s="206"/>
      <c r="AV31" s="206"/>
      <c r="AW31" s="318"/>
      <c r="AZ31" s="251">
        <v>1</v>
      </c>
      <c r="BA31" s="251">
        <v>1</v>
      </c>
    </row>
    <row r="32" spans="4:53">
      <c r="D32" s="8">
        <v>1</v>
      </c>
      <c r="E32" s="319" t="str">
        <f t="shared" ref="E32:E49" si="8">VLOOKUP($D32,DL,2,FALSE)</f>
        <v xml:space="preserve">LAN/Wan Engineer </v>
      </c>
      <c r="F32" s="8"/>
      <c r="G32" s="363" t="str">
        <f>+InputSheet!E173</f>
        <v>ManTech</v>
      </c>
      <c r="H32" s="8"/>
      <c r="I32" s="320">
        <f t="shared" ref="I32:I49" si="9">VLOOKUP($D32,DL,5,FALSE)</f>
        <v>0</v>
      </c>
      <c r="J32" s="198" t="str">
        <f>G32&amp;D32&amp;I32&amp;L32</f>
        <v>ManTech10Govt</v>
      </c>
      <c r="K32" s="198"/>
      <c r="L32" s="363" t="s">
        <v>623</v>
      </c>
      <c r="M32" s="321">
        <f>IF(G32="ManTech",(VLOOKUP($D32,DL,6,FALSE)),(INDEX('Sub Rates'!$F$9:$IK$48,MATCH(($E32&amp;$L32),'Sub Rates'!$E$9:$E$48,0),MATCH(($E$8&amp;$G32),'Sub Rates'!$F$8:$IK$8,0))))</f>
        <v>29</v>
      </c>
      <c r="N32" s="321">
        <f t="shared" ref="N32:N49" ca="1" si="10">ROUND($M32*(VLOOKUP($L32,$L$9:$AB$24,N$6,FALSE)),2)</f>
        <v>30.55</v>
      </c>
      <c r="O32" s="321">
        <f t="shared" ref="O32:P49" ca="1" si="11">$N32*(VLOOKUP($L32,$L$9:$AB$24,O$6,FALSE))</f>
        <v>0</v>
      </c>
      <c r="P32" s="321">
        <f t="shared" ca="1" si="11"/>
        <v>0</v>
      </c>
      <c r="Q32" s="321">
        <f t="shared" ref="Q32:Q46" ca="1" si="12">($N32+O32+P32)*(VLOOKUP($L32,$L$9:$AB$24,Q$6,FALSE))</f>
        <v>9.5438200000000002</v>
      </c>
      <c r="R32" s="321">
        <f t="shared" ref="R32:R46" ca="1" si="13">($N32+$Q32+O32+P32)*(VLOOKUP($L32,$L$9:$AB$24,R$6,FALSE))</f>
        <v>0.89409218600000007</v>
      </c>
      <c r="S32" s="321">
        <f t="shared" ref="S32:S37" si="14">$S$10/AD32</f>
        <v>0</v>
      </c>
      <c r="T32" s="321">
        <f t="shared" ref="T32:T37" si="15">$T$10/AD32</f>
        <v>0</v>
      </c>
      <c r="U32" s="321">
        <f t="shared" ref="U32:U37" si="16">(M32*AD32)*$U$10</f>
        <v>0</v>
      </c>
      <c r="V32" s="321">
        <f t="shared" ref="V32:V37" si="17">($V$10/$AF$29)</f>
        <v>30.25</v>
      </c>
      <c r="W32" s="321">
        <f>$W$10/AD32</f>
        <v>0</v>
      </c>
      <c r="X32" s="321">
        <f t="shared" ref="X32:X37" ca="1" si="18">N32*$X$10</f>
        <v>0.58045000000000002</v>
      </c>
      <c r="Y32" s="321">
        <f t="shared" ref="Y32:Y37" si="19">$Y$10/AD32</f>
        <v>0</v>
      </c>
      <c r="Z32" s="321">
        <f ca="1">IF($G32="ManTech",(SUM($N32:$Y32)*(VLOOKUP($L32,$L$9:$AB$24,Z$6,FALSE))),(IF(R32=0,((SUM(N32,#REF!))*(VLOOKUP($L32,$L$9:$AB$24,Z$6,FALSE))),(SUM($R32:$R32)*(VLOOKUP($L32,$L$9:$AB$24,Z$6,FALSE))))))</f>
        <v>6.6360166659863999</v>
      </c>
      <c r="AA32" s="321">
        <f ca="1">SUM(N32:Z32)</f>
        <v>78.454378851986405</v>
      </c>
      <c r="AB32" s="321">
        <f t="shared" ref="AB32:AB46" ca="1" si="20">(AA32*(VLOOKUP($L32,$L$9:$AB$24,AB$6,FALSE)))</f>
        <v>6.2763503081589125</v>
      </c>
      <c r="AC32" s="321">
        <f ca="1">ROUND(SUM(AA32:AB32),2)</f>
        <v>84.73</v>
      </c>
      <c r="AD32" s="214">
        <f>8*6</f>
        <v>48</v>
      </c>
      <c r="AE32" s="336">
        <f t="shared" ref="AE32:AE49" ca="1" si="21">$AC32*$AD32</f>
        <v>4067.04</v>
      </c>
      <c r="AF32" s="1036">
        <f ca="1">AC32*$AF$29</f>
        <v>677.84</v>
      </c>
      <c r="AG32" s="323"/>
      <c r="AH32" s="323"/>
      <c r="AI32" s="323">
        <f ca="1">AA32*AD32</f>
        <v>3765.8101848953474</v>
      </c>
      <c r="AJ32" s="323">
        <f ca="1">AC32*AD32</f>
        <v>4067.04</v>
      </c>
      <c r="AK32" s="323">
        <f ca="1">AJ32-AI32</f>
        <v>301.22981510465252</v>
      </c>
      <c r="AL32" s="20">
        <f ca="1">IF(AK32=0,0,ROUND(AK32/AI32,2))</f>
        <v>0.08</v>
      </c>
      <c r="AM32" s="323"/>
      <c r="AN32" s="323"/>
      <c r="AO32" s="323"/>
      <c r="AP32" s="323"/>
      <c r="AQ32" s="323"/>
      <c r="AR32" s="323"/>
      <c r="AS32" s="323"/>
      <c r="AT32" s="323"/>
      <c r="AU32" s="60"/>
      <c r="AV32" s="324"/>
      <c r="AW32" s="325"/>
      <c r="AZ32" s="251" t="str">
        <f ca="1">IF((OR((AC32=""),(AC32&gt;0))),"1","0")</f>
        <v>1</v>
      </c>
      <c r="BA32" s="251" t="str">
        <f ca="1">IF((OR((AE32=""),(AE32&gt;0))),"1","0")</f>
        <v>1</v>
      </c>
    </row>
    <row r="33" spans="4:53">
      <c r="D33" s="8">
        <f>D32+1</f>
        <v>2</v>
      </c>
      <c r="E33" s="319" t="str">
        <f t="shared" si="8"/>
        <v>Functional Services Administrator</v>
      </c>
      <c r="F33" s="8"/>
      <c r="G33" s="363" t="str">
        <f>+InputSheet!E174</f>
        <v>ManTech</v>
      </c>
      <c r="H33" s="8"/>
      <c r="I33" s="320">
        <f t="shared" si="9"/>
        <v>0</v>
      </c>
      <c r="J33" s="198" t="str">
        <f t="shared" ref="J33:J46" si="22">G33&amp;D33&amp;I33&amp;L33</f>
        <v>ManTech20Govt</v>
      </c>
      <c r="K33" s="198"/>
      <c r="L33" s="363" t="s">
        <v>623</v>
      </c>
      <c r="M33" s="321">
        <f>IF(G33="ManTech",(VLOOKUP($D33,DL,6,FALSE)),(INDEX('Sub Rates'!$F$9:$IK$48,MATCH(($E33&amp;$L33),'Sub Rates'!$E$9:$E$48,0),MATCH(($E$8&amp;$G33),'Sub Rates'!$F$8:$IK$8,0))))</f>
        <v>33.81</v>
      </c>
      <c r="N33" s="321">
        <f t="shared" ca="1" si="10"/>
        <v>35.619999999999997</v>
      </c>
      <c r="O33" s="321">
        <f t="shared" ca="1" si="11"/>
        <v>0</v>
      </c>
      <c r="P33" s="321">
        <f t="shared" ca="1" si="11"/>
        <v>0</v>
      </c>
      <c r="Q33" s="321">
        <f t="shared" ca="1" si="12"/>
        <v>11.127687999999999</v>
      </c>
      <c r="R33" s="321">
        <f t="shared" ca="1" si="13"/>
        <v>1.0424734423999999</v>
      </c>
      <c r="S33" s="321">
        <f t="shared" si="14"/>
        <v>0</v>
      </c>
      <c r="T33" s="321">
        <f t="shared" si="15"/>
        <v>0</v>
      </c>
      <c r="U33" s="321">
        <f t="shared" si="16"/>
        <v>0</v>
      </c>
      <c r="V33" s="321">
        <f t="shared" si="17"/>
        <v>30.25</v>
      </c>
      <c r="W33" s="321">
        <f t="shared" ref="W33:W46" si="23">$W$10/AD33</f>
        <v>0</v>
      </c>
      <c r="X33" s="321">
        <f t="shared" ca="1" si="18"/>
        <v>0.67677999999999994</v>
      </c>
      <c r="Y33" s="321">
        <f t="shared" si="19"/>
        <v>0</v>
      </c>
      <c r="Z33" s="321">
        <f ca="1">IF($G33="ManTech",(SUM($N33:$Y33)*(VLOOKUP($L33,$L$9:$AB$24,Z$6,FALSE))),(IF(R33=0,((SUM(N33,#REF!))*(VLOOKUP($L33,$L$9:$AB$24,Z$6,FALSE))),(SUM($R33:$R33)*(VLOOKUP($L33,$L$9:$AB$24,Z$6,FALSE))))))</f>
        <v>7.27344538927776</v>
      </c>
      <c r="AA33" s="321">
        <f t="shared" ref="AA33:AA46" ca="1" si="24">SUM(N33:Z33)</f>
        <v>85.990386831677753</v>
      </c>
      <c r="AB33" s="321">
        <f t="shared" ca="1" si="20"/>
        <v>6.8792309465342205</v>
      </c>
      <c r="AC33" s="321">
        <f t="shared" ref="AC33:AC46" ca="1" si="25">ROUND(SUM(AA33:AB33),2)</f>
        <v>92.87</v>
      </c>
      <c r="AD33" s="214">
        <f t="shared" ref="AD33:AD46" si="26">8*6</f>
        <v>48</v>
      </c>
      <c r="AE33" s="336">
        <f t="shared" ca="1" si="21"/>
        <v>4457.76</v>
      </c>
      <c r="AF33" s="1036">
        <f t="shared" ref="AF33:AF46" ca="1" si="27">AC33*$AF$29</f>
        <v>742.96</v>
      </c>
      <c r="AG33" s="323"/>
      <c r="AH33" s="323"/>
      <c r="AI33" s="323">
        <f t="shared" ref="AI33:AI46" ca="1" si="28">AA33*AD33</f>
        <v>4127.5385679205319</v>
      </c>
      <c r="AJ33" s="323">
        <f t="shared" ref="AJ33:AJ46" ca="1" si="29">AC33*AD33</f>
        <v>4457.76</v>
      </c>
      <c r="AK33" s="323">
        <f t="shared" ref="AK33:AK46" ca="1" si="30">AJ33-AI33</f>
        <v>330.22143207946829</v>
      </c>
      <c r="AL33" s="20">
        <f t="shared" ref="AL33:AL46" ca="1" si="31">IF(AK33=0,0,ROUND(AK33/AI33,2))</f>
        <v>0.08</v>
      </c>
      <c r="AM33" s="323"/>
      <c r="AN33" s="323"/>
      <c r="AO33" s="323"/>
      <c r="AP33" s="323"/>
      <c r="AQ33" s="323"/>
      <c r="AR33" s="323"/>
      <c r="AS33" s="323"/>
      <c r="AT33" s="323"/>
      <c r="AU33" s="60"/>
      <c r="AV33" s="324"/>
      <c r="AW33" s="325"/>
      <c r="AZ33" s="251" t="str">
        <f t="shared" ref="AZ33:AZ91" ca="1" si="32">IF((OR((AC33=""),(AC33&gt;0))),"1","0")</f>
        <v>1</v>
      </c>
      <c r="BA33" s="251" t="str">
        <f t="shared" ref="BA33:BA91" ca="1" si="33">IF((OR((AE33=""),(AE33&gt;0))),"1","0")</f>
        <v>1</v>
      </c>
    </row>
    <row r="34" spans="4:53">
      <c r="D34" s="8">
        <f t="shared" ref="D34:D42" si="34">D33+1</f>
        <v>3</v>
      </c>
      <c r="E34" s="319" t="str">
        <f t="shared" si="8"/>
        <v>Functional Services Administrator</v>
      </c>
      <c r="F34" s="8"/>
      <c r="G34" s="363" t="str">
        <f>+InputSheet!E175</f>
        <v>ManTech</v>
      </c>
      <c r="H34" s="8"/>
      <c r="I34" s="320">
        <f t="shared" si="9"/>
        <v>0</v>
      </c>
      <c r="J34" s="198" t="str">
        <f t="shared" si="22"/>
        <v>ManTech30Govt</v>
      </c>
      <c r="K34" s="198"/>
      <c r="L34" s="363" t="s">
        <v>623</v>
      </c>
      <c r="M34" s="321">
        <f>IF(G34="ManTech",(VLOOKUP($D34,DL,6,FALSE)),(INDEX('Sub Rates'!$F$9:$IK$48,MATCH(($E34&amp;$L34),'Sub Rates'!$E$9:$E$48,0),MATCH(($E$8&amp;$G34),'Sub Rates'!$F$8:$IK$8,0))))</f>
        <v>33.81</v>
      </c>
      <c r="N34" s="321">
        <f t="shared" ca="1" si="10"/>
        <v>35.619999999999997</v>
      </c>
      <c r="O34" s="321">
        <f t="shared" ca="1" si="11"/>
        <v>0</v>
      </c>
      <c r="P34" s="321">
        <f t="shared" ca="1" si="11"/>
        <v>0</v>
      </c>
      <c r="Q34" s="321">
        <f t="shared" ca="1" si="12"/>
        <v>11.127687999999999</v>
      </c>
      <c r="R34" s="321">
        <f t="shared" ca="1" si="13"/>
        <v>1.0424734423999999</v>
      </c>
      <c r="S34" s="321">
        <f t="shared" si="14"/>
        <v>0</v>
      </c>
      <c r="T34" s="321">
        <f t="shared" si="15"/>
        <v>0</v>
      </c>
      <c r="U34" s="321">
        <f t="shared" si="16"/>
        <v>0</v>
      </c>
      <c r="V34" s="321">
        <f t="shared" si="17"/>
        <v>30.25</v>
      </c>
      <c r="W34" s="321">
        <f t="shared" si="23"/>
        <v>0</v>
      </c>
      <c r="X34" s="321">
        <f t="shared" ca="1" si="18"/>
        <v>0.67677999999999994</v>
      </c>
      <c r="Y34" s="321">
        <f t="shared" si="19"/>
        <v>0</v>
      </c>
      <c r="Z34" s="321">
        <f ca="1">IF($G34="ManTech",(SUM($N34:$Y34)*(VLOOKUP($L34,$L$9:$AB$24,Z$6,FALSE))),(IF(R34=0,((SUM(N34,#REF!))*(VLOOKUP($L34,$L$9:$AB$24,Z$6,FALSE))),(SUM($R34:$R34)*(VLOOKUP($L34,$L$9:$AB$24,Z$6,FALSE))))))</f>
        <v>7.27344538927776</v>
      </c>
      <c r="AA34" s="321">
        <f t="shared" ca="1" si="24"/>
        <v>85.990386831677753</v>
      </c>
      <c r="AB34" s="321">
        <f t="shared" ca="1" si="20"/>
        <v>6.8792309465342205</v>
      </c>
      <c r="AC34" s="321">
        <f t="shared" ca="1" si="25"/>
        <v>92.87</v>
      </c>
      <c r="AD34" s="214">
        <f t="shared" si="26"/>
        <v>48</v>
      </c>
      <c r="AE34" s="336">
        <f t="shared" ca="1" si="21"/>
        <v>4457.76</v>
      </c>
      <c r="AF34" s="1036">
        <f t="shared" ca="1" si="27"/>
        <v>742.96</v>
      </c>
      <c r="AG34" s="323"/>
      <c r="AH34" s="323"/>
      <c r="AI34" s="323">
        <f t="shared" ca="1" si="28"/>
        <v>4127.5385679205319</v>
      </c>
      <c r="AJ34" s="323">
        <f t="shared" ca="1" si="29"/>
        <v>4457.76</v>
      </c>
      <c r="AK34" s="323">
        <f t="shared" ca="1" si="30"/>
        <v>330.22143207946829</v>
      </c>
      <c r="AL34" s="20">
        <f t="shared" ca="1" si="31"/>
        <v>0.08</v>
      </c>
      <c r="AM34" s="323"/>
      <c r="AN34" s="323"/>
      <c r="AO34" s="323"/>
      <c r="AP34" s="323"/>
      <c r="AQ34" s="323"/>
      <c r="AR34" s="323"/>
      <c r="AS34" s="323"/>
      <c r="AT34" s="323"/>
      <c r="AU34" s="60"/>
      <c r="AV34" s="324"/>
      <c r="AW34" s="325"/>
      <c r="AZ34" s="251" t="str">
        <f t="shared" ca="1" si="32"/>
        <v>1</v>
      </c>
      <c r="BA34" s="251" t="str">
        <f t="shared" ca="1" si="33"/>
        <v>1</v>
      </c>
    </row>
    <row r="35" spans="4:53">
      <c r="D35" s="8">
        <f t="shared" si="34"/>
        <v>4</v>
      </c>
      <c r="E35" s="319" t="str">
        <f t="shared" si="8"/>
        <v>Functional Services Administrator</v>
      </c>
      <c r="F35" s="8"/>
      <c r="G35" s="363" t="str">
        <f>+InputSheet!E176</f>
        <v>ManTech</v>
      </c>
      <c r="H35" s="8"/>
      <c r="I35" s="320">
        <f t="shared" si="9"/>
        <v>0</v>
      </c>
      <c r="J35" s="198" t="str">
        <f t="shared" si="22"/>
        <v>ManTech40Govt</v>
      </c>
      <c r="K35" s="198"/>
      <c r="L35" s="363" t="s">
        <v>623</v>
      </c>
      <c r="M35" s="321">
        <f>IF(G35="ManTech",(VLOOKUP($D35,DL,6,FALSE)),(INDEX('Sub Rates'!$F$9:$IK$48,MATCH(($E35&amp;$L35),'Sub Rates'!$E$9:$E$48,0),MATCH(($E$8&amp;$G35),'Sub Rates'!$F$8:$IK$8,0))))</f>
        <v>33.81</v>
      </c>
      <c r="N35" s="321">
        <f t="shared" ca="1" si="10"/>
        <v>35.619999999999997</v>
      </c>
      <c r="O35" s="321">
        <f t="shared" ca="1" si="11"/>
        <v>0</v>
      </c>
      <c r="P35" s="321">
        <f t="shared" ca="1" si="11"/>
        <v>0</v>
      </c>
      <c r="Q35" s="321">
        <f t="shared" ca="1" si="12"/>
        <v>11.127687999999999</v>
      </c>
      <c r="R35" s="321">
        <f t="shared" ca="1" si="13"/>
        <v>1.0424734423999999</v>
      </c>
      <c r="S35" s="321">
        <f t="shared" si="14"/>
        <v>0</v>
      </c>
      <c r="T35" s="321">
        <f t="shared" si="15"/>
        <v>0</v>
      </c>
      <c r="U35" s="321">
        <f t="shared" si="16"/>
        <v>0</v>
      </c>
      <c r="V35" s="321">
        <f t="shared" si="17"/>
        <v>30.25</v>
      </c>
      <c r="W35" s="321">
        <f>$W$10/AD35</f>
        <v>0</v>
      </c>
      <c r="X35" s="321">
        <f t="shared" ca="1" si="18"/>
        <v>0.67677999999999994</v>
      </c>
      <c r="Y35" s="321">
        <f t="shared" si="19"/>
        <v>0</v>
      </c>
      <c r="Z35" s="321">
        <f ca="1">IF($G35="ManTech",(SUM($N35:$Y35)*(VLOOKUP($L35,$L$9:$AB$24,Z$6,FALSE))),(IF(R35=0,((SUM(N35,#REF!))*(VLOOKUP($L35,$L$9:$AB$24,Z$6,FALSE))),(SUM($R35:$R35)*(VLOOKUP($L35,$L$9:$AB$24,Z$6,FALSE))))))</f>
        <v>7.27344538927776</v>
      </c>
      <c r="AA35" s="321">
        <f t="shared" ca="1" si="24"/>
        <v>85.990386831677753</v>
      </c>
      <c r="AB35" s="321">
        <f t="shared" ca="1" si="20"/>
        <v>6.8792309465342205</v>
      </c>
      <c r="AC35" s="321">
        <f t="shared" ca="1" si="25"/>
        <v>92.87</v>
      </c>
      <c r="AD35" s="214">
        <f t="shared" si="26"/>
        <v>48</v>
      </c>
      <c r="AE35" s="336">
        <f t="shared" ca="1" si="21"/>
        <v>4457.76</v>
      </c>
      <c r="AF35" s="1036">
        <f ca="1">AC35*$AF$29</f>
        <v>742.96</v>
      </c>
      <c r="AG35" s="323"/>
      <c r="AH35" s="323"/>
      <c r="AI35" s="323">
        <f t="shared" ca="1" si="28"/>
        <v>4127.5385679205319</v>
      </c>
      <c r="AJ35" s="323">
        <f t="shared" ca="1" si="29"/>
        <v>4457.76</v>
      </c>
      <c r="AK35" s="323">
        <f t="shared" ca="1" si="30"/>
        <v>330.22143207946829</v>
      </c>
      <c r="AL35" s="20">
        <f t="shared" ca="1" si="31"/>
        <v>0.08</v>
      </c>
      <c r="AM35" s="323"/>
      <c r="AN35" s="323"/>
      <c r="AO35" s="323"/>
      <c r="AP35" s="323"/>
      <c r="AQ35" s="323"/>
      <c r="AR35" s="323"/>
      <c r="AS35" s="323"/>
      <c r="AT35" s="323"/>
      <c r="AU35" s="60"/>
      <c r="AV35" s="324"/>
      <c r="AW35" s="325"/>
      <c r="AZ35" s="251" t="str">
        <f t="shared" ca="1" si="32"/>
        <v>1</v>
      </c>
      <c r="BA35" s="251" t="str">
        <f t="shared" ca="1" si="33"/>
        <v>1</v>
      </c>
    </row>
    <row r="36" spans="4:53">
      <c r="D36" s="8">
        <f t="shared" si="34"/>
        <v>5</v>
      </c>
      <c r="E36" s="319" t="str">
        <f t="shared" si="8"/>
        <v>Service Desk</v>
      </c>
      <c r="F36" s="8"/>
      <c r="G36" s="363" t="str">
        <f>+InputSheet!E177</f>
        <v>ManTech</v>
      </c>
      <c r="H36" s="8"/>
      <c r="I36" s="320">
        <f t="shared" si="9"/>
        <v>0</v>
      </c>
      <c r="J36" s="198" t="str">
        <f t="shared" si="22"/>
        <v>ManTech50Govt</v>
      </c>
      <c r="K36" s="198"/>
      <c r="L36" s="363" t="s">
        <v>623</v>
      </c>
      <c r="M36" s="321">
        <f>IF(G36="ManTech",(VLOOKUP($D36,DL,6,FALSE)),(INDEX('Sub Rates'!$F$9:$IK$48,MATCH(($E36&amp;$L36),'Sub Rates'!$E$9:$E$48,0),MATCH(($E$8&amp;$G36),'Sub Rates'!$F$8:$IK$8,0))))</f>
        <v>26</v>
      </c>
      <c r="N36" s="321">
        <f t="shared" ca="1" si="10"/>
        <v>27.39</v>
      </c>
      <c r="O36" s="321">
        <f t="shared" ca="1" si="11"/>
        <v>0</v>
      </c>
      <c r="P36" s="321">
        <f t="shared" ca="1" si="11"/>
        <v>0</v>
      </c>
      <c r="Q36" s="321">
        <f t="shared" ca="1" si="12"/>
        <v>8.556636000000001</v>
      </c>
      <c r="R36" s="321">
        <f t="shared" ca="1" si="13"/>
        <v>0.80160998279999995</v>
      </c>
      <c r="S36" s="321">
        <f t="shared" si="14"/>
        <v>0</v>
      </c>
      <c r="T36" s="321">
        <f t="shared" si="15"/>
        <v>0</v>
      </c>
      <c r="U36" s="321">
        <f t="shared" si="16"/>
        <v>0</v>
      </c>
      <c r="V36" s="321">
        <f t="shared" si="17"/>
        <v>30.25</v>
      </c>
      <c r="W36" s="321">
        <f t="shared" si="23"/>
        <v>0</v>
      </c>
      <c r="X36" s="321">
        <f t="shared" ca="1" si="18"/>
        <v>0.52041000000000004</v>
      </c>
      <c r="Y36" s="321">
        <f t="shared" si="19"/>
        <v>0</v>
      </c>
      <c r="Z36" s="321">
        <f ca="1">IF($G36="ManTech",(SUM($N36:$Y36)*(VLOOKUP($L36,$L$9:$AB$24,Z$6,FALSE))),(IF(R36=0,((SUM(N36,#REF!))*(VLOOKUP($L36,$L$9:$AB$24,Z$6,FALSE))),(SUM($R36:$R36)*(VLOOKUP($L36,$L$9:$AB$24,Z$6,FALSE))))))</f>
        <v>6.2387238128107194</v>
      </c>
      <c r="AA36" s="321">
        <f t="shared" ca="1" si="24"/>
        <v>73.757379795610717</v>
      </c>
      <c r="AB36" s="321">
        <f t="shared" ca="1" si="20"/>
        <v>5.9005903836488578</v>
      </c>
      <c r="AC36" s="321">
        <f t="shared" ca="1" si="25"/>
        <v>79.66</v>
      </c>
      <c r="AD36" s="214">
        <f t="shared" si="26"/>
        <v>48</v>
      </c>
      <c r="AE36" s="336">
        <f t="shared" ca="1" si="21"/>
        <v>3823.68</v>
      </c>
      <c r="AF36" s="1036">
        <f t="shared" ca="1" si="27"/>
        <v>637.28</v>
      </c>
      <c r="AG36" s="323"/>
      <c r="AH36" s="323"/>
      <c r="AI36" s="323">
        <f t="shared" ca="1" si="28"/>
        <v>3540.3542301893144</v>
      </c>
      <c r="AJ36" s="323">
        <f t="shared" ca="1" si="29"/>
        <v>3823.68</v>
      </c>
      <c r="AK36" s="323">
        <f t="shared" ca="1" si="30"/>
        <v>283.32576981068541</v>
      </c>
      <c r="AL36" s="20">
        <f t="shared" ca="1" si="31"/>
        <v>0.08</v>
      </c>
      <c r="AM36" s="323"/>
      <c r="AN36" s="323"/>
      <c r="AO36" s="323"/>
      <c r="AP36" s="323"/>
      <c r="AQ36" s="323"/>
      <c r="AR36" s="323"/>
      <c r="AS36" s="323"/>
      <c r="AT36" s="323"/>
      <c r="AU36" s="60"/>
      <c r="AV36" s="324"/>
      <c r="AW36" s="325"/>
      <c r="AZ36" s="251" t="str">
        <f t="shared" ca="1" si="32"/>
        <v>1</v>
      </c>
      <c r="BA36" s="251" t="str">
        <f t="shared" ca="1" si="33"/>
        <v>1</v>
      </c>
    </row>
    <row r="37" spans="4:53">
      <c r="D37" s="8">
        <f t="shared" si="34"/>
        <v>6</v>
      </c>
      <c r="E37" s="319" t="str">
        <f t="shared" si="8"/>
        <v>Service Desk</v>
      </c>
      <c r="F37" s="8"/>
      <c r="G37" s="363" t="str">
        <f>+InputSheet!E178</f>
        <v>ManTech</v>
      </c>
      <c r="H37" s="8"/>
      <c r="I37" s="320">
        <f t="shared" si="9"/>
        <v>0</v>
      </c>
      <c r="J37" s="198" t="str">
        <f t="shared" si="22"/>
        <v>ManTech60Govt</v>
      </c>
      <c r="K37" s="198"/>
      <c r="L37" s="363" t="s">
        <v>623</v>
      </c>
      <c r="M37" s="321">
        <f>IF(G37="ManTech",(VLOOKUP($D37,DL,6,FALSE)),(INDEX('Sub Rates'!$F$9:$IK$48,MATCH(($E37&amp;$L37),'Sub Rates'!$E$9:$E$48,0),MATCH(($E$8&amp;$G37),'Sub Rates'!$F$8:$IK$8,0))))</f>
        <v>26</v>
      </c>
      <c r="N37" s="321">
        <f t="shared" ca="1" si="10"/>
        <v>27.39</v>
      </c>
      <c r="O37" s="321">
        <f t="shared" ca="1" si="11"/>
        <v>0</v>
      </c>
      <c r="P37" s="321">
        <f t="shared" ca="1" si="11"/>
        <v>0</v>
      </c>
      <c r="Q37" s="321">
        <f t="shared" ca="1" si="12"/>
        <v>8.556636000000001</v>
      </c>
      <c r="R37" s="321">
        <f t="shared" ca="1" si="13"/>
        <v>0.80160998279999995</v>
      </c>
      <c r="S37" s="321">
        <f t="shared" si="14"/>
        <v>0</v>
      </c>
      <c r="T37" s="321">
        <f t="shared" si="15"/>
        <v>0</v>
      </c>
      <c r="U37" s="321">
        <f t="shared" si="16"/>
        <v>0</v>
      </c>
      <c r="V37" s="321">
        <f t="shared" si="17"/>
        <v>30.25</v>
      </c>
      <c r="W37" s="321">
        <f t="shared" si="23"/>
        <v>0</v>
      </c>
      <c r="X37" s="321">
        <f t="shared" ca="1" si="18"/>
        <v>0.52041000000000004</v>
      </c>
      <c r="Y37" s="321">
        <f t="shared" si="19"/>
        <v>0</v>
      </c>
      <c r="Z37" s="321">
        <f ca="1">IF($G37="ManTech",(SUM($N37:$Y37)*(VLOOKUP($L37,$L$9:$AB$24,Z$6,FALSE))),(IF(R37=0,((SUM(N37,#REF!))*(VLOOKUP($L37,$L$9:$AB$24,Z$6,FALSE))),(SUM($R37:$R37)*(VLOOKUP($L37,$L$9:$AB$24,Z$6,FALSE))))))</f>
        <v>6.2387238128107194</v>
      </c>
      <c r="AA37" s="321">
        <f t="shared" ca="1" si="24"/>
        <v>73.757379795610717</v>
      </c>
      <c r="AB37" s="321">
        <f t="shared" ca="1" si="20"/>
        <v>5.9005903836488578</v>
      </c>
      <c r="AC37" s="321">
        <f ca="1">ROUND(SUM(AA37:AB37),2)</f>
        <v>79.66</v>
      </c>
      <c r="AD37" s="214">
        <f t="shared" si="26"/>
        <v>48</v>
      </c>
      <c r="AE37" s="336">
        <f t="shared" ca="1" si="21"/>
        <v>3823.68</v>
      </c>
      <c r="AF37" s="1036">
        <f t="shared" ca="1" si="27"/>
        <v>637.28</v>
      </c>
      <c r="AG37" s="323"/>
      <c r="AH37" s="323"/>
      <c r="AI37" s="323">
        <f t="shared" ca="1" si="28"/>
        <v>3540.3542301893144</v>
      </c>
      <c r="AJ37" s="323">
        <f t="shared" ca="1" si="29"/>
        <v>3823.68</v>
      </c>
      <c r="AK37" s="323">
        <f t="shared" ca="1" si="30"/>
        <v>283.32576981068541</v>
      </c>
      <c r="AL37" s="20">
        <f t="shared" ca="1" si="31"/>
        <v>0.08</v>
      </c>
      <c r="AM37" s="323"/>
      <c r="AN37" s="323"/>
      <c r="AO37" s="323"/>
      <c r="AP37" s="323"/>
      <c r="AQ37" s="323"/>
      <c r="AR37" s="323"/>
      <c r="AS37" s="323"/>
      <c r="AT37" s="323"/>
      <c r="AU37" s="60"/>
      <c r="AV37" s="324"/>
      <c r="AW37" s="325"/>
      <c r="AZ37" s="251" t="str">
        <f t="shared" ca="1" si="32"/>
        <v>1</v>
      </c>
      <c r="BA37" s="251" t="str">
        <f t="shared" ca="1" si="33"/>
        <v>1</v>
      </c>
    </row>
    <row r="38" spans="4:53">
      <c r="D38" s="8">
        <f t="shared" si="34"/>
        <v>7</v>
      </c>
      <c r="E38" s="319" t="str">
        <f t="shared" si="8"/>
        <v>CIS Training Supervisor</v>
      </c>
      <c r="F38" s="8"/>
      <c r="G38" s="363" t="str">
        <f>+InputSheet!E179</f>
        <v>Segovia, Inc.</v>
      </c>
      <c r="H38" s="8"/>
      <c r="I38" s="320">
        <f t="shared" si="9"/>
        <v>0</v>
      </c>
      <c r="J38" s="198" t="str">
        <f t="shared" si="22"/>
        <v>Segovia, Inc.70Govt_Sub</v>
      </c>
      <c r="K38" s="198"/>
      <c r="L38" s="363" t="s">
        <v>684</v>
      </c>
      <c r="M38" s="321">
        <f>VLOOKUP($E38,InputSheet!$C$179:$AA$182,25,FALSE)</f>
        <v>921</v>
      </c>
      <c r="N38" s="321">
        <f t="shared" ca="1" si="10"/>
        <v>921</v>
      </c>
      <c r="O38" s="321">
        <f t="shared" ca="1" si="11"/>
        <v>0</v>
      </c>
      <c r="P38" s="321">
        <f t="shared" ca="1" si="11"/>
        <v>0</v>
      </c>
      <c r="Q38" s="321">
        <f t="shared" ca="1" si="12"/>
        <v>0</v>
      </c>
      <c r="R38" s="321">
        <f t="shared" ca="1" si="13"/>
        <v>27.5379</v>
      </c>
      <c r="S38" s="321"/>
      <c r="T38" s="321"/>
      <c r="U38" s="321">
        <v>0</v>
      </c>
      <c r="V38" s="321">
        <v>0</v>
      </c>
      <c r="W38" s="321">
        <v>0</v>
      </c>
      <c r="X38" s="321">
        <v>0</v>
      </c>
      <c r="Y38" s="321">
        <v>0</v>
      </c>
      <c r="Z38" s="321">
        <f ca="1">IF($G38="ManTech",(SUM($N38:$Y38)*(VLOOKUP($L38,$L$9:$AB$24,Z$6,FALSE))),(IF(R38=0,((SUM(N38,#REF!))*(VLOOKUP($L38,$L$9:$AB$24,Z$6,FALSE))),(SUM($R38:$R38)*(VLOOKUP($L38,$L$9:$AB$24,Z$6,FALSE))))))</f>
        <v>2.5445019599999998</v>
      </c>
      <c r="AA38" s="321">
        <f t="shared" ca="1" si="24"/>
        <v>951.08240196000008</v>
      </c>
      <c r="AB38" s="321">
        <f t="shared" ca="1" si="20"/>
        <v>76.086592156800009</v>
      </c>
      <c r="AC38" s="321">
        <f t="shared" ca="1" si="25"/>
        <v>1027.17</v>
      </c>
      <c r="AD38" s="214">
        <v>1</v>
      </c>
      <c r="AE38" s="336">
        <f t="shared" ca="1" si="21"/>
        <v>1027.17</v>
      </c>
      <c r="AF38" s="1036">
        <f ca="1">AE38</f>
        <v>1027.17</v>
      </c>
      <c r="AG38" s="323"/>
      <c r="AH38" s="323"/>
      <c r="AI38" s="323">
        <f t="shared" ca="1" si="28"/>
        <v>951.08240196000008</v>
      </c>
      <c r="AJ38" s="323">
        <f t="shared" ca="1" si="29"/>
        <v>1027.17</v>
      </c>
      <c r="AK38" s="323">
        <f t="shared" ca="1" si="30"/>
        <v>76.087598039999989</v>
      </c>
      <c r="AL38" s="20">
        <f t="shared" ca="1" si="31"/>
        <v>0.08</v>
      </c>
      <c r="AM38" s="323"/>
      <c r="AN38" s="323"/>
      <c r="AO38" s="323"/>
      <c r="AP38" s="323"/>
      <c r="AQ38" s="323"/>
      <c r="AR38" s="323"/>
      <c r="AS38" s="323"/>
      <c r="AT38" s="323"/>
      <c r="AU38" s="60"/>
      <c r="AV38" s="324"/>
      <c r="AW38" s="325"/>
      <c r="AZ38" s="251" t="str">
        <f t="shared" ca="1" si="32"/>
        <v>1</v>
      </c>
      <c r="BA38" s="251" t="str">
        <f t="shared" ca="1" si="33"/>
        <v>1</v>
      </c>
    </row>
    <row r="39" spans="4:53">
      <c r="D39" s="8">
        <f t="shared" si="34"/>
        <v>8</v>
      </c>
      <c r="E39" s="319" t="str">
        <f t="shared" si="8"/>
        <v>CIS Trainer</v>
      </c>
      <c r="F39" s="8"/>
      <c r="G39" s="363" t="str">
        <f>+InputSheet!E180</f>
        <v>Segovia, Inc.</v>
      </c>
      <c r="H39" s="8"/>
      <c r="I39" s="320">
        <f t="shared" si="9"/>
        <v>0</v>
      </c>
      <c r="J39" s="198" t="str">
        <f t="shared" si="22"/>
        <v>Segovia, Inc.80Govt_Sub</v>
      </c>
      <c r="K39" s="198"/>
      <c r="L39" s="363" t="s">
        <v>684</v>
      </c>
      <c r="M39" s="321">
        <f>VLOOKUP($E39,InputSheet!$C$179:$AA$182,25,FALSE)</f>
        <v>785</v>
      </c>
      <c r="N39" s="321">
        <f t="shared" ca="1" si="10"/>
        <v>785</v>
      </c>
      <c r="O39" s="321">
        <f t="shared" ca="1" si="11"/>
        <v>0</v>
      </c>
      <c r="P39" s="321">
        <f t="shared" ca="1" si="11"/>
        <v>0</v>
      </c>
      <c r="Q39" s="321">
        <f t="shared" ca="1" si="12"/>
        <v>0</v>
      </c>
      <c r="R39" s="321">
        <f t="shared" ca="1" si="13"/>
        <v>23.471499999999999</v>
      </c>
      <c r="S39" s="321"/>
      <c r="T39" s="321"/>
      <c r="U39" s="321">
        <v>0</v>
      </c>
      <c r="V39" s="321">
        <v>0</v>
      </c>
      <c r="W39" s="321">
        <v>0</v>
      </c>
      <c r="X39" s="321">
        <v>0</v>
      </c>
      <c r="Y39" s="321">
        <v>0</v>
      </c>
      <c r="Z39" s="321">
        <f ca="1">IF($G39="ManTech",(SUM($N39:$Y39)*(VLOOKUP($L39,$L$9:$AB$24,Z$6,FALSE))),(IF(R39=0,((SUM(N39,#REF!))*(VLOOKUP($L39,$L$9:$AB$24,Z$6,FALSE))),(SUM($R39:$R39)*(VLOOKUP($L39,$L$9:$AB$24,Z$6,FALSE))))))</f>
        <v>2.1687665999999997</v>
      </c>
      <c r="AA39" s="321">
        <f t="shared" ca="1" si="24"/>
        <v>810.64026660000002</v>
      </c>
      <c r="AB39" s="321">
        <f t="shared" ca="1" si="20"/>
        <v>64.851221328000008</v>
      </c>
      <c r="AC39" s="321">
        <f t="shared" ca="1" si="25"/>
        <v>875.49</v>
      </c>
      <c r="AD39" s="214">
        <v>1</v>
      </c>
      <c r="AE39" s="336">
        <f t="shared" ca="1" si="21"/>
        <v>875.49</v>
      </c>
      <c r="AF39" s="1036">
        <f ca="1">AE39</f>
        <v>875.49</v>
      </c>
      <c r="AG39" s="323"/>
      <c r="AH39" s="323"/>
      <c r="AI39" s="323">
        <f t="shared" ca="1" si="28"/>
        <v>810.64026660000002</v>
      </c>
      <c r="AJ39" s="323">
        <f t="shared" ca="1" si="29"/>
        <v>875.49</v>
      </c>
      <c r="AK39" s="323">
        <f t="shared" ca="1" si="30"/>
        <v>64.849733399999991</v>
      </c>
      <c r="AL39" s="20">
        <f t="shared" ca="1" si="31"/>
        <v>0.08</v>
      </c>
      <c r="AM39" s="323"/>
      <c r="AN39" s="323"/>
      <c r="AO39" s="323"/>
      <c r="AP39" s="323"/>
      <c r="AQ39" s="323"/>
      <c r="AR39" s="323"/>
      <c r="AS39" s="323"/>
      <c r="AT39" s="323"/>
      <c r="AU39" s="60"/>
      <c r="AV39" s="324"/>
      <c r="AW39" s="325"/>
      <c r="AZ39" s="251" t="str">
        <f t="shared" ca="1" si="32"/>
        <v>1</v>
      </c>
      <c r="BA39" s="251" t="str">
        <f t="shared" ca="1" si="33"/>
        <v>1</v>
      </c>
    </row>
    <row r="40" spans="4:53">
      <c r="D40" s="8">
        <f t="shared" si="34"/>
        <v>9</v>
      </c>
      <c r="E40" s="319" t="str">
        <f t="shared" si="8"/>
        <v>Radio Technician</v>
      </c>
      <c r="F40" s="8"/>
      <c r="G40" s="363" t="str">
        <f>+InputSheet!E181</f>
        <v>Segovia, Inc.</v>
      </c>
      <c r="H40" s="8"/>
      <c r="I40" s="320">
        <f t="shared" si="9"/>
        <v>0</v>
      </c>
      <c r="J40" s="198" t="str">
        <f t="shared" si="22"/>
        <v>Segovia, Inc.90Govt_Sub</v>
      </c>
      <c r="K40" s="198"/>
      <c r="L40" s="363" t="s">
        <v>684</v>
      </c>
      <c r="M40" s="321">
        <f>VLOOKUP($E40,InputSheet!$C$179:$AA$182,25,FALSE)</f>
        <v>689</v>
      </c>
      <c r="N40" s="321">
        <f t="shared" ca="1" si="10"/>
        <v>689</v>
      </c>
      <c r="O40" s="321">
        <f t="shared" ca="1" si="11"/>
        <v>0</v>
      </c>
      <c r="P40" s="321">
        <f t="shared" ca="1" si="11"/>
        <v>0</v>
      </c>
      <c r="Q40" s="321">
        <f t="shared" ca="1" si="12"/>
        <v>0</v>
      </c>
      <c r="R40" s="321">
        <f t="shared" ca="1" si="13"/>
        <v>20.601099999999999</v>
      </c>
      <c r="S40" s="321"/>
      <c r="T40" s="321"/>
      <c r="U40" s="321">
        <v>0</v>
      </c>
      <c r="V40" s="321">
        <v>0</v>
      </c>
      <c r="W40" s="321">
        <v>0</v>
      </c>
      <c r="X40" s="321">
        <v>0</v>
      </c>
      <c r="Y40" s="321">
        <v>0</v>
      </c>
      <c r="Z40" s="321">
        <f ca="1">IF($G40="ManTech",(SUM($N40:$Y40)*(VLOOKUP($L40,$L$9:$AB$24,Z$6,FALSE))),(IF(R40=0,((SUM(N40,#REF!))*(VLOOKUP($L40,$L$9:$AB$24,Z$6,FALSE))),(SUM($R40:$R40)*(VLOOKUP($L40,$L$9:$AB$24,Z$6,FALSE))))))</f>
        <v>1.9035416399999998</v>
      </c>
      <c r="AA40" s="321">
        <f t="shared" ca="1" si="24"/>
        <v>711.50464163999993</v>
      </c>
      <c r="AB40" s="321">
        <f t="shared" ca="1" si="20"/>
        <v>56.920371331199995</v>
      </c>
      <c r="AC40" s="321">
        <f t="shared" ca="1" si="25"/>
        <v>768.43</v>
      </c>
      <c r="AD40" s="214">
        <v>1</v>
      </c>
      <c r="AE40" s="336">
        <f t="shared" ca="1" si="21"/>
        <v>768.43</v>
      </c>
      <c r="AF40" s="1036">
        <f ca="1">AE40</f>
        <v>768.43</v>
      </c>
      <c r="AG40" s="323"/>
      <c r="AH40" s="323"/>
      <c r="AI40" s="323">
        <f t="shared" ca="1" si="28"/>
        <v>711.50464163999993</v>
      </c>
      <c r="AJ40" s="323">
        <f t="shared" ca="1" si="29"/>
        <v>768.43</v>
      </c>
      <c r="AK40" s="323">
        <f t="shared" ca="1" si="30"/>
        <v>56.925358360000018</v>
      </c>
      <c r="AL40" s="20">
        <f t="shared" ca="1" si="31"/>
        <v>0.08</v>
      </c>
      <c r="AM40" s="323"/>
      <c r="AN40" s="323"/>
      <c r="AO40" s="323"/>
      <c r="AP40" s="323"/>
      <c r="AQ40" s="323"/>
      <c r="AR40" s="323"/>
      <c r="AS40" s="323"/>
      <c r="AT40" s="323"/>
      <c r="AU40" s="60"/>
      <c r="AV40" s="324"/>
      <c r="AW40" s="325"/>
      <c r="AZ40" s="251" t="str">
        <f t="shared" ca="1" si="32"/>
        <v>1</v>
      </c>
      <c r="BA40" s="251" t="str">
        <f t="shared" ca="1" si="33"/>
        <v>1</v>
      </c>
    </row>
    <row r="41" spans="4:53">
      <c r="D41" s="8">
        <f t="shared" si="34"/>
        <v>10</v>
      </c>
      <c r="E41" s="319" t="str">
        <f t="shared" si="8"/>
        <v>Radio Technician</v>
      </c>
      <c r="F41" s="8"/>
      <c r="G41" s="363" t="str">
        <f>+InputSheet!E182</f>
        <v>Segovia, Inc.</v>
      </c>
      <c r="H41" s="8"/>
      <c r="I41" s="320">
        <f t="shared" si="9"/>
        <v>0</v>
      </c>
      <c r="J41" s="198" t="str">
        <f t="shared" si="22"/>
        <v>Segovia, Inc.100Govt_Sub</v>
      </c>
      <c r="K41" s="198"/>
      <c r="L41" s="363" t="s">
        <v>684</v>
      </c>
      <c r="M41" s="321">
        <f>VLOOKUP($E41,InputSheet!$C$179:$AA$182,25,FALSE)</f>
        <v>689</v>
      </c>
      <c r="N41" s="321">
        <f t="shared" ca="1" si="10"/>
        <v>689</v>
      </c>
      <c r="O41" s="321">
        <f t="shared" ca="1" si="11"/>
        <v>0</v>
      </c>
      <c r="P41" s="321">
        <f t="shared" ca="1" si="11"/>
        <v>0</v>
      </c>
      <c r="Q41" s="321">
        <f t="shared" ca="1" si="12"/>
        <v>0</v>
      </c>
      <c r="R41" s="321">
        <f t="shared" ca="1" si="13"/>
        <v>20.601099999999999</v>
      </c>
      <c r="S41" s="321"/>
      <c r="T41" s="321"/>
      <c r="U41" s="321">
        <v>0</v>
      </c>
      <c r="V41" s="321">
        <v>0</v>
      </c>
      <c r="W41" s="321">
        <v>0</v>
      </c>
      <c r="X41" s="321">
        <v>0</v>
      </c>
      <c r="Y41" s="321">
        <v>0</v>
      </c>
      <c r="Z41" s="321">
        <f ca="1">IF($G41="ManTech",(SUM($N41:$Y41)*(VLOOKUP($L41,$L$9:$AB$24,Z$6,FALSE))),(IF(R41=0,((SUM(N41,#REF!))*(VLOOKUP($L41,$L$9:$AB$24,Z$6,FALSE))),(SUM($R41:$R41)*(VLOOKUP($L41,$L$9:$AB$24,Z$6,FALSE))))))</f>
        <v>1.9035416399999998</v>
      </c>
      <c r="AA41" s="321">
        <f t="shared" ca="1" si="24"/>
        <v>711.50464163999993</v>
      </c>
      <c r="AB41" s="321">
        <f t="shared" ca="1" si="20"/>
        <v>56.920371331199995</v>
      </c>
      <c r="AC41" s="321">
        <f t="shared" ca="1" si="25"/>
        <v>768.43</v>
      </c>
      <c r="AD41" s="214">
        <v>1</v>
      </c>
      <c r="AE41" s="336">
        <f t="shared" ca="1" si="21"/>
        <v>768.43</v>
      </c>
      <c r="AF41" s="1036">
        <f ca="1">AE41</f>
        <v>768.43</v>
      </c>
      <c r="AG41" s="323"/>
      <c r="AH41" s="323"/>
      <c r="AI41" s="323">
        <f t="shared" ca="1" si="28"/>
        <v>711.50464163999993</v>
      </c>
      <c r="AJ41" s="323">
        <f t="shared" ca="1" si="29"/>
        <v>768.43</v>
      </c>
      <c r="AK41" s="323">
        <f t="shared" ca="1" si="30"/>
        <v>56.925358360000018</v>
      </c>
      <c r="AL41" s="20">
        <f t="shared" ca="1" si="31"/>
        <v>0.08</v>
      </c>
      <c r="AM41" s="323"/>
      <c r="AN41" s="323"/>
      <c r="AO41" s="323"/>
      <c r="AP41" s="323"/>
      <c r="AQ41" s="323"/>
      <c r="AR41" s="323"/>
      <c r="AS41" s="323"/>
      <c r="AT41" s="323"/>
      <c r="AU41" s="60"/>
      <c r="AV41" s="324"/>
      <c r="AW41" s="325"/>
      <c r="AZ41" s="251" t="str">
        <f t="shared" ca="1" si="32"/>
        <v>1</v>
      </c>
      <c r="BA41" s="251" t="str">
        <f t="shared" ca="1" si="33"/>
        <v>1</v>
      </c>
    </row>
    <row r="42" spans="4:53">
      <c r="D42" s="8">
        <f t="shared" si="34"/>
        <v>11</v>
      </c>
      <c r="E42" s="319" t="str">
        <f t="shared" si="8"/>
        <v>Network Administrator</v>
      </c>
      <c r="F42" s="8"/>
      <c r="G42" s="363" t="str">
        <f>+InputSheet!E183</f>
        <v>ManTech</v>
      </c>
      <c r="H42" s="8"/>
      <c r="I42" s="320">
        <f t="shared" si="9"/>
        <v>0</v>
      </c>
      <c r="J42" s="198" t="str">
        <f t="shared" si="22"/>
        <v>ManTech110Govt</v>
      </c>
      <c r="K42" s="198"/>
      <c r="L42" s="363" t="s">
        <v>623</v>
      </c>
      <c r="M42" s="321">
        <f>IF(G42="ManTech",(VLOOKUP($D42,DL,6,FALSE)),(INDEX('Sub Rates'!$F$9:$IK$48,MATCH(($E42&amp;$L42),'Sub Rates'!$E$9:$E$48,0),MATCH(($E$8&amp;$G42),'Sub Rates'!$F$8:$IK$8,0))))</f>
        <v>27.5</v>
      </c>
      <c r="N42" s="321">
        <f t="shared" ca="1" si="10"/>
        <v>28.97</v>
      </c>
      <c r="O42" s="321">
        <f t="shared" ca="1" si="11"/>
        <v>0</v>
      </c>
      <c r="P42" s="321">
        <f t="shared" ca="1" si="11"/>
        <v>0</v>
      </c>
      <c r="Q42" s="321">
        <f t="shared" ca="1" si="12"/>
        <v>9.0502280000000006</v>
      </c>
      <c r="R42" s="321">
        <f t="shared" ca="1" si="13"/>
        <v>0.84785108440000012</v>
      </c>
      <c r="S42" s="321">
        <f>$S$10/AD42</f>
        <v>0</v>
      </c>
      <c r="T42" s="321">
        <f>$T$10/AD42</f>
        <v>0</v>
      </c>
      <c r="U42" s="321">
        <f>(M42*AD42)*$U$10</f>
        <v>0</v>
      </c>
      <c r="V42" s="321">
        <f>($V$10/$AF$29)</f>
        <v>30.25</v>
      </c>
      <c r="W42" s="321">
        <f t="shared" si="23"/>
        <v>0</v>
      </c>
      <c r="X42" s="321">
        <f ca="1">N42*$X$10</f>
        <v>0.55042999999999997</v>
      </c>
      <c r="Y42" s="321">
        <f>$Y$10/AD42</f>
        <v>0</v>
      </c>
      <c r="Z42" s="321">
        <f ca="1">IF($G42="ManTech",(SUM($N42:$Y42)*(VLOOKUP($L42,$L$9:$AB$24,Z$6,FALSE))),(IF(R42=0,((SUM(N42,#REF!))*(VLOOKUP($L42,$L$9:$AB$24,Z$6,FALSE))),(SUM($R42:$R42)*(VLOOKUP($L42,$L$9:$AB$24,Z$6,FALSE))))))</f>
        <v>6.4373702393985601</v>
      </c>
      <c r="AA42" s="321">
        <f t="shared" ca="1" si="24"/>
        <v>76.105879323798561</v>
      </c>
      <c r="AB42" s="321">
        <f t="shared" ca="1" si="20"/>
        <v>6.0884703459038851</v>
      </c>
      <c r="AC42" s="321">
        <f t="shared" ca="1" si="25"/>
        <v>82.19</v>
      </c>
      <c r="AD42" s="214">
        <f t="shared" si="26"/>
        <v>48</v>
      </c>
      <c r="AE42" s="336">
        <f t="shared" ca="1" si="21"/>
        <v>3945.12</v>
      </c>
      <c r="AF42" s="1036">
        <f t="shared" ca="1" si="27"/>
        <v>657.52</v>
      </c>
      <c r="AG42" s="323"/>
      <c r="AH42" s="323"/>
      <c r="AI42" s="323">
        <f t="shared" ca="1" si="28"/>
        <v>3653.0822075423312</v>
      </c>
      <c r="AJ42" s="323">
        <f t="shared" ca="1" si="29"/>
        <v>3945.12</v>
      </c>
      <c r="AK42" s="323">
        <f t="shared" ca="1" si="30"/>
        <v>292.03779245766873</v>
      </c>
      <c r="AL42" s="20">
        <f t="shared" ca="1" si="31"/>
        <v>0.08</v>
      </c>
      <c r="AM42" s="323"/>
      <c r="AN42" s="323"/>
      <c r="AO42" s="323"/>
      <c r="AP42" s="323"/>
      <c r="AQ42" s="323"/>
      <c r="AR42" s="323"/>
      <c r="AS42" s="323"/>
      <c r="AT42" s="323"/>
      <c r="AU42" s="60"/>
      <c r="AV42" s="324"/>
      <c r="AW42" s="325"/>
      <c r="AZ42" s="251" t="str">
        <f t="shared" ca="1" si="32"/>
        <v>1</v>
      </c>
      <c r="BA42" s="251" t="str">
        <f t="shared" ca="1" si="33"/>
        <v>1</v>
      </c>
    </row>
    <row r="43" spans="4:53">
      <c r="D43" s="8">
        <f>D42+1</f>
        <v>12</v>
      </c>
      <c r="E43" s="319" t="str">
        <f t="shared" si="8"/>
        <v>System Administrator</v>
      </c>
      <c r="F43" s="8"/>
      <c r="G43" s="363" t="str">
        <f>+InputSheet!E184</f>
        <v>ManTech</v>
      </c>
      <c r="H43" s="8"/>
      <c r="I43" s="320">
        <f t="shared" si="9"/>
        <v>0</v>
      </c>
      <c r="J43" s="198" t="str">
        <f t="shared" si="22"/>
        <v>ManTech120Govt</v>
      </c>
      <c r="K43" s="198"/>
      <c r="L43" s="363" t="s">
        <v>623</v>
      </c>
      <c r="M43" s="321">
        <f>IF(G43="ManTech",(VLOOKUP($D43,DL,6,FALSE)),(INDEX('Sub Rates'!$F$9:$IK$48,MATCH(($E43&amp;$L43),'Sub Rates'!$E$9:$E$48,0),MATCH(($E$8&amp;$G43),'Sub Rates'!$F$8:$IK$8,0))))</f>
        <v>28</v>
      </c>
      <c r="N43" s="321">
        <f t="shared" ca="1" si="10"/>
        <v>29.5</v>
      </c>
      <c r="O43" s="321">
        <f t="shared" ca="1" si="11"/>
        <v>0</v>
      </c>
      <c r="P43" s="321">
        <f t="shared" ca="1" si="11"/>
        <v>0</v>
      </c>
      <c r="Q43" s="321">
        <f t="shared" ca="1" si="12"/>
        <v>9.2157999999999998</v>
      </c>
      <c r="R43" s="321">
        <f t="shared" ca="1" si="13"/>
        <v>0.86336234000000001</v>
      </c>
      <c r="S43" s="321">
        <f>$S$10/AD43</f>
        <v>0</v>
      </c>
      <c r="T43" s="321">
        <f>$T$10/AD43</f>
        <v>0</v>
      </c>
      <c r="U43" s="321">
        <f>(M43*AD43)*$U$10</f>
        <v>0</v>
      </c>
      <c r="V43" s="321">
        <f>($V$10/$AF$29)</f>
        <v>30.25</v>
      </c>
      <c r="W43" s="321">
        <f t="shared" si="23"/>
        <v>0</v>
      </c>
      <c r="X43" s="321">
        <f ca="1">N43*$X$10</f>
        <v>0.5605</v>
      </c>
      <c r="Y43" s="321">
        <f>$Y$10/AD43</f>
        <v>0</v>
      </c>
      <c r="Z43" s="321">
        <f ca="1">IF($G43="ManTech",(SUM($N43:$Y43)*(VLOOKUP($L43,$L$9:$AB$24,Z$6,FALSE))),(IF(R43=0,((SUM(N43,#REF!))*(VLOOKUP($L43,$L$9:$AB$24,Z$6,FALSE))),(SUM($R43:$R43)*(VLOOKUP($L43,$L$9:$AB$24,Z$6,FALSE))))))</f>
        <v>6.5040048002160011</v>
      </c>
      <c r="AA43" s="321">
        <f t="shared" ca="1" si="24"/>
        <v>76.89366714021601</v>
      </c>
      <c r="AB43" s="321">
        <f t="shared" ca="1" si="20"/>
        <v>6.1514933712172812</v>
      </c>
      <c r="AC43" s="321">
        <f t="shared" ca="1" si="25"/>
        <v>83.05</v>
      </c>
      <c r="AD43" s="214">
        <f t="shared" si="26"/>
        <v>48</v>
      </c>
      <c r="AE43" s="336">
        <f t="shared" ca="1" si="21"/>
        <v>3986.3999999999996</v>
      </c>
      <c r="AF43" s="1036">
        <f t="shared" ca="1" si="27"/>
        <v>664.4</v>
      </c>
      <c r="AG43" s="323"/>
      <c r="AH43" s="323"/>
      <c r="AI43" s="323">
        <f t="shared" ca="1" si="28"/>
        <v>3690.8960227303687</v>
      </c>
      <c r="AJ43" s="323">
        <f t="shared" ca="1" si="29"/>
        <v>3986.3999999999996</v>
      </c>
      <c r="AK43" s="323">
        <f t="shared" ca="1" si="30"/>
        <v>295.50397726963092</v>
      </c>
      <c r="AL43" s="20">
        <f t="shared" ca="1" si="31"/>
        <v>0.08</v>
      </c>
      <c r="AM43" s="323"/>
      <c r="AN43" s="323"/>
      <c r="AO43" s="323"/>
      <c r="AP43" s="323"/>
      <c r="AQ43" s="323"/>
      <c r="AR43" s="323"/>
      <c r="AS43" s="323"/>
      <c r="AT43" s="323"/>
      <c r="AU43" s="60"/>
      <c r="AV43" s="324"/>
      <c r="AW43" s="325"/>
      <c r="AZ43" s="251" t="str">
        <f t="shared" ca="1" si="32"/>
        <v>1</v>
      </c>
      <c r="BA43" s="251" t="str">
        <f t="shared" ca="1" si="33"/>
        <v>1</v>
      </c>
    </row>
    <row r="44" spans="4:53">
      <c r="D44" s="8">
        <f>D43+1</f>
        <v>13</v>
      </c>
      <c r="E44" s="319" t="str">
        <f t="shared" si="8"/>
        <v>Configuration Manager</v>
      </c>
      <c r="F44" s="8"/>
      <c r="G44" s="363" t="str">
        <f>+InputSheet!E185</f>
        <v>ManTech</v>
      </c>
      <c r="H44" s="8"/>
      <c r="I44" s="320">
        <f t="shared" si="9"/>
        <v>0</v>
      </c>
      <c r="J44" s="198" t="str">
        <f t="shared" si="22"/>
        <v>ManTech130Govt</v>
      </c>
      <c r="K44" s="198"/>
      <c r="L44" s="363" t="s">
        <v>623</v>
      </c>
      <c r="M44" s="321">
        <f>IF(G44="ManTech",(VLOOKUP($D44,DL,6,FALSE)),(INDEX('Sub Rates'!$F$9:$IK$48,MATCH(($E44&amp;$L44),'Sub Rates'!$E$9:$E$48,0),MATCH(($E$8&amp;$G44),'Sub Rates'!$F$8:$IK$8,0))))</f>
        <v>26</v>
      </c>
      <c r="N44" s="321">
        <f t="shared" ca="1" si="10"/>
        <v>27.39</v>
      </c>
      <c r="O44" s="321">
        <f t="shared" ca="1" si="11"/>
        <v>0</v>
      </c>
      <c r="P44" s="321">
        <f t="shared" ca="1" si="11"/>
        <v>0</v>
      </c>
      <c r="Q44" s="321">
        <f t="shared" ca="1" si="12"/>
        <v>8.556636000000001</v>
      </c>
      <c r="R44" s="321">
        <f t="shared" ca="1" si="13"/>
        <v>0.80160998279999995</v>
      </c>
      <c r="S44" s="321">
        <f>$S$10/AD44</f>
        <v>0</v>
      </c>
      <c r="T44" s="321">
        <f>$T$10/AD44</f>
        <v>0</v>
      </c>
      <c r="U44" s="321">
        <f>(M44*AD44)*$U$10</f>
        <v>0</v>
      </c>
      <c r="V44" s="321">
        <f>($V$10/$AF$29)</f>
        <v>30.25</v>
      </c>
      <c r="W44" s="321">
        <f t="shared" si="23"/>
        <v>0</v>
      </c>
      <c r="X44" s="321">
        <f ca="1">N44*$X$10</f>
        <v>0.52041000000000004</v>
      </c>
      <c r="Y44" s="321">
        <f>$Y$10/AD44</f>
        <v>0</v>
      </c>
      <c r="Z44" s="321">
        <f ca="1">IF($G44="ManTech",(SUM($N44:$Y44)*(VLOOKUP($L44,$L$9:$AB$24,Z$6,FALSE))),(IF(R44=0,((SUM(N44,#REF!))*(VLOOKUP($L44,$L$9:$AB$24,Z$6,FALSE))),(SUM($R44:$R44)*(VLOOKUP($L44,$L$9:$AB$24,Z$6,FALSE))))))</f>
        <v>6.2387238128107194</v>
      </c>
      <c r="AA44" s="321">
        <f t="shared" ca="1" si="24"/>
        <v>73.757379795610717</v>
      </c>
      <c r="AB44" s="321">
        <f t="shared" ca="1" si="20"/>
        <v>5.9005903836488578</v>
      </c>
      <c r="AC44" s="321">
        <f t="shared" ca="1" si="25"/>
        <v>79.66</v>
      </c>
      <c r="AD44" s="214">
        <f t="shared" si="26"/>
        <v>48</v>
      </c>
      <c r="AE44" s="336">
        <f t="shared" ca="1" si="21"/>
        <v>3823.68</v>
      </c>
      <c r="AF44" s="1036">
        <f t="shared" ca="1" si="27"/>
        <v>637.28</v>
      </c>
      <c r="AG44" s="323"/>
      <c r="AH44" s="323"/>
      <c r="AI44" s="323">
        <f t="shared" ca="1" si="28"/>
        <v>3540.3542301893144</v>
      </c>
      <c r="AJ44" s="323">
        <f t="shared" ca="1" si="29"/>
        <v>3823.68</v>
      </c>
      <c r="AK44" s="323">
        <f t="shared" ca="1" si="30"/>
        <v>283.32576981068541</v>
      </c>
      <c r="AL44" s="20">
        <f t="shared" ca="1" si="31"/>
        <v>0.08</v>
      </c>
      <c r="AM44" s="323"/>
      <c r="AN44" s="323"/>
      <c r="AO44" s="323"/>
      <c r="AP44" s="323"/>
      <c r="AQ44" s="323"/>
      <c r="AR44" s="323"/>
      <c r="AS44" s="323"/>
      <c r="AT44" s="323"/>
      <c r="AU44" s="60"/>
      <c r="AV44" s="324"/>
      <c r="AW44" s="325"/>
      <c r="AZ44" s="251" t="str">
        <f t="shared" ca="1" si="32"/>
        <v>1</v>
      </c>
      <c r="BA44" s="251" t="str">
        <f t="shared" ca="1" si="33"/>
        <v>1</v>
      </c>
    </row>
    <row r="45" spans="4:53">
      <c r="D45" s="8">
        <f>D44+1</f>
        <v>14</v>
      </c>
      <c r="E45" s="319" t="str">
        <f t="shared" si="8"/>
        <v>Hardware Technician</v>
      </c>
      <c r="F45" s="8"/>
      <c r="G45" s="363" t="str">
        <f>+InputSheet!E186</f>
        <v>ManTech</v>
      </c>
      <c r="H45" s="8"/>
      <c r="I45" s="320">
        <f t="shared" si="9"/>
        <v>0</v>
      </c>
      <c r="J45" s="198" t="str">
        <f t="shared" si="22"/>
        <v>ManTech140Govt</v>
      </c>
      <c r="K45" s="198"/>
      <c r="L45" s="363" t="s">
        <v>623</v>
      </c>
      <c r="M45" s="321">
        <f>IF(G45="ManTech",(VLOOKUP($D45,DL,6,FALSE)),(INDEX('Sub Rates'!$F$9:$IK$48,MATCH(($E45&amp;$L45),'Sub Rates'!$E$9:$E$48,0),MATCH(($E$8&amp;$G45),'Sub Rates'!$F$8:$IK$8,0))))</f>
        <v>26</v>
      </c>
      <c r="N45" s="321">
        <f t="shared" ca="1" si="10"/>
        <v>27.39</v>
      </c>
      <c r="O45" s="321">
        <f t="shared" ca="1" si="11"/>
        <v>0</v>
      </c>
      <c r="P45" s="321">
        <f t="shared" ca="1" si="11"/>
        <v>0</v>
      </c>
      <c r="Q45" s="321">
        <f t="shared" ca="1" si="12"/>
        <v>8.556636000000001</v>
      </c>
      <c r="R45" s="321">
        <f t="shared" ca="1" si="13"/>
        <v>0.80160998279999995</v>
      </c>
      <c r="S45" s="321">
        <f>$S$10/AD45</f>
        <v>0</v>
      </c>
      <c r="T45" s="321">
        <f>$T$10/AD45</f>
        <v>0</v>
      </c>
      <c r="U45" s="321">
        <f>(M45*AD45)*$U$10</f>
        <v>0</v>
      </c>
      <c r="V45" s="321">
        <f>($V$10/$AF$29)</f>
        <v>30.25</v>
      </c>
      <c r="W45" s="321">
        <f t="shared" si="23"/>
        <v>0</v>
      </c>
      <c r="X45" s="321">
        <f ca="1">N45*$X$10</f>
        <v>0.52041000000000004</v>
      </c>
      <c r="Y45" s="321">
        <f>$Y$10/AD45</f>
        <v>0</v>
      </c>
      <c r="Z45" s="321">
        <f ca="1">IF($G45="ManTech",(SUM($N45:$Y45)*(VLOOKUP($L45,$L$9:$AB$24,Z$6,FALSE))),(IF(R45=0,((SUM(N45,#REF!))*(VLOOKUP($L45,$L$9:$AB$24,Z$6,FALSE))),(SUM($R45:$R45)*(VLOOKUP($L45,$L$9:$AB$24,Z$6,FALSE))))))</f>
        <v>6.2387238128107194</v>
      </c>
      <c r="AA45" s="321">
        <f t="shared" ca="1" si="24"/>
        <v>73.757379795610717</v>
      </c>
      <c r="AB45" s="321">
        <f t="shared" ca="1" si="20"/>
        <v>5.9005903836488578</v>
      </c>
      <c r="AC45" s="321">
        <f t="shared" ca="1" si="25"/>
        <v>79.66</v>
      </c>
      <c r="AD45" s="214">
        <f t="shared" si="26"/>
        <v>48</v>
      </c>
      <c r="AE45" s="336">
        <f t="shared" ca="1" si="21"/>
        <v>3823.68</v>
      </c>
      <c r="AF45" s="1036">
        <f t="shared" ca="1" si="27"/>
        <v>637.28</v>
      </c>
      <c r="AG45" s="323"/>
      <c r="AH45" s="323"/>
      <c r="AI45" s="323">
        <f t="shared" ca="1" si="28"/>
        <v>3540.3542301893144</v>
      </c>
      <c r="AJ45" s="323">
        <f t="shared" ca="1" si="29"/>
        <v>3823.68</v>
      </c>
      <c r="AK45" s="323">
        <f t="shared" ca="1" si="30"/>
        <v>283.32576981068541</v>
      </c>
      <c r="AL45" s="20">
        <f t="shared" ca="1" si="31"/>
        <v>0.08</v>
      </c>
      <c r="AM45" s="323"/>
      <c r="AN45" s="323"/>
      <c r="AO45" s="323"/>
      <c r="AP45" s="323"/>
      <c r="AQ45" s="323"/>
      <c r="AR45" s="323"/>
      <c r="AS45" s="323"/>
      <c r="AT45" s="323"/>
      <c r="AU45" s="60"/>
      <c r="AV45" s="324"/>
      <c r="AW45" s="325"/>
      <c r="AZ45" s="251" t="str">
        <f t="shared" ca="1" si="32"/>
        <v>1</v>
      </c>
      <c r="BA45" s="251" t="str">
        <f t="shared" ca="1" si="33"/>
        <v>1</v>
      </c>
    </row>
    <row r="46" spans="4:53">
      <c r="D46" s="8">
        <f>D45+1</f>
        <v>15</v>
      </c>
      <c r="E46" s="319" t="str">
        <f t="shared" si="8"/>
        <v>Repair/Exchange Specialist</v>
      </c>
      <c r="F46" s="8"/>
      <c r="G46" s="363" t="str">
        <f>+InputSheet!E187</f>
        <v>ManTech</v>
      </c>
      <c r="H46" s="8"/>
      <c r="I46" s="320">
        <f t="shared" si="9"/>
        <v>0</v>
      </c>
      <c r="J46" s="198" t="str">
        <f t="shared" si="22"/>
        <v>ManTech150Govt</v>
      </c>
      <c r="K46" s="198"/>
      <c r="L46" s="363" t="s">
        <v>623</v>
      </c>
      <c r="M46" s="321">
        <f>IF(G46="ManTech",(VLOOKUP($D46,DL,6,FALSE)),(INDEX('Sub Rates'!$F$9:$IK$48,MATCH(($E46&amp;$L46),'Sub Rates'!$E$9:$E$48,0),MATCH(($E$8&amp;$G46),'Sub Rates'!$F$8:$IK$8,0))))</f>
        <v>25</v>
      </c>
      <c r="N46" s="321">
        <f t="shared" ca="1" si="10"/>
        <v>26.34</v>
      </c>
      <c r="O46" s="321">
        <f t="shared" ca="1" si="11"/>
        <v>0</v>
      </c>
      <c r="P46" s="321">
        <f t="shared" ca="1" si="11"/>
        <v>0</v>
      </c>
      <c r="Q46" s="321">
        <f t="shared" ca="1" si="12"/>
        <v>8.2286160000000006</v>
      </c>
      <c r="R46" s="321">
        <f t="shared" ca="1" si="13"/>
        <v>0.7708801368</v>
      </c>
      <c r="S46" s="321">
        <f>$S$10/AD46</f>
        <v>0</v>
      </c>
      <c r="T46" s="321">
        <f>$T$10/AD46</f>
        <v>0</v>
      </c>
      <c r="U46" s="321">
        <f>(M46*AD46)*$U$10</f>
        <v>0</v>
      </c>
      <c r="V46" s="321">
        <f>($V$10/$AF$29)</f>
        <v>30.25</v>
      </c>
      <c r="W46" s="321">
        <f t="shared" si="23"/>
        <v>0</v>
      </c>
      <c r="X46" s="321">
        <f ca="1">N46*$X$10</f>
        <v>0.50046000000000002</v>
      </c>
      <c r="Y46" s="321">
        <f>$Y$10/AD46</f>
        <v>0</v>
      </c>
      <c r="Z46" s="321">
        <f ca="1">IF($G46="ManTech",(SUM($N46:$Y46)*(VLOOKUP($L46,$L$9:$AB$24,Z$6,FALSE))),(IF(R46=0,((SUM(N46,#REF!))*(VLOOKUP($L46,$L$9:$AB$24,Z$6,FALSE))),(SUM($R46:$R46)*(VLOOKUP($L46,$L$9:$AB$24,Z$6,FALSE))))))</f>
        <v>6.1067119470403197</v>
      </c>
      <c r="AA46" s="321">
        <f t="shared" ca="1" si="24"/>
        <v>72.196668083840322</v>
      </c>
      <c r="AB46" s="321">
        <f t="shared" ca="1" si="20"/>
        <v>5.7757334467072257</v>
      </c>
      <c r="AC46" s="321">
        <f t="shared" ca="1" si="25"/>
        <v>77.97</v>
      </c>
      <c r="AD46" s="214">
        <f t="shared" si="26"/>
        <v>48</v>
      </c>
      <c r="AE46" s="336">
        <f t="shared" ca="1" si="21"/>
        <v>3742.56</v>
      </c>
      <c r="AF46" s="1036">
        <f t="shared" ca="1" si="27"/>
        <v>623.76</v>
      </c>
      <c r="AG46" s="323"/>
      <c r="AH46" s="323"/>
      <c r="AI46" s="323">
        <f t="shared" ca="1" si="28"/>
        <v>3465.4400680243352</v>
      </c>
      <c r="AJ46" s="323">
        <f t="shared" ca="1" si="29"/>
        <v>3742.56</v>
      </c>
      <c r="AK46" s="323">
        <f t="shared" ca="1" si="30"/>
        <v>277.11993197566471</v>
      </c>
      <c r="AL46" s="20">
        <f t="shared" ca="1" si="31"/>
        <v>0.08</v>
      </c>
      <c r="AM46" s="323"/>
      <c r="AN46" s="323"/>
      <c r="AO46" s="323"/>
      <c r="AP46" s="323"/>
      <c r="AQ46" s="323"/>
      <c r="AR46" s="323"/>
      <c r="AS46" s="323"/>
      <c r="AT46" s="323"/>
      <c r="AU46" s="60"/>
      <c r="AV46" s="324"/>
      <c r="AW46" s="325"/>
      <c r="AZ46" s="251" t="str">
        <f t="shared" ca="1" si="32"/>
        <v>1</v>
      </c>
      <c r="BA46" s="251" t="str">
        <f t="shared" ca="1" si="33"/>
        <v>1</v>
      </c>
    </row>
    <row r="47" spans="4:53">
      <c r="E47" s="319"/>
      <c r="F47" s="8"/>
      <c r="G47" s="363"/>
      <c r="H47" s="8"/>
      <c r="I47" s="320"/>
      <c r="J47" s="198"/>
      <c r="K47" s="198"/>
      <c r="L47" s="363"/>
      <c r="M47" s="321"/>
      <c r="N47" s="321"/>
      <c r="O47" s="321"/>
      <c r="P47" s="321"/>
      <c r="Q47" s="321"/>
      <c r="R47" s="321"/>
      <c r="S47" s="321"/>
      <c r="T47" s="321"/>
      <c r="U47" s="321"/>
      <c r="V47" s="321"/>
      <c r="W47" s="321"/>
      <c r="X47" s="321"/>
      <c r="Y47" s="321"/>
      <c r="Z47" s="321"/>
      <c r="AA47" s="321"/>
      <c r="AB47" s="321"/>
      <c r="AC47" s="321"/>
      <c r="AD47" s="214"/>
      <c r="AE47" s="336"/>
      <c r="AF47" s="1036"/>
      <c r="AG47" s="323"/>
      <c r="AH47" s="323"/>
      <c r="AI47" s="323"/>
      <c r="AJ47" s="323"/>
      <c r="AK47" s="323"/>
      <c r="AL47" s="20"/>
      <c r="AM47" s="323"/>
      <c r="AN47" s="323"/>
      <c r="AO47" s="323"/>
      <c r="AP47" s="323"/>
      <c r="AQ47" s="323"/>
      <c r="AR47" s="323"/>
      <c r="AS47" s="323"/>
      <c r="AT47" s="323"/>
      <c r="AU47" s="60"/>
      <c r="AV47" s="324"/>
      <c r="AW47" s="325"/>
    </row>
    <row r="48" spans="4:53">
      <c r="D48" s="8">
        <v>16</v>
      </c>
      <c r="E48" s="319" t="str">
        <f t="shared" si="8"/>
        <v>PMO Cost</v>
      </c>
      <c r="F48" s="8"/>
      <c r="G48" s="363" t="s">
        <v>643</v>
      </c>
      <c r="H48" s="8"/>
      <c r="I48" s="320" t="str">
        <f t="shared" si="9"/>
        <v>Martin,Lindy E</v>
      </c>
      <c r="J48" s="198" t="str">
        <f>G48&amp;D48&amp;I48&amp;L48</f>
        <v>ManTech16Martin,Lindy EGovt</v>
      </c>
      <c r="K48" s="198"/>
      <c r="L48" s="363" t="s">
        <v>623</v>
      </c>
      <c r="M48" s="321">
        <f>IF(G48="ManTech",(VLOOKUP($D48,DL,6,FALSE)),(INDEX('Sub Rates'!$F$9:$IK$48,MATCH(($E48&amp;$L48),'Sub Rates'!$E$9:$E$48,0),MATCH(($E$8&amp;$G48),'Sub Rates'!$F$8:$IK$8,0))))</f>
        <v>108.5</v>
      </c>
      <c r="N48" s="321">
        <f t="shared" ca="1" si="10"/>
        <v>114.31</v>
      </c>
      <c r="O48" s="321">
        <f t="shared" ca="1" si="11"/>
        <v>0</v>
      </c>
      <c r="P48" s="321">
        <f t="shared" ca="1" si="11"/>
        <v>0</v>
      </c>
      <c r="Q48" s="321">
        <f ca="1">($N48+O48+P48)*(VLOOKUP($L48,$L$9:$AB$24,Q$6,FALSE))</f>
        <v>35.710444000000003</v>
      </c>
      <c r="R48" s="321">
        <f ca="1">($N48+$Q48+O48+P48)*(VLOOKUP($L48,$L$9:$AB$24,R$6,FALSE))</f>
        <v>3.3454559011999998</v>
      </c>
      <c r="S48" s="321"/>
      <c r="T48" s="321"/>
      <c r="U48" s="321">
        <v>0</v>
      </c>
      <c r="V48" s="321">
        <v>0</v>
      </c>
      <c r="W48" s="321">
        <v>0</v>
      </c>
      <c r="X48" s="321">
        <v>0</v>
      </c>
      <c r="Y48" s="321">
        <v>0</v>
      </c>
      <c r="Z48" s="321">
        <f ca="1">IF($G48="ManTech",(SUM($N48:$Y48)*(VLOOKUP($L48,$L$9:$AB$24,Z$6,FALSE))),(IF(R48=0,((SUM(N48,#REF!))*(VLOOKUP($L48,$L$9:$AB$24,Z$6,FALSE))),(SUM($R48:$R48)*(VLOOKUP($L48,$L$9:$AB$24,Z$6,FALSE))))))</f>
        <v>14.17100915087088</v>
      </c>
      <c r="AA48" s="321">
        <f ca="1">SUM(N48:Z48)</f>
        <v>167.53690905207088</v>
      </c>
      <c r="AB48" s="321">
        <f ca="1">(AA48*(VLOOKUP($L48,$L$9:$AB$24,AB$6,FALSE)))</f>
        <v>13.402952724165671</v>
      </c>
      <c r="AC48" s="321">
        <f ca="1">ROUND(SUM(AA48:AB48),2)</f>
        <v>180.94</v>
      </c>
      <c r="AD48" s="214">
        <v>0</v>
      </c>
      <c r="AE48" s="336">
        <f t="shared" ca="1" si="21"/>
        <v>0</v>
      </c>
      <c r="AF48" s="1036">
        <f ca="1">AC48*$AF$29</f>
        <v>1447.52</v>
      </c>
      <c r="AG48" s="323"/>
      <c r="AH48" s="323"/>
      <c r="AI48" s="323">
        <f ca="1">AA48*AD48</f>
        <v>0</v>
      </c>
      <c r="AJ48" s="323">
        <f ca="1">AC48*AD48</f>
        <v>0</v>
      </c>
      <c r="AK48" s="323">
        <f ca="1">AJ48-AI48</f>
        <v>0</v>
      </c>
      <c r="AL48" s="20">
        <f ca="1">IF(AK48=0,0,ROUND(AK48/AI48,2))</f>
        <v>0</v>
      </c>
      <c r="AM48" s="323"/>
      <c r="AN48" s="323"/>
      <c r="AO48" s="323"/>
      <c r="AP48" s="323"/>
      <c r="AQ48" s="323"/>
      <c r="AR48" s="323"/>
      <c r="AS48" s="323"/>
      <c r="AT48" s="323"/>
      <c r="AU48" s="60"/>
      <c r="AV48" s="324"/>
      <c r="AW48" s="325"/>
      <c r="AZ48" s="251" t="str">
        <f ca="1">IF((OR((AC48=""),(AC48&gt;0))),"1","0")</f>
        <v>1</v>
      </c>
      <c r="BA48" s="251" t="str">
        <f ca="1">IF((OR((AE48=""),(AE48&gt;0))),"1","0")</f>
        <v>0</v>
      </c>
    </row>
    <row r="49" spans="2:53">
      <c r="D49" s="8">
        <f>D48+1</f>
        <v>17</v>
      </c>
      <c r="E49" s="319" t="str">
        <f t="shared" si="8"/>
        <v>Project Controller Cost</v>
      </c>
      <c r="F49" s="8"/>
      <c r="G49" s="363" t="str">
        <f>+InputSheet!E190</f>
        <v>Yvan</v>
      </c>
      <c r="H49" s="8"/>
      <c r="I49" s="320">
        <f t="shared" si="9"/>
        <v>0</v>
      </c>
      <c r="J49" s="198" t="str">
        <f>G49&amp;D49&amp;I49&amp;L49</f>
        <v>Yvan170Govt_Sub</v>
      </c>
      <c r="K49" s="198"/>
      <c r="L49" s="363" t="s">
        <v>684</v>
      </c>
      <c r="M49" s="321">
        <f>IF(G49="ManTech",(VLOOKUP($D49,DL,6,FALSE)),(INDEX('Sub Rates'!$F$9:$IK$48,MATCH(($E49&amp;$L49),'Sub Rates'!$E$9:$E$48,0),MATCH(($E$8&amp;$G49),'Sub Rates'!$F$8:$IK$8,0))))</f>
        <v>148.14407599999998</v>
      </c>
      <c r="N49" s="321">
        <f t="shared" ca="1" si="10"/>
        <v>148.13999999999999</v>
      </c>
      <c r="O49" s="321">
        <f t="shared" ca="1" si="11"/>
        <v>0</v>
      </c>
      <c r="P49" s="321">
        <f t="shared" ca="1" si="11"/>
        <v>0</v>
      </c>
      <c r="Q49" s="321">
        <f ca="1">($N49+O49+P49)*(VLOOKUP($L49,$L$9:$AB$24,Q$6,FALSE))</f>
        <v>0</v>
      </c>
      <c r="R49" s="321">
        <f ca="1">($N49+$Q49+O49+P49)*(VLOOKUP($L49,$L$9:$AB$24,R$6,FALSE))</f>
        <v>4.4293859999999992</v>
      </c>
      <c r="S49" s="321"/>
      <c r="T49" s="321"/>
      <c r="U49" s="321">
        <v>0</v>
      </c>
      <c r="V49" s="321">
        <v>0</v>
      </c>
      <c r="W49" s="321">
        <v>0</v>
      </c>
      <c r="X49" s="321">
        <v>0</v>
      </c>
      <c r="Y49" s="321">
        <v>0</v>
      </c>
      <c r="Z49" s="321">
        <f ca="1">IF($G49="ManTech",(SUM($N49:$Y49)*(VLOOKUP($L49,$L$9:$AB$24,Z$6,FALSE))),(IF(R49=0,((SUM(N49,#REF!))*(VLOOKUP($L49,$L$9:$AB$24,Z$6,FALSE))),(SUM($R49:$R49)*(VLOOKUP($L49,$L$9:$AB$24,Z$6,FALSE))))))</f>
        <v>0.40927526639999989</v>
      </c>
      <c r="AA49" s="321">
        <f ca="1">SUM(N49:Z49)</f>
        <v>152.97866126639997</v>
      </c>
      <c r="AB49" s="321">
        <f ca="1">(AA49*(VLOOKUP($L49,$L$9:$AB$24,AB$6,FALSE)))</f>
        <v>12.238292901311997</v>
      </c>
      <c r="AC49" s="321">
        <f ca="1">ROUND(SUM(AA49:AB49),2)</f>
        <v>165.22</v>
      </c>
      <c r="AD49" s="214">
        <v>0</v>
      </c>
      <c r="AE49" s="336">
        <f t="shared" ca="1" si="21"/>
        <v>0</v>
      </c>
      <c r="AF49" s="1036">
        <f ca="1">AC49*$AF$29</f>
        <v>1321.76</v>
      </c>
      <c r="AG49" s="323"/>
      <c r="AH49" s="323"/>
      <c r="AI49" s="323">
        <f ca="1">AA49*AD49</f>
        <v>0</v>
      </c>
      <c r="AJ49" s="323">
        <f ca="1">AC49*AD49</f>
        <v>0</v>
      </c>
      <c r="AK49" s="323">
        <f ca="1">AJ49-AI49</f>
        <v>0</v>
      </c>
      <c r="AL49" s="20">
        <f ca="1">IF(AK49=0,0,ROUND(AK49/AI49,2))</f>
        <v>0</v>
      </c>
      <c r="AM49" s="323"/>
      <c r="AN49" s="323"/>
      <c r="AO49" s="323"/>
      <c r="AP49" s="323"/>
      <c r="AQ49" s="323"/>
      <c r="AR49" s="323"/>
      <c r="AS49" s="323"/>
      <c r="AT49" s="323"/>
      <c r="AU49" s="60"/>
      <c r="AV49" s="324"/>
      <c r="AW49" s="325"/>
      <c r="AZ49" s="251" t="str">
        <f ca="1">IF((OR((AC49=""),(AC49&gt;0))),"1","0")</f>
        <v>1</v>
      </c>
      <c r="BA49" s="251" t="str">
        <f ca="1">IF((OR((AE49=""),(AE49&gt;0))),"1","0")</f>
        <v>0</v>
      </c>
    </row>
    <row r="50" spans="2:53">
      <c r="E50" s="326"/>
      <c r="F50" s="327"/>
      <c r="G50" s="327"/>
      <c r="H50" s="327"/>
      <c r="I50" s="328"/>
      <c r="J50" s="329"/>
      <c r="K50" s="329"/>
      <c r="L50" s="364"/>
      <c r="M50" s="330"/>
      <c r="N50" s="330"/>
      <c r="O50" s="330"/>
      <c r="P50" s="330"/>
      <c r="Q50" s="330"/>
      <c r="R50" s="330"/>
      <c r="S50" s="330"/>
      <c r="T50" s="330"/>
      <c r="U50" s="330"/>
      <c r="V50" s="330"/>
      <c r="W50" s="330"/>
      <c r="X50" s="330"/>
      <c r="Y50" s="330"/>
      <c r="Z50" s="330"/>
      <c r="AA50" s="330"/>
      <c r="AB50" s="330"/>
      <c r="AC50" s="330"/>
      <c r="AD50" s="218"/>
      <c r="AE50" s="339"/>
      <c r="AF50" s="1037"/>
      <c r="AG50" s="332"/>
      <c r="AH50" s="332"/>
      <c r="AI50" s="332"/>
      <c r="AJ50" s="332"/>
      <c r="AK50" s="332"/>
      <c r="AL50" s="332"/>
      <c r="AM50" s="332"/>
      <c r="AN50" s="332"/>
      <c r="AO50" s="332"/>
      <c r="AP50" s="332"/>
      <c r="AQ50" s="332"/>
      <c r="AR50" s="332"/>
      <c r="AS50" s="332"/>
      <c r="AT50" s="332"/>
      <c r="AU50" s="332"/>
      <c r="AV50" s="333"/>
      <c r="AW50" s="325"/>
      <c r="AZ50" s="251" t="str">
        <f t="shared" si="32"/>
        <v>1</v>
      </c>
      <c r="BA50" s="251" t="str">
        <f t="shared" si="33"/>
        <v>1</v>
      </c>
    </row>
    <row r="51" spans="2:53">
      <c r="E51" s="248"/>
      <c r="F51" s="8"/>
      <c r="G51" s="8"/>
      <c r="H51" s="8"/>
      <c r="I51" s="8"/>
      <c r="J51" s="8"/>
      <c r="K51" s="8"/>
      <c r="L51" s="8"/>
      <c r="M51" s="321"/>
      <c r="N51" s="321"/>
      <c r="O51" s="321"/>
      <c r="P51" s="321"/>
      <c r="Q51" s="321"/>
      <c r="R51" s="321"/>
      <c r="S51" s="321"/>
      <c r="T51" s="321"/>
      <c r="U51" s="321"/>
      <c r="V51" s="321"/>
      <c r="W51" s="321"/>
      <c r="X51" s="321"/>
      <c r="Y51" s="321"/>
      <c r="Z51" s="321"/>
      <c r="AA51" s="321"/>
      <c r="AB51" s="321"/>
      <c r="AC51" s="321"/>
      <c r="AD51" s="321"/>
      <c r="AE51" s="321"/>
      <c r="AF51" s="250"/>
      <c r="AG51" s="323"/>
      <c r="AH51" s="323"/>
      <c r="AI51" s="323"/>
      <c r="AJ51" s="323"/>
      <c r="AK51" s="323"/>
      <c r="AL51" s="323"/>
      <c r="AM51" s="323"/>
      <c r="AN51" s="323"/>
      <c r="AO51" s="323"/>
      <c r="AP51" s="323"/>
      <c r="AQ51" s="323"/>
      <c r="AR51" s="323"/>
      <c r="AS51" s="323"/>
      <c r="AT51" s="323"/>
      <c r="AU51" s="60"/>
      <c r="AV51" s="324"/>
      <c r="AW51" s="325"/>
      <c r="AZ51" s="251" t="str">
        <f t="shared" si="32"/>
        <v>1</v>
      </c>
      <c r="BA51" s="251" t="str">
        <f t="shared" si="33"/>
        <v>1</v>
      </c>
    </row>
    <row r="52" spans="2:53">
      <c r="E52" s="248"/>
      <c r="F52" s="8"/>
      <c r="G52" s="8"/>
      <c r="H52" s="8"/>
      <c r="I52" s="8"/>
      <c r="J52" s="8"/>
      <c r="K52" s="8"/>
      <c r="L52" s="8"/>
      <c r="M52" s="8"/>
      <c r="N52" s="8"/>
      <c r="O52" s="8"/>
      <c r="P52" s="8"/>
      <c r="Q52" s="8"/>
      <c r="R52" s="8"/>
      <c r="S52" s="8"/>
      <c r="T52" s="8"/>
      <c r="U52" s="8"/>
      <c r="V52" s="8"/>
      <c r="W52" s="8"/>
      <c r="X52" s="8"/>
      <c r="Y52" s="8"/>
      <c r="Z52" s="8"/>
      <c r="AA52" s="8"/>
      <c r="AB52" s="8"/>
      <c r="AC52" s="313" t="s">
        <v>647</v>
      </c>
      <c r="AD52" s="334">
        <f>SUBTOTAL(9,AD$31:AD$51)</f>
        <v>532</v>
      </c>
      <c r="AE52" s="1028">
        <f ca="1">SUBTOTAL(9,AE$31:AE$51)</f>
        <v>47848.639999999999</v>
      </c>
      <c r="AF52" s="250"/>
      <c r="AG52" s="323"/>
      <c r="AH52" s="323"/>
      <c r="AI52" s="323"/>
      <c r="AJ52" s="323"/>
      <c r="AK52" s="323"/>
      <c r="AL52" s="323"/>
      <c r="AM52" s="323"/>
      <c r="AN52" s="323"/>
      <c r="AO52" s="323"/>
      <c r="AP52" s="323"/>
      <c r="AQ52" s="323"/>
      <c r="AR52" s="323"/>
      <c r="AS52" s="323"/>
      <c r="AT52" s="323"/>
      <c r="AU52" s="60"/>
      <c r="AV52" s="324"/>
      <c r="AW52" s="325"/>
      <c r="AZ52" s="251" t="str">
        <f t="shared" si="32"/>
        <v>1</v>
      </c>
      <c r="BA52" s="251" t="str">
        <f t="shared" ca="1" si="33"/>
        <v>1</v>
      </c>
    </row>
    <row r="53" spans="2:53" ht="13.5" thickBot="1">
      <c r="B53" s="8" t="s">
        <v>854</v>
      </c>
      <c r="E53" s="248"/>
      <c r="F53" s="8"/>
      <c r="G53" s="8"/>
      <c r="H53" s="8"/>
      <c r="I53" s="8"/>
      <c r="J53" s="8"/>
      <c r="K53" s="8"/>
      <c r="L53" s="8"/>
      <c r="M53" s="8"/>
      <c r="N53" s="8"/>
      <c r="O53" s="8"/>
      <c r="P53" s="8"/>
      <c r="Q53" s="8"/>
      <c r="R53" s="8"/>
      <c r="S53" s="8"/>
      <c r="T53" s="8"/>
      <c r="U53" s="8"/>
      <c r="V53" s="8"/>
      <c r="W53" s="8"/>
      <c r="X53" s="8"/>
      <c r="Y53" s="8"/>
      <c r="Z53" s="8"/>
      <c r="AA53" s="8"/>
      <c r="AB53" s="8"/>
      <c r="AC53" s="313"/>
      <c r="AD53" s="57"/>
      <c r="AE53" s="60"/>
      <c r="AF53" s="250"/>
      <c r="AR53" s="13"/>
      <c r="AS53" s="335"/>
      <c r="AZ53" s="251" t="str">
        <f t="shared" si="32"/>
        <v>1</v>
      </c>
      <c r="BA53" s="251" t="str">
        <f t="shared" si="33"/>
        <v>1</v>
      </c>
    </row>
    <row r="54" spans="2:53" s="317" customFormat="1" ht="16.5" thickBot="1">
      <c r="B54" s="919">
        <v>1.4735</v>
      </c>
      <c r="E54" s="240" t="s">
        <v>737</v>
      </c>
      <c r="F54" s="202"/>
      <c r="G54" s="202"/>
      <c r="H54" s="203"/>
      <c r="I54" s="202"/>
      <c r="J54" s="201"/>
      <c r="K54" s="201"/>
      <c r="L54" s="202"/>
      <c r="M54" s="204"/>
      <c r="N54" s="204"/>
      <c r="O54" s="204"/>
      <c r="P54" s="204"/>
      <c r="Q54" s="204"/>
      <c r="R54" s="204"/>
      <c r="S54" s="204"/>
      <c r="T54" s="204"/>
      <c r="U54" s="204"/>
      <c r="V54" s="204"/>
      <c r="W54" s="204"/>
      <c r="X54" s="204"/>
      <c r="Y54" s="204"/>
      <c r="Z54" s="204"/>
      <c r="AA54" s="204"/>
      <c r="AB54" s="204"/>
      <c r="AC54" s="204"/>
      <c r="AD54" s="204"/>
      <c r="AE54" s="204"/>
      <c r="AF54" s="1038"/>
      <c r="AG54" s="206"/>
      <c r="AH54" s="206"/>
      <c r="AI54" s="206"/>
      <c r="AJ54" s="206"/>
      <c r="AK54" s="206"/>
      <c r="AL54" s="206"/>
      <c r="AM54" s="206"/>
      <c r="AN54" s="206"/>
      <c r="AO54" s="206"/>
      <c r="AP54" s="206"/>
      <c r="AQ54" s="206"/>
      <c r="AR54" s="206"/>
      <c r="AS54" s="206"/>
      <c r="AT54" s="206"/>
      <c r="AU54" s="206"/>
      <c r="AV54" s="206"/>
      <c r="AW54" s="318"/>
      <c r="AZ54" s="251" t="str">
        <f t="shared" si="32"/>
        <v>1</v>
      </c>
      <c r="BA54" s="251" t="str">
        <f t="shared" si="33"/>
        <v>1</v>
      </c>
    </row>
    <row r="55" spans="2:53" ht="15.75">
      <c r="E55" s="1059" t="s">
        <v>941</v>
      </c>
      <c r="F55" s="1060"/>
      <c r="G55" s="1060"/>
      <c r="H55" s="1061"/>
      <c r="I55" s="1060"/>
      <c r="J55" s="1062"/>
      <c r="K55" s="1062"/>
      <c r="L55" s="1060"/>
      <c r="M55" s="1063"/>
      <c r="N55" s="1063"/>
      <c r="O55" s="1063"/>
      <c r="P55" s="1063"/>
      <c r="Q55" s="1063"/>
      <c r="R55" s="1063"/>
      <c r="S55" s="1063"/>
      <c r="T55" s="1063"/>
      <c r="U55" s="1063"/>
      <c r="V55" s="1063"/>
      <c r="W55" s="1063"/>
      <c r="X55" s="1063"/>
      <c r="Y55" s="1063"/>
      <c r="Z55" s="1063"/>
      <c r="AA55" s="1063"/>
      <c r="AB55" s="1063"/>
      <c r="AC55" s="1063"/>
      <c r="AD55" s="1063"/>
      <c r="AE55" s="1063"/>
      <c r="AF55" s="1064"/>
      <c r="AG55" s="337"/>
      <c r="AH55" s="337"/>
      <c r="AI55" s="323"/>
      <c r="AJ55" s="323"/>
      <c r="AK55" s="323"/>
      <c r="AL55" s="20"/>
      <c r="AM55" s="337"/>
      <c r="AN55" s="337"/>
      <c r="AO55" s="337"/>
      <c r="AP55" s="337"/>
      <c r="AQ55" s="337"/>
      <c r="AR55" s="323"/>
      <c r="AS55" s="337"/>
      <c r="AT55" s="323"/>
      <c r="AU55" s="60"/>
      <c r="AV55" s="324"/>
      <c r="AW55" s="325"/>
    </row>
    <row r="56" spans="2:53">
      <c r="E56" s="832" t="s">
        <v>912</v>
      </c>
      <c r="F56" s="8"/>
      <c r="G56" s="8"/>
      <c r="H56" s="8"/>
      <c r="I56" s="8"/>
      <c r="J56" s="8"/>
      <c r="K56" s="8"/>
      <c r="L56" s="363" t="s">
        <v>617</v>
      </c>
      <c r="M56" s="336">
        <f>'[6]Service Quote'!$E$23</f>
        <v>499.95</v>
      </c>
      <c r="N56" s="336">
        <f ca="1">ROUND($M56*(VLOOKUP($L56,$L$9:$AB$24,N$6,FALSE)),2)</f>
        <v>499.95</v>
      </c>
      <c r="O56" s="336">
        <f t="shared" ref="O56:Q58" ca="1" si="35">ROUND($N56*(VLOOKUP($L56,$L$9:$AB$24,O$6,FALSE)),2)</f>
        <v>0</v>
      </c>
      <c r="P56" s="336">
        <f t="shared" ca="1" si="35"/>
        <v>0</v>
      </c>
      <c r="Q56" s="336">
        <f t="shared" ca="1" si="35"/>
        <v>0</v>
      </c>
      <c r="R56" s="336">
        <f ca="1">ROUND(($N56+$Q56)*(VLOOKUP($L56,$L$9:$AB$24,R$6,FALSE)),2)</f>
        <v>0</v>
      </c>
      <c r="S56" s="336"/>
      <c r="T56" s="336"/>
      <c r="U56" s="336">
        <f t="shared" ref="U56:Y58" ca="1" si="36">ROUND($N56*(VLOOKUP($L56,$L$9:$AB$24,U$6,FALSE)),2)</f>
        <v>0</v>
      </c>
      <c r="V56" s="336">
        <f t="shared" ca="1" si="36"/>
        <v>0</v>
      </c>
      <c r="W56" s="336">
        <f t="shared" ca="1" si="36"/>
        <v>0</v>
      </c>
      <c r="X56" s="336">
        <f t="shared" ca="1" si="36"/>
        <v>0</v>
      </c>
      <c r="Y56" s="336">
        <f t="shared" ca="1" si="36"/>
        <v>0</v>
      </c>
      <c r="Z56" s="336">
        <f ca="1">IF($R56=0,ROUND(SUM($N56:$R56)*(VLOOKUP($L56,$L$9:$AB$24,Z$6,FALSE)),2),ROUND(SUM($R56:$R56)*(VLOOKUP($L56,$L$9:$AB$24,Z$6,FALSE)),2))</f>
        <v>46.2</v>
      </c>
      <c r="AA56" s="336">
        <f ca="1">SUM(N56:Z56)</f>
        <v>546.15</v>
      </c>
      <c r="AB56" s="336">
        <f ca="1">ROUND(AA56*(VLOOKUP($L56,$L$9:$AB$24,AB$6,FALSE)),2)</f>
        <v>43.69</v>
      </c>
      <c r="AC56" s="336">
        <f ca="1">SUM(AA56:AB56)</f>
        <v>589.83999999999992</v>
      </c>
      <c r="AD56" s="214">
        <v>1</v>
      </c>
      <c r="AE56" s="336">
        <f ca="1">$AC56*$AD56</f>
        <v>589.83999999999992</v>
      </c>
      <c r="AF56" s="250"/>
      <c r="AG56" s="337"/>
      <c r="AH56" s="337"/>
      <c r="AI56" s="323">
        <f ca="1">AA56*AD56</f>
        <v>546.15</v>
      </c>
      <c r="AJ56" s="323">
        <f ca="1">AC56*AD56</f>
        <v>589.83999999999992</v>
      </c>
      <c r="AK56" s="323">
        <f ca="1">AJ56-AI56</f>
        <v>43.689999999999941</v>
      </c>
      <c r="AL56" s="20">
        <f ca="1">IF(AK56=0,0,ROUND(AK56/AI56,2))</f>
        <v>0.08</v>
      </c>
      <c r="AM56" s="337"/>
      <c r="AN56" s="337"/>
      <c r="AO56" s="337"/>
      <c r="AP56" s="337"/>
      <c r="AQ56" s="337"/>
      <c r="AR56" s="323"/>
      <c r="AS56" s="337"/>
      <c r="AT56" s="323"/>
      <c r="AU56" s="60"/>
      <c r="AV56" s="324"/>
      <c r="AW56" s="325"/>
      <c r="AZ56" s="251" t="str">
        <f ca="1">IF((OR((AC56=""),(AC56&gt;0))),"1","0")</f>
        <v>1</v>
      </c>
      <c r="BA56" s="251" t="str">
        <f ca="1">IF((OR((AE56=""),(AE56&gt;0))),"1","0")</f>
        <v>1</v>
      </c>
    </row>
    <row r="57" spans="2:53">
      <c r="E57" s="832" t="s">
        <v>913</v>
      </c>
      <c r="F57" s="8"/>
      <c r="G57" s="8"/>
      <c r="H57" s="8"/>
      <c r="I57" s="8"/>
      <c r="J57" s="8"/>
      <c r="K57" s="8"/>
      <c r="L57" s="363" t="s">
        <v>617</v>
      </c>
      <c r="M57" s="336">
        <f>'[6]Service Quote'!$E$26</f>
        <v>359</v>
      </c>
      <c r="N57" s="336">
        <f ca="1">ROUND($M57*(VLOOKUP($L57,$L$9:$AB$24,N$6,FALSE)),2)</f>
        <v>359</v>
      </c>
      <c r="O57" s="336">
        <f t="shared" ca="1" si="35"/>
        <v>0</v>
      </c>
      <c r="P57" s="336">
        <f t="shared" ca="1" si="35"/>
        <v>0</v>
      </c>
      <c r="Q57" s="336">
        <f t="shared" ca="1" si="35"/>
        <v>0</v>
      </c>
      <c r="R57" s="336">
        <f ca="1">ROUND(($N57+$Q57)*(VLOOKUP($L57,$L$9:$AB$24,R$6,FALSE)),2)</f>
        <v>0</v>
      </c>
      <c r="S57" s="336"/>
      <c r="T57" s="336"/>
      <c r="U57" s="336">
        <f t="shared" ca="1" si="36"/>
        <v>0</v>
      </c>
      <c r="V57" s="336">
        <f t="shared" ca="1" si="36"/>
        <v>0</v>
      </c>
      <c r="W57" s="336">
        <f t="shared" ca="1" si="36"/>
        <v>0</v>
      </c>
      <c r="X57" s="336">
        <f t="shared" ca="1" si="36"/>
        <v>0</v>
      </c>
      <c r="Y57" s="336">
        <f t="shared" ca="1" si="36"/>
        <v>0</v>
      </c>
      <c r="Z57" s="336">
        <f ca="1">IF($R57=0,ROUND(SUM($N57:$R57)*(VLOOKUP($L57,$L$9:$AB$24,Z$6,FALSE)),2),ROUND(SUM($R57:$R57)*(VLOOKUP($L57,$L$9:$AB$24,Z$6,FALSE)),2))</f>
        <v>33.17</v>
      </c>
      <c r="AA57" s="336">
        <f ca="1">SUM(N57:Z57)</f>
        <v>392.17</v>
      </c>
      <c r="AB57" s="336">
        <f ca="1">ROUND(AA57*(VLOOKUP($L57,$L$9:$AB$24,AB$6,FALSE)),2)</f>
        <v>31.37</v>
      </c>
      <c r="AC57" s="336">
        <f ca="1">SUM(AA57:AB57)</f>
        <v>423.54</v>
      </c>
      <c r="AD57" s="214">
        <v>1</v>
      </c>
      <c r="AE57" s="336">
        <f ca="1">$AC57*$AD57</f>
        <v>423.54</v>
      </c>
      <c r="AF57" s="250"/>
      <c r="AG57" s="337"/>
      <c r="AH57" s="337"/>
      <c r="AI57" s="323">
        <f ca="1">AA57*AD57</f>
        <v>392.17</v>
      </c>
      <c r="AJ57" s="323">
        <f ca="1">AC57*AD57</f>
        <v>423.54</v>
      </c>
      <c r="AK57" s="323">
        <f ca="1">AJ57-AI57</f>
        <v>31.370000000000005</v>
      </c>
      <c r="AL57" s="20">
        <f ca="1">IF(AK57=0,0,ROUND(AK57/AI57,2))</f>
        <v>0.08</v>
      </c>
      <c r="AM57" s="337"/>
      <c r="AN57" s="337"/>
      <c r="AO57" s="337"/>
      <c r="AP57" s="337"/>
      <c r="AQ57" s="337"/>
      <c r="AR57" s="323"/>
      <c r="AS57" s="337"/>
      <c r="AT57" s="323"/>
      <c r="AU57" s="60"/>
      <c r="AV57" s="324"/>
      <c r="AW57" s="325"/>
      <c r="AZ57" s="251" t="str">
        <f ca="1">IF((OR((AC57=""),(AC57&gt;0))),"1","0")</f>
        <v>1</v>
      </c>
      <c r="BA57" s="251" t="str">
        <f ca="1">IF((OR((AE57=""),(AE57&gt;0))),"1","0")</f>
        <v>1</v>
      </c>
    </row>
    <row r="58" spans="2:53">
      <c r="E58" s="832" t="s">
        <v>914</v>
      </c>
      <c r="F58" s="8"/>
      <c r="G58" s="8"/>
      <c r="H58" s="8"/>
      <c r="I58" s="8"/>
      <c r="J58" s="8"/>
      <c r="K58" s="8"/>
      <c r="L58" s="363" t="s">
        <v>617</v>
      </c>
      <c r="M58" s="336">
        <f>'[6]Service Quote'!$E$29</f>
        <v>199.95</v>
      </c>
      <c r="N58" s="336">
        <f ca="1">ROUND($M58*(VLOOKUP($L58,$L$9:$AB$24,N$6,FALSE)),2)</f>
        <v>199.95</v>
      </c>
      <c r="O58" s="336">
        <f t="shared" ca="1" si="35"/>
        <v>0</v>
      </c>
      <c r="P58" s="336">
        <f t="shared" ca="1" si="35"/>
        <v>0</v>
      </c>
      <c r="Q58" s="336">
        <f t="shared" ca="1" si="35"/>
        <v>0</v>
      </c>
      <c r="R58" s="336">
        <f ca="1">ROUND(($N58+$Q58)*(VLOOKUP($L58,$L$9:$AB$24,R$6,FALSE)),2)</f>
        <v>0</v>
      </c>
      <c r="S58" s="336"/>
      <c r="T58" s="336"/>
      <c r="U58" s="336">
        <f t="shared" ca="1" si="36"/>
        <v>0</v>
      </c>
      <c r="V58" s="336">
        <f t="shared" ca="1" si="36"/>
        <v>0</v>
      </c>
      <c r="W58" s="336">
        <f t="shared" ca="1" si="36"/>
        <v>0</v>
      </c>
      <c r="X58" s="336">
        <f t="shared" ca="1" si="36"/>
        <v>0</v>
      </c>
      <c r="Y58" s="336">
        <f t="shared" ca="1" si="36"/>
        <v>0</v>
      </c>
      <c r="Z58" s="336">
        <f ca="1">IF($R58=0,ROUND(SUM($N58:$R58)*(VLOOKUP($L58,$L$9:$AB$24,Z$6,FALSE)),2),ROUND(SUM($R58:$R58)*(VLOOKUP($L58,$L$9:$AB$24,Z$6,FALSE)),2))</f>
        <v>18.48</v>
      </c>
      <c r="AA58" s="336">
        <f ca="1">SUM(N58:Z58)</f>
        <v>218.42999999999998</v>
      </c>
      <c r="AB58" s="336">
        <f ca="1">ROUND(AA58*(VLOOKUP($L58,$L$9:$AB$24,AB$6,FALSE)),2)</f>
        <v>17.47</v>
      </c>
      <c r="AC58" s="336">
        <f ca="1">SUM(AA58:AB58)</f>
        <v>235.89999999999998</v>
      </c>
      <c r="AD58" s="214">
        <v>1</v>
      </c>
      <c r="AE58" s="336">
        <f ca="1">$AC58*$AD58</f>
        <v>235.89999999999998</v>
      </c>
      <c r="AF58" s="250"/>
      <c r="AG58" s="337"/>
      <c r="AH58" s="337"/>
      <c r="AI58" s="323">
        <f ca="1">AA58*AD58</f>
        <v>218.42999999999998</v>
      </c>
      <c r="AJ58" s="323">
        <f ca="1">AC58*AD58</f>
        <v>235.89999999999998</v>
      </c>
      <c r="AK58" s="323">
        <f ca="1">AJ58-AI58</f>
        <v>17.47</v>
      </c>
      <c r="AL58" s="20">
        <f ca="1">IF(AK58=0,0,ROUND(AK58/AI58,2))</f>
        <v>0.08</v>
      </c>
      <c r="AM58" s="337"/>
      <c r="AN58" s="337"/>
      <c r="AO58" s="337"/>
      <c r="AP58" s="337"/>
      <c r="AQ58" s="337"/>
      <c r="AR58" s="323"/>
      <c r="AS58" s="337"/>
      <c r="AT58" s="323"/>
      <c r="AU58" s="60"/>
      <c r="AV58" s="324"/>
      <c r="AW58" s="325"/>
    </row>
    <row r="59" spans="2:53">
      <c r="E59" s="832"/>
      <c r="F59" s="8"/>
      <c r="G59" s="8"/>
      <c r="H59" s="8"/>
      <c r="I59" s="8"/>
      <c r="J59" s="8"/>
      <c r="K59" s="8"/>
      <c r="L59" s="363"/>
      <c r="M59" s="336"/>
      <c r="N59" s="336"/>
      <c r="O59" s="336"/>
      <c r="P59" s="336"/>
      <c r="Q59" s="336"/>
      <c r="R59" s="336"/>
      <c r="S59" s="336"/>
      <c r="T59" s="336"/>
      <c r="U59" s="336"/>
      <c r="V59" s="336"/>
      <c r="W59" s="336"/>
      <c r="X59" s="336"/>
      <c r="Y59" s="336"/>
      <c r="Z59" s="336"/>
      <c r="AA59" s="336"/>
      <c r="AB59" s="336"/>
      <c r="AC59" s="336" t="s">
        <v>942</v>
      </c>
      <c r="AD59" s="214"/>
      <c r="AE59" s="336">
        <f ca="1">SUBTOTAL(9,AE56:AE58)</f>
        <v>1249.2799999999997</v>
      </c>
      <c r="AF59" s="250"/>
      <c r="AG59" s="337"/>
      <c r="AH59" s="337"/>
      <c r="AI59" s="323"/>
      <c r="AJ59" s="323"/>
      <c r="AK59" s="323"/>
      <c r="AL59" s="20"/>
      <c r="AM59" s="337"/>
      <c r="AN59" s="337"/>
      <c r="AO59" s="337"/>
      <c r="AP59" s="337"/>
      <c r="AQ59" s="337"/>
      <c r="AR59" s="323"/>
      <c r="AS59" s="337"/>
      <c r="AT59" s="323"/>
      <c r="AU59" s="60"/>
      <c r="AV59" s="324"/>
      <c r="AW59" s="325"/>
    </row>
    <row r="60" spans="2:53">
      <c r="E60" s="338"/>
      <c r="F60" s="327"/>
      <c r="G60" s="327"/>
      <c r="H60" s="327"/>
      <c r="I60" s="327"/>
      <c r="J60" s="327"/>
      <c r="K60" s="327"/>
      <c r="L60" s="327"/>
      <c r="M60" s="339"/>
      <c r="N60" s="339"/>
      <c r="O60" s="339"/>
      <c r="P60" s="339"/>
      <c r="Q60" s="339"/>
      <c r="R60" s="339"/>
      <c r="S60" s="339"/>
      <c r="T60" s="339"/>
      <c r="U60" s="339"/>
      <c r="V60" s="339"/>
      <c r="W60" s="339"/>
      <c r="X60" s="339"/>
      <c r="Y60" s="339"/>
      <c r="Z60" s="339"/>
      <c r="AA60" s="339"/>
      <c r="AB60" s="339"/>
      <c r="AC60" s="339"/>
      <c r="AD60" s="331"/>
      <c r="AE60" s="339"/>
      <c r="AF60" s="1037"/>
      <c r="AG60" s="339"/>
      <c r="AH60" s="339"/>
      <c r="AI60" s="339"/>
      <c r="AJ60" s="339"/>
      <c r="AK60" s="339"/>
      <c r="AL60" s="339"/>
      <c r="AM60" s="339"/>
      <c r="AN60" s="339"/>
      <c r="AO60" s="339"/>
      <c r="AP60" s="339"/>
      <c r="AQ60" s="339"/>
      <c r="AR60" s="332"/>
      <c r="AS60" s="339"/>
      <c r="AT60" s="332"/>
      <c r="AU60" s="332"/>
      <c r="AV60" s="333"/>
      <c r="AW60" s="325"/>
      <c r="AZ60" s="251" t="str">
        <f t="shared" si="32"/>
        <v>1</v>
      </c>
      <c r="BA60" s="251" t="str">
        <f t="shared" si="33"/>
        <v>1</v>
      </c>
    </row>
    <row r="61" spans="2:53">
      <c r="E61" s="248"/>
      <c r="F61" s="8"/>
      <c r="G61" s="8"/>
      <c r="H61" s="8"/>
      <c r="I61" s="8"/>
      <c r="J61" s="8"/>
      <c r="K61" s="8"/>
      <c r="L61" s="8"/>
      <c r="M61" s="8"/>
      <c r="N61" s="8"/>
      <c r="O61" s="8"/>
      <c r="P61" s="8"/>
      <c r="Q61" s="8"/>
      <c r="R61" s="8"/>
      <c r="S61" s="8"/>
      <c r="T61" s="8"/>
      <c r="U61" s="8"/>
      <c r="V61" s="8"/>
      <c r="W61" s="8"/>
      <c r="X61" s="8"/>
      <c r="Y61" s="8"/>
      <c r="Z61" s="8"/>
      <c r="AA61" s="8"/>
      <c r="AB61" s="8"/>
      <c r="AC61" s="8"/>
      <c r="AD61" s="8"/>
      <c r="AE61" s="336"/>
      <c r="AF61" s="250"/>
      <c r="AZ61" s="251" t="str">
        <f t="shared" si="32"/>
        <v>1</v>
      </c>
      <c r="BA61" s="251" t="str">
        <f t="shared" si="33"/>
        <v>1</v>
      </c>
    </row>
    <row r="62" spans="2:53">
      <c r="E62" s="248"/>
      <c r="F62" s="8"/>
      <c r="G62" s="8"/>
      <c r="H62" s="8"/>
      <c r="I62" s="8"/>
      <c r="J62" s="8"/>
      <c r="K62" s="8"/>
      <c r="L62" s="8"/>
      <c r="M62" s="8"/>
      <c r="N62" s="8"/>
      <c r="O62" s="8"/>
      <c r="P62" s="8"/>
      <c r="Q62" s="8"/>
      <c r="R62" s="8"/>
      <c r="S62" s="8"/>
      <c r="T62" s="8"/>
      <c r="U62" s="8"/>
      <c r="V62" s="8"/>
      <c r="W62" s="8"/>
      <c r="X62" s="8"/>
      <c r="Y62" s="8"/>
      <c r="Z62" s="8"/>
      <c r="AA62" s="8"/>
      <c r="AB62" s="8"/>
      <c r="AC62" s="313" t="s">
        <v>648</v>
      </c>
      <c r="AD62" s="322"/>
      <c r="AE62" s="1029">
        <f ca="1">SUBTOTAL(9,AE$54:AE$61)</f>
        <v>1249.2799999999997</v>
      </c>
      <c r="AF62" s="250"/>
      <c r="AG62" s="337"/>
      <c r="AH62" s="337"/>
      <c r="AI62" s="337">
        <f ca="1">SUM(AI32:AI58)</f>
        <v>45460.743059551241</v>
      </c>
      <c r="AJ62" s="337">
        <f ca="1">SUM(AJ32:AJ58)</f>
        <v>49097.919999999998</v>
      </c>
      <c r="AK62" s="337">
        <f ca="1">SUM(AK32:AK58)</f>
        <v>3637.1769404487636</v>
      </c>
      <c r="AL62" s="20">
        <f ca="1">IF(AK62=0,0,ROUND(AK62/AI62,2))</f>
        <v>0.08</v>
      </c>
      <c r="AM62" s="337"/>
      <c r="AN62" s="337"/>
      <c r="AO62" s="337"/>
      <c r="AP62" s="337"/>
      <c r="AQ62" s="337"/>
      <c r="AR62" s="337"/>
      <c r="AS62" s="337"/>
      <c r="AT62" s="337"/>
      <c r="AU62" s="336"/>
      <c r="AV62" s="324"/>
      <c r="AW62" s="325"/>
      <c r="AZ62" s="251" t="str">
        <f t="shared" si="32"/>
        <v>1</v>
      </c>
      <c r="BA62" s="251" t="str">
        <f t="shared" ca="1" si="33"/>
        <v>1</v>
      </c>
    </row>
    <row r="63" spans="2:53">
      <c r="E63" s="248"/>
      <c r="F63" s="8"/>
      <c r="G63" s="8"/>
      <c r="H63" s="8"/>
      <c r="I63" s="8"/>
      <c r="J63" s="8"/>
      <c r="K63" s="8"/>
      <c r="L63" s="8"/>
      <c r="M63" s="8"/>
      <c r="N63" s="8"/>
      <c r="O63" s="8"/>
      <c r="P63" s="8"/>
      <c r="Q63" s="8"/>
      <c r="R63" s="8"/>
      <c r="S63" s="8"/>
      <c r="T63" s="8"/>
      <c r="U63" s="8"/>
      <c r="V63" s="8"/>
      <c r="W63" s="8"/>
      <c r="X63" s="8"/>
      <c r="Y63" s="8"/>
      <c r="Z63" s="8"/>
      <c r="AA63" s="8"/>
      <c r="AB63" s="8"/>
      <c r="AC63" s="8"/>
      <c r="AD63" s="8"/>
      <c r="AE63" s="8"/>
      <c r="AF63" s="250"/>
      <c r="AR63" s="13"/>
      <c r="AS63" s="335"/>
      <c r="AZ63" s="251" t="str">
        <f t="shared" si="32"/>
        <v>1</v>
      </c>
      <c r="BA63" s="251" t="str">
        <f t="shared" si="33"/>
        <v>1</v>
      </c>
    </row>
    <row r="64" spans="2:53">
      <c r="E64" s="340"/>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41"/>
      <c r="AG64" s="307"/>
      <c r="AH64" s="307"/>
      <c r="AI64" s="307"/>
      <c r="AJ64" s="307"/>
      <c r="AK64" s="307"/>
      <c r="AL64" s="307"/>
      <c r="AM64" s="307"/>
      <c r="AN64" s="307"/>
      <c r="AO64" s="307"/>
      <c r="AP64" s="307"/>
      <c r="AQ64" s="307"/>
      <c r="AR64" s="307"/>
      <c r="AS64" s="307"/>
      <c r="AT64" s="307"/>
      <c r="AV64" s="307"/>
      <c r="AZ64" s="251" t="str">
        <f t="shared" si="32"/>
        <v>1</v>
      </c>
      <c r="BA64" s="251" t="str">
        <f t="shared" si="33"/>
        <v>1</v>
      </c>
    </row>
    <row r="65" spans="5:53" ht="13.5" thickBot="1">
      <c r="E65" s="252"/>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342" t="s">
        <v>649</v>
      </c>
      <c r="AD65" s="343">
        <f>AD52</f>
        <v>532</v>
      </c>
      <c r="AE65" s="1030">
        <f ca="1">SUBTOTAL(9,AE$31:AE$64)</f>
        <v>49097.919999999998</v>
      </c>
      <c r="AF65" s="258"/>
      <c r="AG65" s="323"/>
      <c r="AH65" s="323"/>
      <c r="AI65" s="323"/>
      <c r="AJ65" s="323"/>
      <c r="AK65" s="323"/>
      <c r="AL65" s="323"/>
      <c r="AM65" s="323"/>
      <c r="AN65" s="323"/>
      <c r="AO65" s="323"/>
      <c r="AP65" s="323"/>
      <c r="AQ65" s="323"/>
      <c r="AR65" s="323"/>
      <c r="AS65" s="323"/>
      <c r="AT65" s="323"/>
      <c r="AU65" s="60"/>
      <c r="AV65" s="324"/>
      <c r="AW65" s="325"/>
      <c r="AZ65" s="251" t="str">
        <f t="shared" si="32"/>
        <v>1</v>
      </c>
      <c r="BA65" s="251" t="str">
        <f t="shared" ca="1" si="33"/>
        <v>1</v>
      </c>
    </row>
    <row r="66" spans="5:53">
      <c r="AR66" s="344"/>
      <c r="AS66" s="345"/>
      <c r="AZ66" s="251" t="str">
        <f t="shared" si="32"/>
        <v>1</v>
      </c>
      <c r="BA66" s="251" t="str">
        <f t="shared" si="33"/>
        <v>1</v>
      </c>
    </row>
    <row r="67" spans="5:53">
      <c r="AZ67" s="251" t="str">
        <f t="shared" si="32"/>
        <v>1</v>
      </c>
      <c r="BA67" s="251" t="str">
        <f t="shared" si="33"/>
        <v>1</v>
      </c>
    </row>
    <row r="68" spans="5:53">
      <c r="O68" s="346"/>
      <c r="P68" s="346"/>
      <c r="R68" s="280" t="s">
        <v>633</v>
      </c>
      <c r="S68" s="1160"/>
      <c r="T68" s="1160"/>
      <c r="U68" s="346"/>
      <c r="V68" s="346"/>
      <c r="W68" s="346"/>
      <c r="X68" s="346"/>
      <c r="Y68" s="346"/>
      <c r="Z68" s="282" t="s">
        <v>61</v>
      </c>
      <c r="AA68" s="281" t="s">
        <v>60</v>
      </c>
      <c r="AB68" s="282" t="s">
        <v>63</v>
      </c>
      <c r="AC68" s="281" t="s">
        <v>59</v>
      </c>
      <c r="AD68" s="282" t="s">
        <v>602</v>
      </c>
      <c r="AE68" s="281" t="s">
        <v>638</v>
      </c>
      <c r="AZ68" s="251" t="str">
        <f t="shared" si="32"/>
        <v>1</v>
      </c>
      <c r="BA68" s="251" t="str">
        <f t="shared" si="33"/>
        <v>1</v>
      </c>
    </row>
    <row r="69" spans="5:53">
      <c r="O69" s="8"/>
      <c r="P69" s="8"/>
      <c r="R69" s="347" t="s">
        <v>643</v>
      </c>
      <c r="S69" s="1161"/>
      <c r="T69" s="1161"/>
      <c r="U69" s="8"/>
      <c r="V69" s="8"/>
      <c r="W69" s="8"/>
      <c r="X69" s="8"/>
      <c r="Y69" s="8"/>
      <c r="Z69" s="348">
        <f>IF(AD69=0,0,(AD69/AD$90))</f>
        <v>0.99248120300751874</v>
      </c>
      <c r="AA69" s="349">
        <f ca="1">IF(AE69=0,0,(AE69/AE$90))</f>
        <v>0.9281166612049998</v>
      </c>
      <c r="AB69" s="350" t="s">
        <v>62</v>
      </c>
      <c r="AC69" s="269" t="s">
        <v>62</v>
      </c>
      <c r="AD69" s="351">
        <f t="shared" ref="AD69:AE89" si="37">SUMIF($G$31:$G$53,$R69,AD$31:AD$63)</f>
        <v>528</v>
      </c>
      <c r="AE69" s="352">
        <f t="shared" ca="1" si="37"/>
        <v>44409.119999999995</v>
      </c>
      <c r="AF69" s="6" t="str">
        <f t="shared" ref="AF69:AF89" si="38">R69</f>
        <v>ManTech</v>
      </c>
      <c r="AG69" s="60"/>
      <c r="AH69" s="60"/>
      <c r="AI69" s="60"/>
      <c r="AJ69" s="60"/>
      <c r="AK69" s="60"/>
      <c r="AL69" s="60"/>
      <c r="AM69" s="60"/>
      <c r="AN69" s="60"/>
      <c r="AO69" s="60"/>
      <c r="AP69" s="60"/>
      <c r="AQ69" s="60"/>
      <c r="AR69" s="60"/>
      <c r="AS69" s="60"/>
      <c r="AT69" s="60"/>
      <c r="AU69" s="60"/>
      <c r="AV69" s="324"/>
      <c r="AW69" s="325"/>
      <c r="AZ69" s="251" t="str">
        <f t="shared" si="32"/>
        <v>1</v>
      </c>
      <c r="BA69" s="251" t="str">
        <f t="shared" ca="1" si="33"/>
        <v>1</v>
      </c>
    </row>
    <row r="70" spans="5:53">
      <c r="M70" s="11"/>
      <c r="O70" s="8"/>
      <c r="P70" s="8"/>
      <c r="R70" s="347" t="str">
        <f>InputSheet!C149</f>
        <v>Segovia, Inc.</v>
      </c>
      <c r="S70" s="1161"/>
      <c r="T70" s="1161"/>
      <c r="U70" s="8"/>
      <c r="V70" s="8"/>
      <c r="W70" s="8"/>
      <c r="X70" s="8"/>
      <c r="Y70" s="8"/>
      <c r="Z70" s="348">
        <f t="shared" ref="Z70:AA89" si="39">IF(AD70=0,0,(AD70/AD$90))</f>
        <v>7.5187969924812026E-3</v>
      </c>
      <c r="AA70" s="349">
        <f t="shared" ca="1" si="39"/>
        <v>7.1883338795000251E-2</v>
      </c>
      <c r="AB70" s="348">
        <f>IF(AD70=0,0,(AD70/(AD$90-AD$69)))</f>
        <v>1</v>
      </c>
      <c r="AC70" s="353">
        <f ca="1">IF(AE70=0,0,(AE70/(AE$90-AE$69)))</f>
        <v>1.0000000000000009</v>
      </c>
      <c r="AD70" s="351">
        <f t="shared" si="37"/>
        <v>4</v>
      </c>
      <c r="AE70" s="352">
        <f t="shared" ca="1" si="37"/>
        <v>3439.52</v>
      </c>
      <c r="AF70" s="6" t="str">
        <f t="shared" si="38"/>
        <v>Segovia, Inc.</v>
      </c>
      <c r="AG70" s="60"/>
      <c r="AH70" s="60"/>
      <c r="AI70" s="60"/>
      <c r="AJ70" s="60"/>
      <c r="AK70" s="60"/>
      <c r="AL70" s="60"/>
      <c r="AM70" s="60"/>
      <c r="AN70" s="60"/>
      <c r="AO70" s="60"/>
      <c r="AP70" s="60"/>
      <c r="AQ70" s="60"/>
      <c r="AR70" s="60"/>
      <c r="AS70" s="60"/>
      <c r="AT70" s="60"/>
      <c r="AU70" s="60"/>
      <c r="AV70" s="324"/>
      <c r="AW70" s="325"/>
      <c r="AZ70" s="251" t="str">
        <f t="shared" ca="1" si="32"/>
        <v>1</v>
      </c>
      <c r="BA70" s="251" t="str">
        <f t="shared" ca="1" si="33"/>
        <v>1</v>
      </c>
    </row>
    <row r="71" spans="5:53">
      <c r="M71" s="11"/>
      <c r="O71" s="8"/>
      <c r="P71" s="8"/>
      <c r="R71" s="347" t="str">
        <f>InputSheet!C150</f>
        <v>Briggs and Sons</v>
      </c>
      <c r="S71" s="1161"/>
      <c r="T71" s="1161"/>
      <c r="U71" s="8"/>
      <c r="V71" s="8"/>
      <c r="W71" s="8"/>
      <c r="X71" s="8"/>
      <c r="Y71" s="8"/>
      <c r="Z71" s="348">
        <f t="shared" si="39"/>
        <v>0</v>
      </c>
      <c r="AA71" s="349">
        <f t="shared" si="39"/>
        <v>0</v>
      </c>
      <c r="AB71" s="348">
        <f t="shared" ref="AB71:AC89" si="40">IF(AD71=0,0,(AD71/(AD$90-AD$69)))</f>
        <v>0</v>
      </c>
      <c r="AC71" s="353">
        <f t="shared" si="40"/>
        <v>0</v>
      </c>
      <c r="AD71" s="351">
        <f t="shared" si="37"/>
        <v>0</v>
      </c>
      <c r="AE71" s="352">
        <f t="shared" si="37"/>
        <v>0</v>
      </c>
      <c r="AF71" s="6" t="str">
        <f t="shared" si="38"/>
        <v>Briggs and Sons</v>
      </c>
      <c r="AG71" s="60"/>
      <c r="AH71" s="60"/>
      <c r="AI71" s="60"/>
      <c r="AJ71" s="60"/>
      <c r="AK71" s="60"/>
      <c r="AL71" s="60"/>
      <c r="AM71" s="60"/>
      <c r="AN71" s="60"/>
      <c r="AO71" s="60"/>
      <c r="AP71" s="60"/>
      <c r="AQ71" s="60"/>
      <c r="AR71" s="60"/>
      <c r="AS71" s="60"/>
      <c r="AT71" s="60"/>
      <c r="AU71" s="60"/>
      <c r="AV71" s="324"/>
      <c r="AW71" s="325"/>
      <c r="AZ71" s="251" t="str">
        <f t="shared" si="32"/>
        <v>0</v>
      </c>
      <c r="BA71" s="251" t="str">
        <f t="shared" si="33"/>
        <v>0</v>
      </c>
    </row>
    <row r="72" spans="5:53">
      <c r="M72" s="11"/>
      <c r="O72" s="8"/>
      <c r="P72" s="8"/>
      <c r="R72" s="347" t="str">
        <f>InputSheet!C151</f>
        <v>Yvan</v>
      </c>
      <c r="S72" s="1161"/>
      <c r="T72" s="1161"/>
      <c r="U72" s="8"/>
      <c r="V72" s="8"/>
      <c r="W72" s="8"/>
      <c r="X72" s="8"/>
      <c r="Y72" s="8"/>
      <c r="Z72" s="348">
        <f t="shared" si="39"/>
        <v>0</v>
      </c>
      <c r="AA72" s="349">
        <f t="shared" ca="1" si="39"/>
        <v>0</v>
      </c>
      <c r="AB72" s="348">
        <f t="shared" si="40"/>
        <v>0</v>
      </c>
      <c r="AC72" s="353">
        <f t="shared" ca="1" si="40"/>
        <v>0</v>
      </c>
      <c r="AD72" s="351">
        <f t="shared" si="37"/>
        <v>0</v>
      </c>
      <c r="AE72" s="352">
        <f t="shared" ca="1" si="37"/>
        <v>0</v>
      </c>
      <c r="AF72" s="6" t="str">
        <f t="shared" si="38"/>
        <v>Yvan</v>
      </c>
      <c r="AG72" s="60"/>
      <c r="AH72" s="60"/>
      <c r="AI72" s="60"/>
      <c r="AJ72" s="60"/>
      <c r="AK72" s="60"/>
      <c r="AL72" s="60"/>
      <c r="AM72" s="60"/>
      <c r="AN72" s="60"/>
      <c r="AO72" s="60"/>
      <c r="AP72" s="60"/>
      <c r="AQ72" s="60"/>
      <c r="AR72" s="60"/>
      <c r="AS72" s="60"/>
      <c r="AT72" s="60"/>
      <c r="AU72" s="60"/>
      <c r="AV72" s="324"/>
      <c r="AW72" s="325"/>
      <c r="AZ72" s="251" t="str">
        <f t="shared" ca="1" si="32"/>
        <v>0</v>
      </c>
      <c r="BA72" s="251" t="str">
        <f t="shared" ca="1" si="33"/>
        <v>0</v>
      </c>
    </row>
    <row r="73" spans="5:53">
      <c r="O73" s="8"/>
      <c r="P73" s="8"/>
      <c r="R73" s="347" t="str">
        <f>InputSheet!C152</f>
        <v>Sub 4</v>
      </c>
      <c r="S73" s="1161"/>
      <c r="T73" s="1161"/>
      <c r="U73" s="8"/>
      <c r="V73" s="8"/>
      <c r="W73" s="8"/>
      <c r="X73" s="8"/>
      <c r="Y73" s="8"/>
      <c r="Z73" s="348">
        <f t="shared" si="39"/>
        <v>0</v>
      </c>
      <c r="AA73" s="349">
        <f t="shared" si="39"/>
        <v>0</v>
      </c>
      <c r="AB73" s="348">
        <f t="shared" si="40"/>
        <v>0</v>
      </c>
      <c r="AC73" s="353">
        <f t="shared" si="40"/>
        <v>0</v>
      </c>
      <c r="AD73" s="351">
        <f t="shared" si="37"/>
        <v>0</v>
      </c>
      <c r="AE73" s="352">
        <f t="shared" si="37"/>
        <v>0</v>
      </c>
      <c r="AF73" s="6" t="str">
        <f t="shared" si="38"/>
        <v>Sub 4</v>
      </c>
      <c r="AG73" s="60"/>
      <c r="AH73" s="60"/>
      <c r="AI73" s="60"/>
      <c r="AJ73" s="60"/>
      <c r="AK73" s="60"/>
      <c r="AL73" s="60"/>
      <c r="AM73" s="60"/>
      <c r="AN73" s="60"/>
      <c r="AO73" s="60"/>
      <c r="AP73" s="60"/>
      <c r="AQ73" s="60"/>
      <c r="AR73" s="60"/>
      <c r="AS73" s="60"/>
      <c r="AT73" s="60"/>
      <c r="AU73" s="60"/>
      <c r="AV73" s="324"/>
      <c r="AW73" s="325"/>
      <c r="AZ73" s="251" t="str">
        <f t="shared" si="32"/>
        <v>0</v>
      </c>
      <c r="BA73" s="251" t="str">
        <f t="shared" si="33"/>
        <v>0</v>
      </c>
    </row>
    <row r="74" spans="5:53">
      <c r="O74" s="8"/>
      <c r="P74" s="8"/>
      <c r="R74" s="347" t="str">
        <f>InputSheet!C153</f>
        <v>Sub 5</v>
      </c>
      <c r="S74" s="1161"/>
      <c r="T74" s="1161"/>
      <c r="U74" s="8"/>
      <c r="V74" s="8"/>
      <c r="W74" s="8"/>
      <c r="X74" s="8"/>
      <c r="Y74" s="8"/>
      <c r="Z74" s="348">
        <f t="shared" si="39"/>
        <v>0</v>
      </c>
      <c r="AA74" s="349">
        <f t="shared" si="39"/>
        <v>0</v>
      </c>
      <c r="AB74" s="348">
        <f t="shared" si="40"/>
        <v>0</v>
      </c>
      <c r="AC74" s="353">
        <f t="shared" si="40"/>
        <v>0</v>
      </c>
      <c r="AD74" s="351">
        <f t="shared" si="37"/>
        <v>0</v>
      </c>
      <c r="AE74" s="352">
        <f t="shared" si="37"/>
        <v>0</v>
      </c>
      <c r="AF74" s="6" t="str">
        <f t="shared" si="38"/>
        <v>Sub 5</v>
      </c>
      <c r="AG74" s="60"/>
      <c r="AH74" s="60"/>
      <c r="AI74" s="60"/>
      <c r="AJ74" s="60"/>
      <c r="AK74" s="60"/>
      <c r="AL74" s="60"/>
      <c r="AM74" s="60"/>
      <c r="AN74" s="60"/>
      <c r="AO74" s="60"/>
      <c r="AP74" s="60"/>
      <c r="AQ74" s="60"/>
      <c r="AR74" s="60"/>
      <c r="AS74" s="60"/>
      <c r="AT74" s="60"/>
      <c r="AU74" s="60"/>
      <c r="AV74" s="324"/>
      <c r="AW74" s="325"/>
      <c r="AZ74" s="251" t="str">
        <f t="shared" si="32"/>
        <v>0</v>
      </c>
      <c r="BA74" s="251" t="str">
        <f t="shared" si="33"/>
        <v>0</v>
      </c>
    </row>
    <row r="75" spans="5:53">
      <c r="O75" s="8"/>
      <c r="P75" s="8"/>
      <c r="R75" s="347" t="str">
        <f>InputSheet!C154</f>
        <v>Sub 6</v>
      </c>
      <c r="S75" s="1161"/>
      <c r="T75" s="1161"/>
      <c r="U75" s="8"/>
      <c r="V75" s="8"/>
      <c r="W75" s="8"/>
      <c r="X75" s="8"/>
      <c r="Y75" s="8"/>
      <c r="Z75" s="348">
        <f t="shared" si="39"/>
        <v>0</v>
      </c>
      <c r="AA75" s="349">
        <f t="shared" si="39"/>
        <v>0</v>
      </c>
      <c r="AB75" s="348">
        <f t="shared" si="40"/>
        <v>0</v>
      </c>
      <c r="AC75" s="353">
        <f t="shared" si="40"/>
        <v>0</v>
      </c>
      <c r="AD75" s="351">
        <f t="shared" si="37"/>
        <v>0</v>
      </c>
      <c r="AE75" s="352">
        <f t="shared" si="37"/>
        <v>0</v>
      </c>
      <c r="AF75" s="6" t="str">
        <f t="shared" si="38"/>
        <v>Sub 6</v>
      </c>
      <c r="AG75" s="60"/>
      <c r="AH75" s="60"/>
      <c r="AI75" s="60"/>
      <c r="AJ75" s="60"/>
      <c r="AK75" s="60"/>
      <c r="AL75" s="60"/>
      <c r="AM75" s="60"/>
      <c r="AN75" s="60"/>
      <c r="AO75" s="60"/>
      <c r="AP75" s="60"/>
      <c r="AQ75" s="60"/>
      <c r="AR75" s="60"/>
      <c r="AS75" s="60"/>
      <c r="AT75" s="60"/>
      <c r="AU75" s="60"/>
      <c r="AV75" s="324"/>
      <c r="AW75" s="325"/>
      <c r="AZ75" s="251" t="str">
        <f t="shared" si="32"/>
        <v>0</v>
      </c>
      <c r="BA75" s="251" t="str">
        <f t="shared" si="33"/>
        <v>0</v>
      </c>
    </row>
    <row r="76" spans="5:53">
      <c r="O76" s="8"/>
      <c r="P76" s="8"/>
      <c r="R76" s="347" t="str">
        <f>InputSheet!C155</f>
        <v>Sub 7</v>
      </c>
      <c r="S76" s="1161"/>
      <c r="T76" s="1161"/>
      <c r="U76" s="8"/>
      <c r="V76" s="8"/>
      <c r="W76" s="8"/>
      <c r="X76" s="8"/>
      <c r="Y76" s="8"/>
      <c r="Z76" s="348">
        <f t="shared" si="39"/>
        <v>0</v>
      </c>
      <c r="AA76" s="349">
        <f t="shared" si="39"/>
        <v>0</v>
      </c>
      <c r="AB76" s="348">
        <f t="shared" si="40"/>
        <v>0</v>
      </c>
      <c r="AC76" s="353">
        <f t="shared" si="40"/>
        <v>0</v>
      </c>
      <c r="AD76" s="351">
        <f t="shared" si="37"/>
        <v>0</v>
      </c>
      <c r="AE76" s="352">
        <f t="shared" si="37"/>
        <v>0</v>
      </c>
      <c r="AF76" s="6" t="str">
        <f t="shared" si="38"/>
        <v>Sub 7</v>
      </c>
      <c r="AG76" s="60"/>
      <c r="AH76" s="60"/>
      <c r="AI76" s="60"/>
      <c r="AJ76" s="60"/>
      <c r="AK76" s="60"/>
      <c r="AL76" s="60"/>
      <c r="AM76" s="60"/>
      <c r="AN76" s="60"/>
      <c r="AO76" s="60"/>
      <c r="AP76" s="60"/>
      <c r="AQ76" s="60"/>
      <c r="AR76" s="60"/>
      <c r="AS76" s="60"/>
      <c r="AT76" s="60"/>
      <c r="AU76" s="60"/>
      <c r="AV76" s="324"/>
      <c r="AW76" s="325"/>
      <c r="AZ76" s="251" t="str">
        <f t="shared" si="32"/>
        <v>0</v>
      </c>
      <c r="BA76" s="251" t="str">
        <f t="shared" si="33"/>
        <v>0</v>
      </c>
    </row>
    <row r="77" spans="5:53">
      <c r="O77" s="8"/>
      <c r="P77" s="8"/>
      <c r="R77" s="347" t="str">
        <f>InputSheet!C156</f>
        <v>Sub 8</v>
      </c>
      <c r="S77" s="1161"/>
      <c r="T77" s="1161"/>
      <c r="U77" s="8"/>
      <c r="V77" s="8"/>
      <c r="W77" s="8"/>
      <c r="X77" s="8"/>
      <c r="Y77" s="8"/>
      <c r="Z77" s="348">
        <f t="shared" si="39"/>
        <v>0</v>
      </c>
      <c r="AA77" s="349">
        <f t="shared" si="39"/>
        <v>0</v>
      </c>
      <c r="AB77" s="348">
        <f t="shared" si="40"/>
        <v>0</v>
      </c>
      <c r="AC77" s="353">
        <f t="shared" si="40"/>
        <v>0</v>
      </c>
      <c r="AD77" s="351">
        <f t="shared" si="37"/>
        <v>0</v>
      </c>
      <c r="AE77" s="352">
        <f t="shared" si="37"/>
        <v>0</v>
      </c>
      <c r="AF77" s="6" t="str">
        <f t="shared" si="38"/>
        <v>Sub 8</v>
      </c>
      <c r="AG77" s="60"/>
      <c r="AH77" s="60"/>
      <c r="AI77" s="60"/>
      <c r="AJ77" s="60"/>
      <c r="AK77" s="60"/>
      <c r="AL77" s="60"/>
      <c r="AM77" s="60"/>
      <c r="AN77" s="60"/>
      <c r="AO77" s="60"/>
      <c r="AP77" s="60"/>
      <c r="AQ77" s="60"/>
      <c r="AR77" s="60"/>
      <c r="AS77" s="60"/>
      <c r="AT77" s="60"/>
      <c r="AU77" s="60"/>
      <c r="AV77" s="324"/>
      <c r="AW77" s="325"/>
      <c r="AZ77" s="251" t="str">
        <f t="shared" si="32"/>
        <v>0</v>
      </c>
      <c r="BA77" s="251" t="str">
        <f t="shared" si="33"/>
        <v>0</v>
      </c>
    </row>
    <row r="78" spans="5:53">
      <c r="O78" s="8"/>
      <c r="P78" s="8"/>
      <c r="R78" s="347" t="str">
        <f>InputSheet!C157</f>
        <v>Sub 9</v>
      </c>
      <c r="S78" s="1161"/>
      <c r="T78" s="1161"/>
      <c r="U78" s="8"/>
      <c r="V78" s="8"/>
      <c r="W78" s="8"/>
      <c r="X78" s="8"/>
      <c r="Y78" s="8"/>
      <c r="Z78" s="348">
        <f t="shared" si="39"/>
        <v>0</v>
      </c>
      <c r="AA78" s="349">
        <f t="shared" si="39"/>
        <v>0</v>
      </c>
      <c r="AB78" s="348">
        <f t="shared" si="40"/>
        <v>0</v>
      </c>
      <c r="AC78" s="353">
        <f t="shared" si="40"/>
        <v>0</v>
      </c>
      <c r="AD78" s="351">
        <f t="shared" si="37"/>
        <v>0</v>
      </c>
      <c r="AE78" s="352">
        <f t="shared" si="37"/>
        <v>0</v>
      </c>
      <c r="AF78" s="6" t="str">
        <f t="shared" si="38"/>
        <v>Sub 9</v>
      </c>
      <c r="AG78" s="60"/>
      <c r="AH78" s="60"/>
      <c r="AI78" s="60"/>
      <c r="AJ78" s="60"/>
      <c r="AK78" s="60"/>
      <c r="AL78" s="60"/>
      <c r="AM78" s="60"/>
      <c r="AN78" s="60"/>
      <c r="AO78" s="60"/>
      <c r="AP78" s="60"/>
      <c r="AQ78" s="60"/>
      <c r="AR78" s="60"/>
      <c r="AS78" s="60"/>
      <c r="AT78" s="60"/>
      <c r="AU78" s="60"/>
      <c r="AV78" s="324"/>
      <c r="AW78" s="325"/>
      <c r="AZ78" s="251" t="str">
        <f t="shared" si="32"/>
        <v>0</v>
      </c>
      <c r="BA78" s="251" t="str">
        <f t="shared" si="33"/>
        <v>0</v>
      </c>
    </row>
    <row r="79" spans="5:53">
      <c r="O79" s="8"/>
      <c r="P79" s="8"/>
      <c r="R79" s="347" t="str">
        <f>InputSheet!C158</f>
        <v>Sub 10</v>
      </c>
      <c r="S79" s="1161"/>
      <c r="T79" s="1161"/>
      <c r="U79" s="8"/>
      <c r="V79" s="8"/>
      <c r="W79" s="8"/>
      <c r="X79" s="8"/>
      <c r="Y79" s="8"/>
      <c r="Z79" s="348">
        <f t="shared" si="39"/>
        <v>0</v>
      </c>
      <c r="AA79" s="349">
        <f t="shared" si="39"/>
        <v>0</v>
      </c>
      <c r="AB79" s="348">
        <f t="shared" si="40"/>
        <v>0</v>
      </c>
      <c r="AC79" s="353">
        <f t="shared" si="40"/>
        <v>0</v>
      </c>
      <c r="AD79" s="351">
        <f t="shared" si="37"/>
        <v>0</v>
      </c>
      <c r="AE79" s="352">
        <f t="shared" si="37"/>
        <v>0</v>
      </c>
      <c r="AF79" s="6" t="str">
        <f t="shared" si="38"/>
        <v>Sub 10</v>
      </c>
      <c r="AG79" s="60"/>
      <c r="AH79" s="60"/>
      <c r="AI79" s="60"/>
      <c r="AJ79" s="60"/>
      <c r="AK79" s="60"/>
      <c r="AL79" s="60"/>
      <c r="AM79" s="60"/>
      <c r="AN79" s="60"/>
      <c r="AO79" s="60"/>
      <c r="AP79" s="60"/>
      <c r="AQ79" s="60"/>
      <c r="AR79" s="60"/>
      <c r="AS79" s="60"/>
      <c r="AT79" s="60"/>
      <c r="AU79" s="60"/>
      <c r="AV79" s="324"/>
      <c r="AW79" s="325"/>
      <c r="AZ79" s="251" t="str">
        <f t="shared" si="32"/>
        <v>0</v>
      </c>
      <c r="BA79" s="251" t="str">
        <f t="shared" si="33"/>
        <v>0</v>
      </c>
    </row>
    <row r="80" spans="5:53">
      <c r="O80" s="8"/>
      <c r="P80" s="8"/>
      <c r="R80" s="347" t="str">
        <f>InputSheet!C159</f>
        <v>Sub 11</v>
      </c>
      <c r="S80" s="1161"/>
      <c r="T80" s="1161"/>
      <c r="U80" s="8"/>
      <c r="V80" s="8"/>
      <c r="W80" s="8"/>
      <c r="X80" s="8"/>
      <c r="Y80" s="8"/>
      <c r="Z80" s="348">
        <f t="shared" si="39"/>
        <v>0</v>
      </c>
      <c r="AA80" s="349">
        <f t="shared" si="39"/>
        <v>0</v>
      </c>
      <c r="AB80" s="348">
        <f t="shared" si="40"/>
        <v>0</v>
      </c>
      <c r="AC80" s="353">
        <f t="shared" si="40"/>
        <v>0</v>
      </c>
      <c r="AD80" s="351">
        <f t="shared" si="37"/>
        <v>0</v>
      </c>
      <c r="AE80" s="352">
        <f t="shared" si="37"/>
        <v>0</v>
      </c>
      <c r="AF80" s="6" t="str">
        <f t="shared" si="38"/>
        <v>Sub 11</v>
      </c>
      <c r="AG80" s="60"/>
      <c r="AH80" s="60"/>
      <c r="AI80" s="60"/>
      <c r="AJ80" s="60"/>
      <c r="AK80" s="60"/>
      <c r="AL80" s="60"/>
      <c r="AM80" s="60"/>
      <c r="AN80" s="60"/>
      <c r="AO80" s="60"/>
      <c r="AP80" s="60"/>
      <c r="AQ80" s="60"/>
      <c r="AR80" s="60"/>
      <c r="AS80" s="60"/>
      <c r="AT80" s="60"/>
      <c r="AU80" s="60"/>
      <c r="AV80" s="324"/>
      <c r="AW80" s="325"/>
      <c r="AZ80" s="251" t="str">
        <f t="shared" si="32"/>
        <v>0</v>
      </c>
      <c r="BA80" s="251" t="str">
        <f t="shared" si="33"/>
        <v>0</v>
      </c>
    </row>
    <row r="81" spans="15:53">
      <c r="O81" s="8"/>
      <c r="P81" s="8"/>
      <c r="R81" s="347" t="str">
        <f>InputSheet!C160</f>
        <v>Sub 12</v>
      </c>
      <c r="S81" s="1161"/>
      <c r="T81" s="1161"/>
      <c r="U81" s="8"/>
      <c r="V81" s="8"/>
      <c r="W81" s="8"/>
      <c r="X81" s="8"/>
      <c r="Y81" s="8"/>
      <c r="Z81" s="348">
        <f t="shared" si="39"/>
        <v>0</v>
      </c>
      <c r="AA81" s="349">
        <f t="shared" si="39"/>
        <v>0</v>
      </c>
      <c r="AB81" s="348">
        <f t="shared" si="40"/>
        <v>0</v>
      </c>
      <c r="AC81" s="353">
        <f t="shared" si="40"/>
        <v>0</v>
      </c>
      <c r="AD81" s="351">
        <f t="shared" si="37"/>
        <v>0</v>
      </c>
      <c r="AE81" s="352">
        <f t="shared" si="37"/>
        <v>0</v>
      </c>
      <c r="AF81" s="6" t="str">
        <f t="shared" si="38"/>
        <v>Sub 12</v>
      </c>
      <c r="AG81" s="60"/>
      <c r="AH81" s="60"/>
      <c r="AI81" s="60"/>
      <c r="AJ81" s="60"/>
      <c r="AK81" s="60"/>
      <c r="AL81" s="60"/>
      <c r="AM81" s="60"/>
      <c r="AN81" s="60"/>
      <c r="AO81" s="60"/>
      <c r="AP81" s="60"/>
      <c r="AQ81" s="60"/>
      <c r="AR81" s="60"/>
      <c r="AS81" s="60"/>
      <c r="AT81" s="60"/>
      <c r="AU81" s="60"/>
      <c r="AV81" s="324"/>
      <c r="AW81" s="325"/>
      <c r="AZ81" s="251" t="str">
        <f t="shared" si="32"/>
        <v>0</v>
      </c>
      <c r="BA81" s="251" t="str">
        <f t="shared" si="33"/>
        <v>0</v>
      </c>
    </row>
    <row r="82" spans="15:53">
      <c r="O82" s="8"/>
      <c r="P82" s="8"/>
      <c r="R82" s="347" t="str">
        <f>InputSheet!C161</f>
        <v>Sub 13</v>
      </c>
      <c r="S82" s="1161"/>
      <c r="T82" s="1161"/>
      <c r="U82" s="8"/>
      <c r="V82" s="8"/>
      <c r="W82" s="8"/>
      <c r="X82" s="8"/>
      <c r="Y82" s="8"/>
      <c r="Z82" s="348">
        <f t="shared" si="39"/>
        <v>0</v>
      </c>
      <c r="AA82" s="349">
        <f t="shared" si="39"/>
        <v>0</v>
      </c>
      <c r="AB82" s="348">
        <f t="shared" si="40"/>
        <v>0</v>
      </c>
      <c r="AC82" s="353">
        <f t="shared" si="40"/>
        <v>0</v>
      </c>
      <c r="AD82" s="351">
        <f t="shared" si="37"/>
        <v>0</v>
      </c>
      <c r="AE82" s="352">
        <f t="shared" si="37"/>
        <v>0</v>
      </c>
      <c r="AF82" s="6" t="str">
        <f t="shared" si="38"/>
        <v>Sub 13</v>
      </c>
      <c r="AG82" s="60"/>
      <c r="AH82" s="60"/>
      <c r="AI82" s="60"/>
      <c r="AJ82" s="60"/>
      <c r="AK82" s="60"/>
      <c r="AL82" s="60"/>
      <c r="AM82" s="60"/>
      <c r="AN82" s="60"/>
      <c r="AO82" s="60"/>
      <c r="AP82" s="60"/>
      <c r="AQ82" s="60"/>
      <c r="AR82" s="60"/>
      <c r="AS82" s="60"/>
      <c r="AT82" s="60"/>
      <c r="AU82" s="60"/>
      <c r="AV82" s="324"/>
      <c r="AW82" s="325"/>
      <c r="AZ82" s="251" t="str">
        <f t="shared" si="32"/>
        <v>0</v>
      </c>
      <c r="BA82" s="251" t="str">
        <f t="shared" si="33"/>
        <v>0</v>
      </c>
    </row>
    <row r="83" spans="15:53">
      <c r="O83" s="8"/>
      <c r="P83" s="8"/>
      <c r="R83" s="347" t="str">
        <f>InputSheet!C162</f>
        <v>Sub 14</v>
      </c>
      <c r="S83" s="1161"/>
      <c r="T83" s="1161"/>
      <c r="U83" s="8"/>
      <c r="V83" s="8"/>
      <c r="W83" s="8"/>
      <c r="X83" s="8"/>
      <c r="Y83" s="8"/>
      <c r="Z83" s="348">
        <f t="shared" si="39"/>
        <v>0</v>
      </c>
      <c r="AA83" s="349">
        <f t="shared" si="39"/>
        <v>0</v>
      </c>
      <c r="AB83" s="348">
        <f t="shared" si="40"/>
        <v>0</v>
      </c>
      <c r="AC83" s="353">
        <f t="shared" si="40"/>
        <v>0</v>
      </c>
      <c r="AD83" s="351">
        <f t="shared" si="37"/>
        <v>0</v>
      </c>
      <c r="AE83" s="352">
        <f t="shared" si="37"/>
        <v>0</v>
      </c>
      <c r="AF83" s="6" t="str">
        <f t="shared" si="38"/>
        <v>Sub 14</v>
      </c>
      <c r="AG83" s="60"/>
      <c r="AH83" s="60"/>
      <c r="AI83" s="60"/>
      <c r="AJ83" s="60"/>
      <c r="AK83" s="60"/>
      <c r="AL83" s="60"/>
      <c r="AM83" s="60"/>
      <c r="AN83" s="60"/>
      <c r="AO83" s="60"/>
      <c r="AP83" s="60"/>
      <c r="AQ83" s="60"/>
      <c r="AR83" s="60"/>
      <c r="AS83" s="60"/>
      <c r="AT83" s="60"/>
      <c r="AU83" s="60"/>
      <c r="AV83" s="324"/>
      <c r="AW83" s="325"/>
      <c r="AZ83" s="251" t="str">
        <f t="shared" si="32"/>
        <v>0</v>
      </c>
      <c r="BA83" s="251" t="str">
        <f t="shared" si="33"/>
        <v>0</v>
      </c>
    </row>
    <row r="84" spans="15:53">
      <c r="O84" s="8"/>
      <c r="P84" s="8"/>
      <c r="R84" s="347" t="str">
        <f>InputSheet!C163</f>
        <v>Sub 15</v>
      </c>
      <c r="S84" s="1161"/>
      <c r="T84" s="1161"/>
      <c r="U84" s="8"/>
      <c r="V84" s="8"/>
      <c r="W84" s="8"/>
      <c r="X84" s="8"/>
      <c r="Y84" s="8"/>
      <c r="Z84" s="348">
        <f t="shared" si="39"/>
        <v>0</v>
      </c>
      <c r="AA84" s="349">
        <f t="shared" si="39"/>
        <v>0</v>
      </c>
      <c r="AB84" s="348">
        <f t="shared" si="40"/>
        <v>0</v>
      </c>
      <c r="AC84" s="353">
        <f t="shared" si="40"/>
        <v>0</v>
      </c>
      <c r="AD84" s="351">
        <f t="shared" si="37"/>
        <v>0</v>
      </c>
      <c r="AE84" s="352">
        <f t="shared" si="37"/>
        <v>0</v>
      </c>
      <c r="AF84" s="6" t="str">
        <f t="shared" si="38"/>
        <v>Sub 15</v>
      </c>
      <c r="AG84" s="60"/>
      <c r="AH84" s="60"/>
      <c r="AI84" s="60"/>
      <c r="AJ84" s="60"/>
      <c r="AK84" s="60"/>
      <c r="AL84" s="60"/>
      <c r="AM84" s="60"/>
      <c r="AN84" s="60"/>
      <c r="AO84" s="60"/>
      <c r="AP84" s="60"/>
      <c r="AQ84" s="60"/>
      <c r="AR84" s="60"/>
      <c r="AS84" s="60"/>
      <c r="AT84" s="60"/>
      <c r="AU84" s="60"/>
      <c r="AV84" s="324"/>
      <c r="AW84" s="325"/>
      <c r="AZ84" s="251" t="str">
        <f t="shared" si="32"/>
        <v>0</v>
      </c>
      <c r="BA84" s="251" t="str">
        <f t="shared" si="33"/>
        <v>0</v>
      </c>
    </row>
    <row r="85" spans="15:53">
      <c r="O85" s="8"/>
      <c r="P85" s="8"/>
      <c r="R85" s="347" t="str">
        <f>InputSheet!C164</f>
        <v>Sub 16</v>
      </c>
      <c r="S85" s="1161"/>
      <c r="T85" s="1161"/>
      <c r="U85" s="8"/>
      <c r="V85" s="8"/>
      <c r="W85" s="8"/>
      <c r="X85" s="8"/>
      <c r="Y85" s="8"/>
      <c r="Z85" s="348">
        <f t="shared" si="39"/>
        <v>0</v>
      </c>
      <c r="AA85" s="349">
        <f t="shared" si="39"/>
        <v>0</v>
      </c>
      <c r="AB85" s="348">
        <f t="shared" si="40"/>
        <v>0</v>
      </c>
      <c r="AC85" s="353">
        <f t="shared" si="40"/>
        <v>0</v>
      </c>
      <c r="AD85" s="351">
        <f t="shared" si="37"/>
        <v>0</v>
      </c>
      <c r="AE85" s="352">
        <f t="shared" si="37"/>
        <v>0</v>
      </c>
      <c r="AF85" s="6" t="str">
        <f t="shared" si="38"/>
        <v>Sub 16</v>
      </c>
      <c r="AG85" s="60"/>
      <c r="AH85" s="60"/>
      <c r="AI85" s="60"/>
      <c r="AJ85" s="60"/>
      <c r="AK85" s="60"/>
      <c r="AL85" s="60"/>
      <c r="AM85" s="60"/>
      <c r="AN85" s="60"/>
      <c r="AO85" s="60"/>
      <c r="AP85" s="60"/>
      <c r="AQ85" s="60"/>
      <c r="AR85" s="60"/>
      <c r="AS85" s="60"/>
      <c r="AT85" s="60"/>
      <c r="AU85" s="60"/>
      <c r="AV85" s="324"/>
      <c r="AW85" s="325"/>
      <c r="AZ85" s="251" t="str">
        <f t="shared" si="32"/>
        <v>0</v>
      </c>
      <c r="BA85" s="251" t="str">
        <f t="shared" si="33"/>
        <v>0</v>
      </c>
    </row>
    <row r="86" spans="15:53">
      <c r="O86" s="8"/>
      <c r="P86" s="8"/>
      <c r="R86" s="347" t="str">
        <f>InputSheet!C165</f>
        <v>Sub 17</v>
      </c>
      <c r="S86" s="1161"/>
      <c r="T86" s="1161"/>
      <c r="U86" s="8"/>
      <c r="V86" s="8"/>
      <c r="W86" s="8"/>
      <c r="X86" s="8"/>
      <c r="Y86" s="8"/>
      <c r="Z86" s="348">
        <f t="shared" si="39"/>
        <v>0</v>
      </c>
      <c r="AA86" s="349">
        <f t="shared" si="39"/>
        <v>0</v>
      </c>
      <c r="AB86" s="348">
        <f t="shared" si="40"/>
        <v>0</v>
      </c>
      <c r="AC86" s="353">
        <f t="shared" si="40"/>
        <v>0</v>
      </c>
      <c r="AD86" s="351">
        <f t="shared" si="37"/>
        <v>0</v>
      </c>
      <c r="AE86" s="352">
        <f t="shared" si="37"/>
        <v>0</v>
      </c>
      <c r="AF86" s="6" t="str">
        <f t="shared" si="38"/>
        <v>Sub 17</v>
      </c>
      <c r="AG86" s="60"/>
      <c r="AH86" s="60"/>
      <c r="AI86" s="60"/>
      <c r="AJ86" s="60"/>
      <c r="AK86" s="60"/>
      <c r="AL86" s="60"/>
      <c r="AM86" s="60"/>
      <c r="AN86" s="60"/>
      <c r="AO86" s="60"/>
      <c r="AP86" s="60"/>
      <c r="AQ86" s="60"/>
      <c r="AR86" s="60"/>
      <c r="AS86" s="60"/>
      <c r="AT86" s="60"/>
      <c r="AU86" s="60"/>
      <c r="AV86" s="324"/>
      <c r="AW86" s="325"/>
      <c r="AZ86" s="251" t="str">
        <f t="shared" si="32"/>
        <v>0</v>
      </c>
      <c r="BA86" s="251" t="str">
        <f t="shared" si="33"/>
        <v>0</v>
      </c>
    </row>
    <row r="87" spans="15:53">
      <c r="O87" s="8"/>
      <c r="P87" s="8"/>
      <c r="R87" s="347" t="str">
        <f>InputSheet!C166</f>
        <v>Sub 18</v>
      </c>
      <c r="S87" s="1161"/>
      <c r="T87" s="1161"/>
      <c r="U87" s="8"/>
      <c r="V87" s="8"/>
      <c r="W87" s="8"/>
      <c r="X87" s="8"/>
      <c r="Y87" s="8"/>
      <c r="Z87" s="348">
        <f t="shared" si="39"/>
        <v>0</v>
      </c>
      <c r="AA87" s="349">
        <f t="shared" si="39"/>
        <v>0</v>
      </c>
      <c r="AB87" s="348">
        <f t="shared" si="40"/>
        <v>0</v>
      </c>
      <c r="AC87" s="353">
        <f t="shared" si="40"/>
        <v>0</v>
      </c>
      <c r="AD87" s="351">
        <f t="shared" si="37"/>
        <v>0</v>
      </c>
      <c r="AE87" s="352">
        <f t="shared" si="37"/>
        <v>0</v>
      </c>
      <c r="AF87" s="6" t="str">
        <f t="shared" si="38"/>
        <v>Sub 18</v>
      </c>
      <c r="AG87" s="60"/>
      <c r="AH87" s="60"/>
      <c r="AI87" s="60"/>
      <c r="AJ87" s="60"/>
      <c r="AK87" s="60"/>
      <c r="AL87" s="60"/>
      <c r="AM87" s="60"/>
      <c r="AN87" s="60"/>
      <c r="AO87" s="60"/>
      <c r="AP87" s="60"/>
      <c r="AQ87" s="60"/>
      <c r="AR87" s="60"/>
      <c r="AS87" s="60"/>
      <c r="AT87" s="60"/>
      <c r="AU87" s="60"/>
      <c r="AV87" s="324"/>
      <c r="AW87" s="325"/>
      <c r="AZ87" s="251" t="str">
        <f t="shared" si="32"/>
        <v>0</v>
      </c>
      <c r="BA87" s="251" t="str">
        <f t="shared" si="33"/>
        <v>0</v>
      </c>
    </row>
    <row r="88" spans="15:53">
      <c r="O88" s="8"/>
      <c r="P88" s="8"/>
      <c r="R88" s="347" t="str">
        <f>InputSheet!C167</f>
        <v>Sub 19</v>
      </c>
      <c r="S88" s="1161"/>
      <c r="T88" s="1161"/>
      <c r="U88" s="8"/>
      <c r="V88" s="8"/>
      <c r="W88" s="8"/>
      <c r="X88" s="8"/>
      <c r="Y88" s="8"/>
      <c r="Z88" s="348">
        <f t="shared" si="39"/>
        <v>0</v>
      </c>
      <c r="AA88" s="349">
        <f t="shared" si="39"/>
        <v>0</v>
      </c>
      <c r="AB88" s="348">
        <f t="shared" si="40"/>
        <v>0</v>
      </c>
      <c r="AC88" s="353">
        <f t="shared" si="40"/>
        <v>0</v>
      </c>
      <c r="AD88" s="351">
        <f t="shared" si="37"/>
        <v>0</v>
      </c>
      <c r="AE88" s="352">
        <f t="shared" si="37"/>
        <v>0</v>
      </c>
      <c r="AF88" s="6" t="str">
        <f t="shared" si="38"/>
        <v>Sub 19</v>
      </c>
      <c r="AG88" s="60"/>
      <c r="AH88" s="60"/>
      <c r="AI88" s="60"/>
      <c r="AJ88" s="60"/>
      <c r="AK88" s="60"/>
      <c r="AL88" s="60"/>
      <c r="AM88" s="60"/>
      <c r="AN88" s="60"/>
      <c r="AO88" s="60"/>
      <c r="AP88" s="60"/>
      <c r="AQ88" s="60"/>
      <c r="AR88" s="60"/>
      <c r="AS88" s="60"/>
      <c r="AT88" s="60"/>
      <c r="AU88" s="60"/>
      <c r="AV88" s="324"/>
      <c r="AW88" s="325"/>
      <c r="AZ88" s="251" t="str">
        <f t="shared" si="32"/>
        <v>0</v>
      </c>
      <c r="BA88" s="251" t="str">
        <f t="shared" si="33"/>
        <v>0</v>
      </c>
    </row>
    <row r="89" spans="15:53">
      <c r="O89" s="8"/>
      <c r="P89" s="8"/>
      <c r="R89" s="347" t="str">
        <f>InputSheet!C168</f>
        <v>Sub 20</v>
      </c>
      <c r="S89" s="1161"/>
      <c r="T89" s="1161"/>
      <c r="U89" s="8"/>
      <c r="V89" s="8"/>
      <c r="W89" s="8"/>
      <c r="X89" s="8"/>
      <c r="Y89" s="8"/>
      <c r="Z89" s="348">
        <f t="shared" si="39"/>
        <v>0</v>
      </c>
      <c r="AA89" s="349">
        <f t="shared" si="39"/>
        <v>0</v>
      </c>
      <c r="AB89" s="348">
        <f t="shared" si="40"/>
        <v>0</v>
      </c>
      <c r="AC89" s="353">
        <f t="shared" si="40"/>
        <v>0</v>
      </c>
      <c r="AD89" s="351">
        <f t="shared" si="37"/>
        <v>0</v>
      </c>
      <c r="AE89" s="352">
        <f t="shared" si="37"/>
        <v>0</v>
      </c>
      <c r="AF89" s="6" t="str">
        <f t="shared" si="38"/>
        <v>Sub 20</v>
      </c>
      <c r="AG89" s="60"/>
      <c r="AH89" s="60"/>
      <c r="AI89" s="60"/>
      <c r="AJ89" s="60"/>
      <c r="AK89" s="60"/>
      <c r="AL89" s="60"/>
      <c r="AM89" s="60"/>
      <c r="AN89" s="60"/>
      <c r="AO89" s="60"/>
      <c r="AP89" s="60"/>
      <c r="AQ89" s="60"/>
      <c r="AR89" s="60"/>
      <c r="AS89" s="60"/>
      <c r="AT89" s="60"/>
      <c r="AU89" s="60"/>
      <c r="AV89" s="324"/>
      <c r="AW89" s="325"/>
      <c r="AZ89" s="251" t="str">
        <f t="shared" si="32"/>
        <v>0</v>
      </c>
      <c r="BA89" s="251" t="str">
        <f t="shared" si="33"/>
        <v>0</v>
      </c>
    </row>
    <row r="90" spans="15:53" ht="13.5" thickBot="1">
      <c r="O90" s="355"/>
      <c r="P90" s="355"/>
      <c r="R90" s="354" t="s">
        <v>650</v>
      </c>
      <c r="S90" s="355"/>
      <c r="T90" s="355"/>
      <c r="U90" s="355"/>
      <c r="V90" s="355"/>
      <c r="W90" s="355"/>
      <c r="X90" s="355"/>
      <c r="Y90" s="355"/>
      <c r="Z90" s="354"/>
      <c r="AA90" s="356"/>
      <c r="AB90" s="354"/>
      <c r="AC90" s="357"/>
      <c r="AD90" s="358">
        <f>SUM(AD69:AD89)</f>
        <v>532</v>
      </c>
      <c r="AE90" s="359">
        <f ca="1">SUM(AE69:AE89)</f>
        <v>47848.639999999992</v>
      </c>
      <c r="AG90" s="360"/>
      <c r="AH90" s="360"/>
      <c r="AI90" s="360"/>
      <c r="AJ90" s="360"/>
      <c r="AK90" s="360"/>
      <c r="AL90" s="360"/>
      <c r="AM90" s="360"/>
      <c r="AN90" s="360"/>
      <c r="AO90" s="360"/>
      <c r="AP90" s="360"/>
      <c r="AQ90" s="360"/>
      <c r="AR90" s="360"/>
      <c r="AS90" s="360"/>
      <c r="AT90" s="360"/>
      <c r="AU90" s="60"/>
      <c r="AV90" s="324"/>
      <c r="AW90" s="325"/>
      <c r="AZ90" s="251" t="str">
        <f t="shared" si="32"/>
        <v>1</v>
      </c>
      <c r="BA90" s="251" t="str">
        <f t="shared" ca="1" si="33"/>
        <v>1</v>
      </c>
    </row>
    <row r="91" spans="15:53" ht="13.5" thickTop="1">
      <c r="O91" s="327"/>
      <c r="P91" s="327"/>
      <c r="R91" s="361"/>
      <c r="S91" s="327"/>
      <c r="T91" s="327"/>
      <c r="U91" s="327"/>
      <c r="V91" s="327"/>
      <c r="W91" s="327"/>
      <c r="X91" s="327"/>
      <c r="Y91" s="327"/>
      <c r="Z91" s="327"/>
      <c r="AA91" s="327"/>
      <c r="AB91" s="327"/>
      <c r="AC91" s="327"/>
      <c r="AD91" s="327"/>
      <c r="AE91" s="362"/>
      <c r="AZ91" s="251" t="str">
        <f t="shared" si="32"/>
        <v>1</v>
      </c>
      <c r="BA91" s="251" t="str">
        <f t="shared" si="33"/>
        <v>1</v>
      </c>
    </row>
  </sheetData>
  <autoFilter ref="AZ29:BA29"/>
  <mergeCells count="1">
    <mergeCell ref="F2:L2"/>
  </mergeCells>
  <conditionalFormatting sqref="R24:U24">
    <cfRule type="cellIs" dxfId="3" priority="1" stopIfTrue="1" operator="greaterThan">
      <formula>0</formula>
    </cfRule>
  </conditionalFormatting>
  <dataValidations count="2">
    <dataValidation type="list" allowBlank="1" showInputMessage="1" showErrorMessage="1" sqref="G32:G49">
      <formula1>$R$69:$R$89</formula1>
    </dataValidation>
    <dataValidation type="list" allowBlank="1" showInputMessage="1" showErrorMessage="1" sqref="L32:L49">
      <formula1>$L$9:$L$25</formula1>
    </dataValidation>
  </dataValidations>
  <printOptions horizontalCentered="1" verticalCentered="1"/>
  <pageMargins left="0.25" right="0.25" top="0.25" bottom="0.25" header="0.5" footer="0.5"/>
  <pageSetup paperSize="5" scale="45" orientation="landscape" r:id="rId1"/>
  <headerFooter alignWithMargins="0"/>
  <rowBreaks count="1" manualBreakCount="1">
    <brk id="66" min="3" max="25" man="1"/>
  </rowBreaks>
  <legacyDrawing r:id="rId2"/>
</worksheet>
</file>

<file path=xl/worksheets/sheet12.xml><?xml version="1.0" encoding="utf-8"?>
<worksheet xmlns="http://schemas.openxmlformats.org/spreadsheetml/2006/main" xmlns:r="http://schemas.openxmlformats.org/officeDocument/2006/relationships">
  <dimension ref="A5:K14"/>
  <sheetViews>
    <sheetView workbookViewId="0">
      <selection activeCell="E28" sqref="E28"/>
    </sheetView>
  </sheetViews>
  <sheetFormatPr defaultRowHeight="12.75"/>
  <cols>
    <col min="13" max="13" width="9.140625" customWidth="1"/>
  </cols>
  <sheetData>
    <row r="5" spans="1:11">
      <c r="A5" s="1039" t="s">
        <v>973</v>
      </c>
    </row>
    <row r="6" spans="1:11">
      <c r="A6" s="1039" t="s">
        <v>960</v>
      </c>
    </row>
    <row r="7" spans="1:11">
      <c r="A7" s="1039" t="s">
        <v>961</v>
      </c>
    </row>
    <row r="8" spans="1:11">
      <c r="A8" s="1039" t="s">
        <v>963</v>
      </c>
    </row>
    <row r="9" spans="1:11">
      <c r="A9" s="1039" t="s">
        <v>962</v>
      </c>
    </row>
    <row r="10" spans="1:11">
      <c r="A10" s="1197" t="s">
        <v>964</v>
      </c>
      <c r="B10" s="1197"/>
      <c r="C10" s="1197"/>
      <c r="D10" s="1197"/>
      <c r="E10" s="1197"/>
      <c r="F10" s="1197"/>
      <c r="G10" s="1197"/>
      <c r="H10" s="1197"/>
      <c r="I10" s="1197"/>
      <c r="J10" s="1197"/>
      <c r="K10" s="1197"/>
    </row>
    <row r="11" spans="1:11">
      <c r="A11" s="1197"/>
      <c r="B11" s="1197"/>
      <c r="C11" s="1197"/>
      <c r="D11" s="1197"/>
      <c r="E11" s="1197"/>
      <c r="F11" s="1197"/>
      <c r="G11" s="1197"/>
      <c r="H11" s="1197"/>
      <c r="I11" s="1197"/>
      <c r="J11" s="1197"/>
      <c r="K11" s="1197"/>
    </row>
    <row r="12" spans="1:11">
      <c r="A12" s="1039" t="s">
        <v>965</v>
      </c>
    </row>
    <row r="13" spans="1:11">
      <c r="A13" s="1039" t="s">
        <v>966</v>
      </c>
    </row>
    <row r="14" spans="1:11">
      <c r="A14" s="1039" t="s">
        <v>970</v>
      </c>
    </row>
  </sheetData>
  <mergeCells count="1">
    <mergeCell ref="A10:K11"/>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sheetPr codeName="Sheet11">
    <pageSetUpPr fitToPage="1"/>
  </sheetPr>
  <dimension ref="A1:P66"/>
  <sheetViews>
    <sheetView tabSelected="1" view="pageBreakPreview" topLeftCell="A15" zoomScale="85" zoomScaleNormal="100" zoomScaleSheetLayoutView="85" workbookViewId="0">
      <selection activeCell="D27" sqref="D25:D27"/>
    </sheetView>
  </sheetViews>
  <sheetFormatPr defaultRowHeight="12.75"/>
  <cols>
    <col min="1" max="1" width="4" style="1039" bestFit="1" customWidth="1"/>
    <col min="2" max="2" width="32.85546875" style="1039" customWidth="1"/>
    <col min="3" max="3" width="19" style="1039" customWidth="1"/>
    <col min="4" max="4" width="14.42578125" style="1039" bestFit="1" customWidth="1"/>
    <col min="5" max="5" width="15" style="1039" customWidth="1"/>
    <col min="6" max="6" width="10.85546875" style="1039" bestFit="1" customWidth="1"/>
    <col min="7" max="7" width="17.5703125" style="1039" bestFit="1" customWidth="1"/>
    <col min="8" max="8" width="12.42578125" style="1039" bestFit="1" customWidth="1"/>
    <col min="9" max="9" width="10.140625" style="1039" bestFit="1" customWidth="1"/>
    <col min="10" max="10" width="16.28515625" style="1039" bestFit="1" customWidth="1"/>
    <col min="11" max="11" width="11.5703125" style="1039" bestFit="1" customWidth="1"/>
    <col min="12" max="12" width="10.140625" style="1039" bestFit="1" customWidth="1"/>
    <col min="13" max="13" width="15.5703125" style="1039" bestFit="1" customWidth="1"/>
    <col min="14" max="14" width="11.5703125" style="1039" bestFit="1" customWidth="1"/>
    <col min="15" max="15" width="9.85546875" style="1039" bestFit="1" customWidth="1"/>
    <col min="16" max="16" width="15.5703125" style="1039" bestFit="1" customWidth="1"/>
    <col min="17" max="16384" width="9.140625" style="1039"/>
  </cols>
  <sheetData>
    <row r="1" spans="1:16">
      <c r="B1" s="1039" t="s">
        <v>666</v>
      </c>
      <c r="C1" s="1039" t="s">
        <v>951</v>
      </c>
    </row>
    <row r="2" spans="1:16">
      <c r="B2" s="1039" t="s">
        <v>612</v>
      </c>
      <c r="C2" s="1039" t="s">
        <v>952</v>
      </c>
    </row>
    <row r="3" spans="1:16">
      <c r="B3" s="1039" t="s">
        <v>611</v>
      </c>
      <c r="C3" s="1039" t="s">
        <v>734</v>
      </c>
    </row>
    <row r="4" spans="1:16">
      <c r="B4" s="1039" t="s">
        <v>610</v>
      </c>
      <c r="C4" s="1039" t="s">
        <v>953</v>
      </c>
    </row>
    <row r="5" spans="1:16">
      <c r="B5" s="1039" t="s">
        <v>613</v>
      </c>
      <c r="C5" s="1039" t="s">
        <v>924</v>
      </c>
    </row>
    <row r="7" spans="1:16" ht="13.5" thickBot="1">
      <c r="B7" s="1040"/>
      <c r="C7" s="1040"/>
      <c r="D7" s="1040"/>
      <c r="E7" s="1040"/>
      <c r="F7" s="1202" t="s">
        <v>641</v>
      </c>
      <c r="G7" s="1202"/>
      <c r="H7" s="1202" t="s">
        <v>906</v>
      </c>
      <c r="I7" s="1202"/>
      <c r="J7" s="1202"/>
      <c r="K7" s="1202" t="s">
        <v>909</v>
      </c>
      <c r="L7" s="1202"/>
      <c r="M7" s="1202"/>
      <c r="N7" s="1202" t="s">
        <v>910</v>
      </c>
      <c r="O7" s="1202"/>
      <c r="P7" s="1202"/>
    </row>
    <row r="8" spans="1:16">
      <c r="B8" s="1041" t="s">
        <v>632</v>
      </c>
      <c r="C8" s="1042" t="s">
        <v>633</v>
      </c>
      <c r="D8" s="1042" t="s">
        <v>628</v>
      </c>
      <c r="E8" s="1042" t="s">
        <v>948</v>
      </c>
      <c r="F8" s="1042" t="s">
        <v>894</v>
      </c>
      <c r="G8" s="1042" t="s">
        <v>638</v>
      </c>
      <c r="H8" s="1042" t="s">
        <v>907</v>
      </c>
      <c r="I8" s="1042" t="s">
        <v>894</v>
      </c>
      <c r="J8" s="1042" t="s">
        <v>638</v>
      </c>
      <c r="K8" s="1042" t="s">
        <v>907</v>
      </c>
      <c r="L8" s="1042" t="s">
        <v>894</v>
      </c>
      <c r="M8" s="1042" t="s">
        <v>638</v>
      </c>
      <c r="N8" s="1042" t="s">
        <v>907</v>
      </c>
      <c r="O8" s="1042" t="s">
        <v>894</v>
      </c>
      <c r="P8" s="1069" t="s">
        <v>638</v>
      </c>
    </row>
    <row r="9" spans="1:16" ht="15" customHeight="1">
      <c r="A9" s="1039">
        <v>1</v>
      </c>
      <c r="B9" s="1043" t="str">
        <f>VLOOKUP($A9,InputSheet!$B$173:$Z$189,2,FALSE)</f>
        <v xml:space="preserve">LAN/Wan Engineer </v>
      </c>
      <c r="C9" s="1044" t="str">
        <f>VLOOKUP($A9,InputSheet!$B$173:$Z$189,4,FALSE)</f>
        <v>ManTech</v>
      </c>
      <c r="D9" s="1044" t="s">
        <v>623</v>
      </c>
      <c r="E9" s="1066">
        <f t="shared" ref="E9:E23" ca="1" si="0">G9/F9</f>
        <v>1638.1452960000001</v>
      </c>
      <c r="F9" s="1045">
        <f t="shared" ref="F9:F23" si="1">SUMIF($H$8:$P$8,F$8,$H9:$P9)</f>
        <v>750</v>
      </c>
      <c r="G9" s="1054">
        <f t="shared" ref="G9:G23" ca="1" si="2">SUMIF($H$8:$P$8,G$8,$H9:$P9)</f>
        <v>1228608.9720000001</v>
      </c>
      <c r="H9" s="1056">
        <f ca="1">VLOOKUP($A9,'Year 1'!$D$32:$AF$46,29,FALSE)*1.53</f>
        <v>1673.6976000000002</v>
      </c>
      <c r="I9" s="1045">
        <v>290</v>
      </c>
      <c r="J9" s="1054">
        <f t="shared" ref="J9:J23" ca="1" si="3">H9*I9</f>
        <v>485372.30400000006</v>
      </c>
      <c r="K9" s="1056">
        <f ca="1">VLOOKUP($A9,'Year 2'!$D$32:$AF$46,29,FALSE)*1.53</f>
        <v>1586.4876000000002</v>
      </c>
      <c r="L9" s="1045">
        <v>290</v>
      </c>
      <c r="M9" s="1054">
        <f t="shared" ref="M9:M23" ca="1" si="4">K9*L9</f>
        <v>460081.40400000004</v>
      </c>
      <c r="N9" s="1056">
        <f ca="1">VLOOKUP($A9,'Year 3'!$D$32:$AF$46,29,FALSE)*1.53</f>
        <v>1665.6191999999999</v>
      </c>
      <c r="O9" s="1045">
        <v>170</v>
      </c>
      <c r="P9" s="1070">
        <f t="shared" ref="P9:P23" ca="1" si="5">N9*O9</f>
        <v>283155.26399999997</v>
      </c>
    </row>
    <row r="10" spans="1:16" ht="15" customHeight="1">
      <c r="A10" s="1039">
        <f t="shared" ref="A10:A23" si="6">A9+1</f>
        <v>2</v>
      </c>
      <c r="B10" s="1043" t="str">
        <f>VLOOKUP($A10,InputSheet!$B$173:$Z$189,2,FALSE)</f>
        <v>Functional Services Administrator</v>
      </c>
      <c r="C10" s="1044" t="str">
        <f>VLOOKUP($A10,InputSheet!$B$173:$Z$189,4,FALSE)</f>
        <v>ManTech</v>
      </c>
      <c r="D10" s="1044" t="s">
        <v>623</v>
      </c>
      <c r="E10" s="1066">
        <f t="shared" ca="1" si="0"/>
        <v>1896.4313280000001</v>
      </c>
      <c r="F10" s="1045">
        <f t="shared" si="1"/>
        <v>750</v>
      </c>
      <c r="G10" s="1054">
        <f t="shared" ca="1" si="2"/>
        <v>1422323.496</v>
      </c>
      <c r="H10" s="1056">
        <f ca="1">VLOOKUP($A10,'Year 1'!$D$32:$AF$46,29,FALSE)*1.53</f>
        <v>1935.5111999999999</v>
      </c>
      <c r="I10" s="1045">
        <v>290</v>
      </c>
      <c r="J10" s="1054">
        <f t="shared" ca="1" si="3"/>
        <v>561298.24800000002</v>
      </c>
      <c r="K10" s="1056">
        <f ca="1">VLOOKUP($A10,'Year 2'!$D$32:$AF$46,29,FALSE)*1.53</f>
        <v>1840.0391999999999</v>
      </c>
      <c r="L10" s="1045">
        <v>290</v>
      </c>
      <c r="M10" s="1054">
        <f t="shared" ca="1" si="4"/>
        <v>533611.36800000002</v>
      </c>
      <c r="N10" s="1056">
        <f ca="1">VLOOKUP($A10,'Year 3'!$D$32:$AF$46,29,FALSE)*1.53</f>
        <v>1925.9640000000004</v>
      </c>
      <c r="O10" s="1045">
        <v>170</v>
      </c>
      <c r="P10" s="1070">
        <f t="shared" ca="1" si="5"/>
        <v>327413.88000000006</v>
      </c>
    </row>
    <row r="11" spans="1:16" ht="15" customHeight="1">
      <c r="A11" s="1039">
        <f t="shared" si="6"/>
        <v>3</v>
      </c>
      <c r="B11" s="1043" t="str">
        <f>VLOOKUP($A11,InputSheet!$B$173:$Z$189,2,FALSE)</f>
        <v>Functional Services Administrator</v>
      </c>
      <c r="C11" s="1044" t="str">
        <f>VLOOKUP($A11,InputSheet!$B$173:$Z$189,4,FALSE)</f>
        <v>ManTech</v>
      </c>
      <c r="D11" s="1044" t="s">
        <v>623</v>
      </c>
      <c r="E11" s="1066">
        <f t="shared" ca="1" si="0"/>
        <v>1896.4313280000001</v>
      </c>
      <c r="F11" s="1045">
        <f t="shared" si="1"/>
        <v>750</v>
      </c>
      <c r="G11" s="1054">
        <f t="shared" ca="1" si="2"/>
        <v>1422323.496</v>
      </c>
      <c r="H11" s="1056">
        <f ca="1">VLOOKUP($A11,'Year 1'!$D$32:$AF$46,29,FALSE)*1.53</f>
        <v>1935.5111999999999</v>
      </c>
      <c r="I11" s="1045">
        <v>290</v>
      </c>
      <c r="J11" s="1054">
        <f t="shared" ca="1" si="3"/>
        <v>561298.24800000002</v>
      </c>
      <c r="K11" s="1056">
        <f ca="1">VLOOKUP($A11,'Year 2'!$D$32:$AF$46,29,FALSE)*1.53</f>
        <v>1840.0391999999999</v>
      </c>
      <c r="L11" s="1045">
        <v>290</v>
      </c>
      <c r="M11" s="1054">
        <f t="shared" ca="1" si="4"/>
        <v>533611.36800000002</v>
      </c>
      <c r="N11" s="1056">
        <f ca="1">VLOOKUP($A11,'Year 3'!$D$32:$AF$46,29,FALSE)*1.53</f>
        <v>1925.9640000000004</v>
      </c>
      <c r="O11" s="1045">
        <v>170</v>
      </c>
      <c r="P11" s="1070">
        <f t="shared" ca="1" si="5"/>
        <v>327413.88000000006</v>
      </c>
    </row>
    <row r="12" spans="1:16" ht="15" customHeight="1">
      <c r="A12" s="1039">
        <f t="shared" si="6"/>
        <v>4</v>
      </c>
      <c r="B12" s="1043" t="str">
        <f>VLOOKUP($A12,InputSheet!$B$173:$Z$189,2,FALSE)</f>
        <v>Functional Services Administrator</v>
      </c>
      <c r="C12" s="1044" t="str">
        <f>VLOOKUP($A12,InputSheet!$B$173:$Z$189,4,FALSE)</f>
        <v>ManTech</v>
      </c>
      <c r="D12" s="1044" t="s">
        <v>623</v>
      </c>
      <c r="E12" s="1066">
        <f t="shared" ca="1" si="0"/>
        <v>1896.4313280000001</v>
      </c>
      <c r="F12" s="1045">
        <f t="shared" si="1"/>
        <v>750</v>
      </c>
      <c r="G12" s="1054">
        <f t="shared" ca="1" si="2"/>
        <v>1422323.496</v>
      </c>
      <c r="H12" s="1056">
        <f ca="1">VLOOKUP($A12,'Year 1'!$D$32:$AF$46,29,FALSE)*1.53</f>
        <v>1935.5111999999999</v>
      </c>
      <c r="I12" s="1045">
        <v>290</v>
      </c>
      <c r="J12" s="1054">
        <f t="shared" ca="1" si="3"/>
        <v>561298.24800000002</v>
      </c>
      <c r="K12" s="1056">
        <f ca="1">VLOOKUP($A12,'Year 2'!$D$32:$AF$46,29,FALSE)*1.53</f>
        <v>1840.0391999999999</v>
      </c>
      <c r="L12" s="1045">
        <v>290</v>
      </c>
      <c r="M12" s="1054">
        <f t="shared" ca="1" si="4"/>
        <v>533611.36800000002</v>
      </c>
      <c r="N12" s="1056">
        <f ca="1">VLOOKUP($A12,'Year 3'!$D$32:$AF$46,29,FALSE)*1.53</f>
        <v>1925.9640000000004</v>
      </c>
      <c r="O12" s="1045">
        <v>170</v>
      </c>
      <c r="P12" s="1070">
        <f t="shared" ca="1" si="5"/>
        <v>327413.88000000006</v>
      </c>
    </row>
    <row r="13" spans="1:16" ht="15" customHeight="1">
      <c r="A13" s="1039">
        <f t="shared" si="6"/>
        <v>5</v>
      </c>
      <c r="B13" s="1043" t="str">
        <f>VLOOKUP($A13,InputSheet!$B$173:$Z$189,2,FALSE)</f>
        <v>Service Desk</v>
      </c>
      <c r="C13" s="1044" t="str">
        <f>VLOOKUP($A13,InputSheet!$B$173:$Z$189,4,FALSE)</f>
        <v>ManTech</v>
      </c>
      <c r="D13" s="1044" t="s">
        <v>623</v>
      </c>
      <c r="E13" s="1066">
        <f t="shared" ca="1" si="0"/>
        <v>1476.920016</v>
      </c>
      <c r="F13" s="1045">
        <f t="shared" si="1"/>
        <v>750</v>
      </c>
      <c r="G13" s="1054">
        <f t="shared" ca="1" si="2"/>
        <v>1107690.0120000001</v>
      </c>
      <c r="H13" s="1056">
        <f ca="1">VLOOKUP($A13,'Year 1'!$D$32:$AF$46,29,FALSE)*1.53</f>
        <v>1510.1100000000001</v>
      </c>
      <c r="I13" s="1045">
        <v>290</v>
      </c>
      <c r="J13" s="1054">
        <f t="shared" ca="1" si="3"/>
        <v>437931.9</v>
      </c>
      <c r="K13" s="1056">
        <f ca="1">VLOOKUP($A13,'Year 2'!$D$32:$AF$46,29,FALSE)*1.53</f>
        <v>1428.0408</v>
      </c>
      <c r="L13" s="1045">
        <v>290</v>
      </c>
      <c r="M13" s="1054">
        <f t="shared" ca="1" si="4"/>
        <v>414131.83199999999</v>
      </c>
      <c r="N13" s="1056">
        <f ca="1">VLOOKUP($A13,'Year 3'!$D$32:$AF$46,29,FALSE)*1.53</f>
        <v>1503.6840000000002</v>
      </c>
      <c r="O13" s="1045">
        <v>170</v>
      </c>
      <c r="P13" s="1070">
        <f t="shared" ca="1" si="5"/>
        <v>255626.28000000003</v>
      </c>
    </row>
    <row r="14" spans="1:16" ht="15" customHeight="1">
      <c r="A14" s="1039">
        <f t="shared" si="6"/>
        <v>6</v>
      </c>
      <c r="B14" s="1043" t="str">
        <f>VLOOKUP($A14,InputSheet!$B$173:$Z$189,2,FALSE)</f>
        <v>Service Desk</v>
      </c>
      <c r="C14" s="1044" t="str">
        <f>VLOOKUP($A14,InputSheet!$B$173:$Z$189,4,FALSE)</f>
        <v>ManTech</v>
      </c>
      <c r="D14" s="1044" t="s">
        <v>623</v>
      </c>
      <c r="E14" s="1066">
        <f t="shared" ca="1" si="0"/>
        <v>1476.920016</v>
      </c>
      <c r="F14" s="1045">
        <f t="shared" si="1"/>
        <v>750</v>
      </c>
      <c r="G14" s="1054">
        <f t="shared" ca="1" si="2"/>
        <v>1107690.0120000001</v>
      </c>
      <c r="H14" s="1056">
        <f ca="1">VLOOKUP($A14,'Year 1'!$D$32:$AF$46,29,FALSE)*1.53</f>
        <v>1510.1100000000001</v>
      </c>
      <c r="I14" s="1045">
        <v>290</v>
      </c>
      <c r="J14" s="1054">
        <f t="shared" ca="1" si="3"/>
        <v>437931.9</v>
      </c>
      <c r="K14" s="1056">
        <f ca="1">VLOOKUP($A14,'Year 2'!$D$32:$AF$46,29,FALSE)*1.53</f>
        <v>1428.0408</v>
      </c>
      <c r="L14" s="1045">
        <v>290</v>
      </c>
      <c r="M14" s="1054">
        <f t="shared" ca="1" si="4"/>
        <v>414131.83199999999</v>
      </c>
      <c r="N14" s="1056">
        <f ca="1">VLOOKUP($A14,'Year 3'!$D$32:$AF$46,29,FALSE)*1.53</f>
        <v>1503.6840000000002</v>
      </c>
      <c r="O14" s="1045">
        <v>170</v>
      </c>
      <c r="P14" s="1070">
        <f t="shared" ca="1" si="5"/>
        <v>255626.28000000003</v>
      </c>
    </row>
    <row r="15" spans="1:16" ht="15" customHeight="1">
      <c r="A15" s="1039">
        <f t="shared" si="6"/>
        <v>7</v>
      </c>
      <c r="B15" s="1043" t="str">
        <f>VLOOKUP($A15,InputSheet!$B$173:$Z$189,2,FALSE)</f>
        <v>CIS Training Supervisor</v>
      </c>
      <c r="C15" s="1044" t="str">
        <f>VLOOKUP($A15,InputSheet!$B$173:$Z$189,4,FALSE)</f>
        <v>Segovia, Inc.</v>
      </c>
      <c r="D15" s="1044" t="s">
        <v>623</v>
      </c>
      <c r="E15" s="1066">
        <f t="shared" ca="1" si="0"/>
        <v>1609.7264640000003</v>
      </c>
      <c r="F15" s="1045">
        <f t="shared" si="1"/>
        <v>750</v>
      </c>
      <c r="G15" s="1054">
        <f t="shared" ca="1" si="2"/>
        <v>1207294.8480000002</v>
      </c>
      <c r="H15" s="1056">
        <f ca="1">VLOOKUP($A15,'Year 1'!$D$32:$AF$46,29,FALSE)*1.53</f>
        <v>1573.0848000000001</v>
      </c>
      <c r="I15" s="1045">
        <v>290</v>
      </c>
      <c r="J15" s="1054">
        <f t="shared" ca="1" si="3"/>
        <v>456194.592</v>
      </c>
      <c r="K15" s="1056">
        <f ca="1">VLOOKUP($A15,'Year 2'!$D$32:$AF$46,29,FALSE)*1.53</f>
        <v>1618.9848000000002</v>
      </c>
      <c r="L15" s="1045">
        <v>290</v>
      </c>
      <c r="M15" s="1054">
        <f t="shared" ca="1" si="4"/>
        <v>469505.59200000006</v>
      </c>
      <c r="N15" s="1056">
        <f ca="1">VLOOKUP($A15,'Year 3'!$D$32:$AF$46,29,FALSE)*1.53</f>
        <v>1656.4391999999998</v>
      </c>
      <c r="O15" s="1045">
        <v>170</v>
      </c>
      <c r="P15" s="1070">
        <f t="shared" ca="1" si="5"/>
        <v>281594.66399999999</v>
      </c>
    </row>
    <row r="16" spans="1:16" ht="15" customHeight="1">
      <c r="A16" s="1039">
        <f t="shared" si="6"/>
        <v>8</v>
      </c>
      <c r="B16" s="1043" t="str">
        <f>VLOOKUP($A16,InputSheet!$B$173:$Z$189,2,FALSE)</f>
        <v>CIS Trainer</v>
      </c>
      <c r="C16" s="1044" t="str">
        <f>VLOOKUP($A16,InputSheet!$B$173:$Z$189,4,FALSE)</f>
        <v>Segovia, Inc.</v>
      </c>
      <c r="D16" s="1044" t="s">
        <v>623</v>
      </c>
      <c r="E16" s="1066">
        <f t="shared" ca="1" si="0"/>
        <v>1372.4075520000001</v>
      </c>
      <c r="F16" s="1045">
        <f t="shared" si="1"/>
        <v>750</v>
      </c>
      <c r="G16" s="1054">
        <f t="shared" ca="1" si="2"/>
        <v>1029305.6640000001</v>
      </c>
      <c r="H16" s="1056">
        <f ca="1">VLOOKUP($A16,'Year 1'!$D$32:$AF$46,29,FALSE)*1.53</f>
        <v>1340.8308</v>
      </c>
      <c r="I16" s="1045">
        <v>290</v>
      </c>
      <c r="J16" s="1054">
        <f t="shared" ca="1" si="3"/>
        <v>388840.93199999997</v>
      </c>
      <c r="K16" s="1056">
        <f ca="1">VLOOKUP($A16,'Year 2'!$D$32:$AF$46,29,FALSE)*1.53</f>
        <v>1380.3048000000001</v>
      </c>
      <c r="L16" s="1045">
        <v>290</v>
      </c>
      <c r="M16" s="1054">
        <f t="shared" ca="1" si="4"/>
        <v>400288.39200000005</v>
      </c>
      <c r="N16" s="1056">
        <f ca="1">VLOOKUP($A16,'Year 3'!$D$32:$AF$46,29,FALSE)*1.53</f>
        <v>1412.8020000000001</v>
      </c>
      <c r="O16" s="1045">
        <v>170</v>
      </c>
      <c r="P16" s="1070">
        <f t="shared" ca="1" si="5"/>
        <v>240176.34000000003</v>
      </c>
    </row>
    <row r="17" spans="1:16" ht="15" customHeight="1">
      <c r="A17" s="1039">
        <f t="shared" si="6"/>
        <v>9</v>
      </c>
      <c r="B17" s="1043" t="str">
        <f>VLOOKUP($A17,InputSheet!$B$173:$Z$189,2,FALSE)</f>
        <v>Radio Technician</v>
      </c>
      <c r="C17" s="1044" t="str">
        <f>VLOOKUP($A17,InputSheet!$B$173:$Z$189,4,FALSE)</f>
        <v>Segovia, Inc.</v>
      </c>
      <c r="D17" s="1044" t="s">
        <v>623</v>
      </c>
      <c r="E17" s="1066">
        <f t="shared" ca="1" si="0"/>
        <v>1203.5787839999998</v>
      </c>
      <c r="F17" s="1045">
        <f t="shared" si="1"/>
        <v>750</v>
      </c>
      <c r="G17" s="1054">
        <f t="shared" ca="1" si="2"/>
        <v>902684.08799999987</v>
      </c>
      <c r="H17" s="1056">
        <f ca="1">VLOOKUP($A17,'Year 1'!$D$32:$AF$46,29,FALSE)*1.53</f>
        <v>1176.876</v>
      </c>
      <c r="I17" s="1045">
        <v>290</v>
      </c>
      <c r="J17" s="1054">
        <f t="shared" ca="1" si="3"/>
        <v>341294.04</v>
      </c>
      <c r="K17" s="1056">
        <f ca="1">VLOOKUP($A17,'Year 2'!$D$32:$AF$46,29,FALSE)*1.53</f>
        <v>1209.5567999999998</v>
      </c>
      <c r="L17" s="1045">
        <v>290</v>
      </c>
      <c r="M17" s="1054">
        <f t="shared" ca="1" si="4"/>
        <v>350771.47199999995</v>
      </c>
      <c r="N17" s="1056">
        <f ca="1">VLOOKUP($A17,'Year 3'!$D$32:$AF$46,29,FALSE)*1.53</f>
        <v>1238.9328</v>
      </c>
      <c r="O17" s="1045">
        <v>170</v>
      </c>
      <c r="P17" s="1070">
        <f t="shared" ca="1" si="5"/>
        <v>210618.576</v>
      </c>
    </row>
    <row r="18" spans="1:16" ht="15" customHeight="1">
      <c r="A18" s="1039">
        <f t="shared" si="6"/>
        <v>10</v>
      </c>
      <c r="B18" s="1043" t="str">
        <f>VLOOKUP($A18,InputSheet!$B$173:$Z$189,2,FALSE)</f>
        <v>Radio Technician</v>
      </c>
      <c r="C18" s="1044" t="str">
        <f>VLOOKUP($A18,InputSheet!$B$173:$Z$189,4,FALSE)</f>
        <v>Segovia, Inc.</v>
      </c>
      <c r="D18" s="1044" t="s">
        <v>623</v>
      </c>
      <c r="E18" s="1066">
        <f t="shared" ca="1" si="0"/>
        <v>1203.5787839999998</v>
      </c>
      <c r="F18" s="1045">
        <f t="shared" si="1"/>
        <v>750</v>
      </c>
      <c r="G18" s="1054">
        <f t="shared" ca="1" si="2"/>
        <v>902684.08799999987</v>
      </c>
      <c r="H18" s="1056">
        <f ca="1">VLOOKUP($A18,'Year 1'!$D$32:$AF$46,29,FALSE)*1.53</f>
        <v>1176.876</v>
      </c>
      <c r="I18" s="1045">
        <v>290</v>
      </c>
      <c r="J18" s="1054">
        <f t="shared" ca="1" si="3"/>
        <v>341294.04</v>
      </c>
      <c r="K18" s="1056">
        <f ca="1">VLOOKUP($A18,'Year 2'!$D$32:$AF$46,29,FALSE)*1.53</f>
        <v>1209.5567999999998</v>
      </c>
      <c r="L18" s="1045">
        <v>290</v>
      </c>
      <c r="M18" s="1054">
        <f t="shared" ca="1" si="4"/>
        <v>350771.47199999995</v>
      </c>
      <c r="N18" s="1056">
        <f ca="1">VLOOKUP($A18,'Year 3'!$D$32:$AF$46,29,FALSE)*1.53</f>
        <v>1238.9328</v>
      </c>
      <c r="O18" s="1045">
        <v>170</v>
      </c>
      <c r="P18" s="1070">
        <f t="shared" ca="1" si="5"/>
        <v>210618.576</v>
      </c>
    </row>
    <row r="19" spans="1:16" ht="15" customHeight="1">
      <c r="A19" s="1039">
        <f t="shared" si="6"/>
        <v>11</v>
      </c>
      <c r="B19" s="1043" t="str">
        <f>VLOOKUP($A19,InputSheet!$B$173:$Z$189,2,FALSE)</f>
        <v>Network Administrator</v>
      </c>
      <c r="C19" s="1044" t="str">
        <f>VLOOKUP($A19,InputSheet!$B$173:$Z$189,4,FALSE)</f>
        <v>ManTech</v>
      </c>
      <c r="D19" s="1044" t="s">
        <v>623</v>
      </c>
      <c r="E19" s="1066">
        <f t="shared" ca="1" si="0"/>
        <v>1557.5326560000001</v>
      </c>
      <c r="F19" s="1045">
        <f t="shared" si="1"/>
        <v>750</v>
      </c>
      <c r="G19" s="1054">
        <f t="shared" ca="1" si="2"/>
        <v>1168149.4920000001</v>
      </c>
      <c r="H19" s="1056">
        <f ca="1">VLOOKUP($A19,'Year 1'!$D$32:$AF$46,29,FALSE)*1.53</f>
        <v>1591.8120000000001</v>
      </c>
      <c r="I19" s="1045">
        <v>290</v>
      </c>
      <c r="J19" s="1054">
        <f t="shared" ca="1" si="3"/>
        <v>461625.48000000004</v>
      </c>
      <c r="K19" s="1056">
        <f ca="1">VLOOKUP($A19,'Year 2'!$D$32:$AF$46,29,FALSE)*1.53</f>
        <v>1507.356</v>
      </c>
      <c r="L19" s="1045">
        <v>290</v>
      </c>
      <c r="M19" s="1054">
        <f t="shared" ca="1" si="4"/>
        <v>437133.24</v>
      </c>
      <c r="N19" s="1056">
        <f ca="1">VLOOKUP($A19,'Year 3'!$D$32:$AF$46,29,FALSE)*1.53</f>
        <v>1584.6516000000001</v>
      </c>
      <c r="O19" s="1045">
        <v>170</v>
      </c>
      <c r="P19" s="1070">
        <f t="shared" ca="1" si="5"/>
        <v>269390.772</v>
      </c>
    </row>
    <row r="20" spans="1:16" ht="15" customHeight="1">
      <c r="A20" s="1039">
        <f t="shared" si="6"/>
        <v>12</v>
      </c>
      <c r="B20" s="1043" t="str">
        <f>VLOOKUP($A20,InputSheet!$B$173:$Z$189,2,FALSE)</f>
        <v>System Administrator</v>
      </c>
      <c r="C20" s="1044" t="str">
        <f>VLOOKUP($A20,InputSheet!$B$173:$Z$189,4,FALSE)</f>
        <v>ManTech</v>
      </c>
      <c r="D20" s="1044" t="s">
        <v>623</v>
      </c>
      <c r="E20" s="1066">
        <f t="shared" ca="1" si="0"/>
        <v>1584.2672640000001</v>
      </c>
      <c r="F20" s="1045">
        <f t="shared" si="1"/>
        <v>750</v>
      </c>
      <c r="G20" s="1054">
        <f t="shared" ca="1" si="2"/>
        <v>1188200.4480000001</v>
      </c>
      <c r="H20" s="1056">
        <f ca="1">VLOOKUP($A20,'Year 1'!$D$32:$AF$46,29,FALSE)*1.53</f>
        <v>1618.9848000000002</v>
      </c>
      <c r="I20" s="1045">
        <v>290</v>
      </c>
      <c r="J20" s="1054">
        <f t="shared" ca="1" si="3"/>
        <v>469505.59200000006</v>
      </c>
      <c r="K20" s="1056">
        <f ca="1">VLOOKUP($A20,'Year 2'!$D$32:$AF$46,29,FALSE)*1.53</f>
        <v>1533.6108000000002</v>
      </c>
      <c r="L20" s="1045">
        <v>290</v>
      </c>
      <c r="M20" s="1054">
        <f t="shared" ca="1" si="4"/>
        <v>444747.13200000004</v>
      </c>
      <c r="N20" s="1056">
        <f ca="1">VLOOKUP($A20,'Year 3'!$D$32:$AF$46,29,FALSE)*1.53</f>
        <v>1611.4572000000001</v>
      </c>
      <c r="O20" s="1045">
        <v>170</v>
      </c>
      <c r="P20" s="1070">
        <f t="shared" ca="1" si="5"/>
        <v>273947.72399999999</v>
      </c>
    </row>
    <row r="21" spans="1:16" ht="15" customHeight="1">
      <c r="A21" s="1039">
        <f t="shared" si="6"/>
        <v>13</v>
      </c>
      <c r="B21" s="1043" t="str">
        <f>VLOOKUP($A21,InputSheet!$B$173:$Z$189,2,FALSE)</f>
        <v>Configuration Manager</v>
      </c>
      <c r="C21" s="1044" t="str">
        <f>VLOOKUP($A21,InputSheet!$B$173:$Z$189,4,FALSE)</f>
        <v>ManTech</v>
      </c>
      <c r="D21" s="1044" t="s">
        <v>623</v>
      </c>
      <c r="E21" s="1066">
        <f t="shared" ca="1" si="0"/>
        <v>1476.920016</v>
      </c>
      <c r="F21" s="1045">
        <f t="shared" si="1"/>
        <v>750</v>
      </c>
      <c r="G21" s="1054">
        <f t="shared" ca="1" si="2"/>
        <v>1107690.0120000001</v>
      </c>
      <c r="H21" s="1056">
        <f ca="1">VLOOKUP($A21,'Year 1'!$D$32:$AF$46,29,FALSE)*1.53</f>
        <v>1510.1100000000001</v>
      </c>
      <c r="I21" s="1045">
        <v>290</v>
      </c>
      <c r="J21" s="1054">
        <f t="shared" ca="1" si="3"/>
        <v>437931.9</v>
      </c>
      <c r="K21" s="1056">
        <f ca="1">VLOOKUP($A21,'Year 2'!$D$32:$AF$46,29,FALSE)*1.53</f>
        <v>1428.0408</v>
      </c>
      <c r="L21" s="1045">
        <v>290</v>
      </c>
      <c r="M21" s="1054">
        <f t="shared" ca="1" si="4"/>
        <v>414131.83199999999</v>
      </c>
      <c r="N21" s="1056">
        <f ca="1">VLOOKUP($A21,'Year 3'!$D$32:$AF$46,29,FALSE)*1.53</f>
        <v>1503.6840000000002</v>
      </c>
      <c r="O21" s="1045">
        <v>170</v>
      </c>
      <c r="P21" s="1070">
        <f t="shared" ca="1" si="5"/>
        <v>255626.28000000003</v>
      </c>
    </row>
    <row r="22" spans="1:16" ht="15" customHeight="1">
      <c r="A22" s="1039">
        <f t="shared" si="6"/>
        <v>14</v>
      </c>
      <c r="B22" s="1043" t="str">
        <f>VLOOKUP($A22,InputSheet!$B$173:$Z$189,2,FALSE)</f>
        <v>Hardware Technician</v>
      </c>
      <c r="C22" s="1044" t="str">
        <f>VLOOKUP($A22,InputSheet!$B$173:$Z$189,4,FALSE)</f>
        <v>ManTech</v>
      </c>
      <c r="D22" s="1044" t="s">
        <v>623</v>
      </c>
      <c r="E22" s="1066">
        <f t="shared" ca="1" si="0"/>
        <v>1476.920016</v>
      </c>
      <c r="F22" s="1045">
        <f t="shared" si="1"/>
        <v>750</v>
      </c>
      <c r="G22" s="1054">
        <f t="shared" ca="1" si="2"/>
        <v>1107690.0120000001</v>
      </c>
      <c r="H22" s="1056">
        <f ca="1">VLOOKUP($A22,'Year 1'!$D$32:$AF$46,29,FALSE)*1.53</f>
        <v>1510.1100000000001</v>
      </c>
      <c r="I22" s="1045">
        <v>290</v>
      </c>
      <c r="J22" s="1054">
        <f t="shared" ca="1" si="3"/>
        <v>437931.9</v>
      </c>
      <c r="K22" s="1056">
        <f ca="1">VLOOKUP($A22,'Year 2'!$D$32:$AF$46,29,FALSE)*1.53</f>
        <v>1428.0408</v>
      </c>
      <c r="L22" s="1045">
        <v>290</v>
      </c>
      <c r="M22" s="1054">
        <f t="shared" ca="1" si="4"/>
        <v>414131.83199999999</v>
      </c>
      <c r="N22" s="1056">
        <f ca="1">VLOOKUP($A22,'Year 3'!$D$32:$AF$46,29,FALSE)*1.53</f>
        <v>1503.6840000000002</v>
      </c>
      <c r="O22" s="1045">
        <v>170</v>
      </c>
      <c r="P22" s="1070">
        <f t="shared" ca="1" si="5"/>
        <v>255626.28000000003</v>
      </c>
    </row>
    <row r="23" spans="1:16" ht="15" customHeight="1">
      <c r="A23" s="1039">
        <f t="shared" si="6"/>
        <v>15</v>
      </c>
      <c r="B23" s="1043" t="str">
        <f>VLOOKUP($A23,InputSheet!$B$173:$Z$189,2,FALSE)</f>
        <v>Repair/Exchange Specialist</v>
      </c>
      <c r="C23" s="1044" t="str">
        <f>VLOOKUP($A23,InputSheet!$B$173:$Z$189,4,FALSE)</f>
        <v>ManTech</v>
      </c>
      <c r="D23" s="1044" t="s">
        <v>623</v>
      </c>
      <c r="E23" s="1066">
        <f t="shared" ca="1" si="0"/>
        <v>1423.3259519999999</v>
      </c>
      <c r="F23" s="1045">
        <f t="shared" si="1"/>
        <v>750</v>
      </c>
      <c r="G23" s="1054">
        <f t="shared" ca="1" si="2"/>
        <v>1067494.4639999999</v>
      </c>
      <c r="H23" s="1056">
        <f ca="1">VLOOKUP($A23,'Year 1'!$D$32:$AF$46,29,FALSE)*1.53</f>
        <v>1455.9479999999999</v>
      </c>
      <c r="I23" s="1045">
        <v>290</v>
      </c>
      <c r="J23" s="1054">
        <f t="shared" ca="1" si="3"/>
        <v>422224.92</v>
      </c>
      <c r="K23" s="1056">
        <f ca="1">VLOOKUP($A23,'Year 2'!$D$32:$AF$46,29,FALSE)*1.53</f>
        <v>1375.3476000000001</v>
      </c>
      <c r="L23" s="1045">
        <v>290</v>
      </c>
      <c r="M23" s="1054">
        <f t="shared" ca="1" si="4"/>
        <v>398850.804</v>
      </c>
      <c r="N23" s="1056">
        <f ca="1">VLOOKUP($A23,'Year 3'!$D$32:$AF$46,29,FALSE)*1.53</f>
        <v>1449.5220000000002</v>
      </c>
      <c r="O23" s="1045">
        <v>170</v>
      </c>
      <c r="P23" s="1070">
        <f t="shared" ca="1" si="5"/>
        <v>246418.74000000002</v>
      </c>
    </row>
    <row r="24" spans="1:16" ht="15" customHeight="1">
      <c r="B24" s="1043"/>
      <c r="C24" s="1044"/>
      <c r="D24" s="1044"/>
      <c r="E24" s="1044"/>
      <c r="F24" s="1044"/>
      <c r="G24" s="1055"/>
      <c r="H24" s="1055"/>
      <c r="I24" s="1044"/>
      <c r="J24" s="1055"/>
      <c r="K24" s="1055"/>
      <c r="L24" s="1044"/>
      <c r="M24" s="1055"/>
      <c r="N24" s="1055"/>
      <c r="O24" s="1044"/>
      <c r="P24" s="1071"/>
    </row>
    <row r="25" spans="1:16">
      <c r="B25" s="1043" t="s">
        <v>937</v>
      </c>
      <c r="C25" s="1046"/>
      <c r="D25" s="1044"/>
      <c r="E25" s="1044"/>
      <c r="F25" s="1057">
        <f>SUM(F12,F15:F18)</f>
        <v>3750</v>
      </c>
      <c r="G25" s="1054">
        <f ca="1">SUM(G12,G15:G18)</f>
        <v>5464292.1839999994</v>
      </c>
      <c r="H25" s="1055"/>
      <c r="I25" s="1057">
        <f>SUM(I12,I15:I18)</f>
        <v>1450</v>
      </c>
      <c r="J25" s="1054">
        <f ca="1">SUM(J12,J15:J18)</f>
        <v>2088921.8520000002</v>
      </c>
      <c r="K25" s="1055"/>
      <c r="L25" s="1057">
        <f>SUM(L12,L15:L18)</f>
        <v>1450</v>
      </c>
      <c r="M25" s="1054">
        <f ca="1">SUM(M12,M15:M18)</f>
        <v>2104948.2960000001</v>
      </c>
      <c r="N25" s="1055"/>
      <c r="O25" s="1057">
        <f>SUM(O12,O15:O18)</f>
        <v>850</v>
      </c>
      <c r="P25" s="1070">
        <f ca="1">SUM(P12,P15:P18)</f>
        <v>1270422.0359999998</v>
      </c>
    </row>
    <row r="26" spans="1:16">
      <c r="B26" s="1043" t="s">
        <v>938</v>
      </c>
      <c r="C26" s="1046"/>
      <c r="D26" s="1044"/>
      <c r="E26" s="1044"/>
      <c r="F26" s="1057">
        <f>SUM(F9:F11,F13:F14,F19:F23)</f>
        <v>7500</v>
      </c>
      <c r="G26" s="1054">
        <f ca="1">SUM(G9:G11,G13:G14,G19:G23)</f>
        <v>11927860.416000001</v>
      </c>
      <c r="H26" s="1055"/>
      <c r="I26" s="1057">
        <f>SUM(I9:I11,I13:I14,I19:I23)</f>
        <v>2900</v>
      </c>
      <c r="J26" s="1054">
        <f ca="1">SUM(J9:J11,J13:J14,J19:J23)</f>
        <v>4713052.392</v>
      </c>
      <c r="K26" s="1055"/>
      <c r="L26" s="1057">
        <f>SUM(L9:L11,L13:L14,L19:L23)</f>
        <v>2900</v>
      </c>
      <c r="M26" s="1054">
        <f ca="1">SUM(M9:M11,M13:M14,M19:M23)</f>
        <v>4464562.6439999994</v>
      </c>
      <c r="N26" s="1055"/>
      <c r="O26" s="1057">
        <f>SUM(O9:O11,O13:O14,O19:O23)</f>
        <v>1700</v>
      </c>
      <c r="P26" s="1070">
        <f ca="1">SUM(P9:P11,P13:P14,P19:P23)</f>
        <v>2750245.3800000008</v>
      </c>
    </row>
    <row r="27" spans="1:16">
      <c r="B27" s="1043"/>
      <c r="C27" s="1046"/>
      <c r="D27" s="1044"/>
      <c r="E27" s="1044"/>
      <c r="F27" s="1057"/>
      <c r="G27" s="1054"/>
      <c r="H27" s="1055"/>
      <c r="I27" s="1057"/>
      <c r="J27" s="1054"/>
      <c r="K27" s="1055"/>
      <c r="L27" s="1057"/>
      <c r="M27" s="1054"/>
      <c r="N27" s="1055"/>
      <c r="O27" s="1057"/>
      <c r="P27" s="1070"/>
    </row>
    <row r="28" spans="1:16">
      <c r="B28" s="1047" t="s">
        <v>943</v>
      </c>
      <c r="C28" s="1048"/>
      <c r="D28" s="1049"/>
      <c r="E28" s="1049"/>
      <c r="F28" s="1050">
        <f>SUM(F25:F26)</f>
        <v>11250</v>
      </c>
      <c r="G28" s="1010">
        <f ca="1">SUM(G25:G27)</f>
        <v>17392152.600000001</v>
      </c>
      <c r="H28" s="1010"/>
      <c r="I28" s="1050">
        <f>SUM(I25:I26)</f>
        <v>4350</v>
      </c>
      <c r="J28" s="1010">
        <f ca="1">SUM(J25:J27)</f>
        <v>6801974.2439999999</v>
      </c>
      <c r="K28" s="1010"/>
      <c r="L28" s="1050">
        <f>SUM(L25:L26)</f>
        <v>4350</v>
      </c>
      <c r="M28" s="1010">
        <f ca="1">SUM(M25:M27)</f>
        <v>6569510.9399999995</v>
      </c>
      <c r="N28" s="1010"/>
      <c r="O28" s="1050">
        <f>SUM(O25:O26)</f>
        <v>2550</v>
      </c>
      <c r="P28" s="1072">
        <f ca="1">SUM(P25:P27)</f>
        <v>4020667.4160000007</v>
      </c>
    </row>
    <row r="29" spans="1:16">
      <c r="B29" s="1047"/>
      <c r="C29" s="1048"/>
      <c r="D29" s="1049"/>
      <c r="E29" s="1049"/>
      <c r="F29" s="1050"/>
      <c r="G29" s="1010"/>
      <c r="H29" s="1010"/>
      <c r="I29" s="1050"/>
      <c r="J29" s="1010"/>
      <c r="K29" s="1010"/>
      <c r="L29" s="1050"/>
      <c r="M29" s="1010"/>
      <c r="N29" s="1010"/>
      <c r="O29" s="1050"/>
      <c r="P29" s="1072"/>
    </row>
    <row r="30" spans="1:16">
      <c r="B30" s="1047"/>
      <c r="C30" s="1048"/>
      <c r="D30" s="1049"/>
      <c r="E30" s="1092" t="s">
        <v>907</v>
      </c>
      <c r="F30" s="1048" t="s">
        <v>894</v>
      </c>
      <c r="G30" s="1048" t="s">
        <v>638</v>
      </c>
      <c r="H30" s="1048"/>
      <c r="I30" s="1048"/>
      <c r="J30" s="1048"/>
      <c r="K30" s="1010"/>
      <c r="L30" s="1050"/>
      <c r="M30" s="1010"/>
      <c r="N30" s="1048"/>
      <c r="O30" s="1048"/>
      <c r="P30" s="1073"/>
    </row>
    <row r="31" spans="1:16" ht="42" customHeight="1">
      <c r="B31" s="1200" t="s">
        <v>944</v>
      </c>
      <c r="C31" s="1201"/>
      <c r="D31" s="1049"/>
      <c r="E31" s="1067">
        <f ca="1">SUM(Processing!$AF$32:$AF$46)/15</f>
        <v>722.7360000000001</v>
      </c>
      <c r="F31" s="1050">
        <f>15*45</f>
        <v>675</v>
      </c>
      <c r="G31" s="1010">
        <f ca="1">E31*F31</f>
        <v>487846.80000000005</v>
      </c>
      <c r="H31" s="1010"/>
      <c r="I31" s="1050"/>
      <c r="J31" s="1010">
        <f ca="1">J28+M28+P28+G31+G33</f>
        <v>17985294.600000001</v>
      </c>
      <c r="K31" s="1010"/>
      <c r="L31" s="1050"/>
      <c r="M31" s="1010"/>
      <c r="N31" s="1010"/>
      <c r="O31" s="1050"/>
      <c r="P31" s="1072"/>
    </row>
    <row r="32" spans="1:16">
      <c r="B32" s="1047"/>
      <c r="C32" s="1048"/>
      <c r="D32" s="1049"/>
      <c r="E32" s="1092" t="s">
        <v>907</v>
      </c>
      <c r="F32" s="1048" t="s">
        <v>894</v>
      </c>
      <c r="G32" s="1048" t="s">
        <v>638</v>
      </c>
      <c r="H32" s="1010"/>
      <c r="I32" s="1050"/>
      <c r="J32" s="1010"/>
      <c r="K32" s="1010"/>
      <c r="L32" s="1050"/>
      <c r="M32" s="1010"/>
      <c r="N32" s="1010"/>
      <c r="O32" s="1050"/>
      <c r="P32" s="1072"/>
    </row>
    <row r="33" spans="2:16" ht="39" customHeight="1">
      <c r="B33" s="1200" t="s">
        <v>940</v>
      </c>
      <c r="C33" s="1201"/>
      <c r="D33" s="1049"/>
      <c r="E33" s="1067">
        <f ca="1">SUM(Training!$AF$32:$AF$46)/15</f>
        <v>701.96799999999996</v>
      </c>
      <c r="F33" s="1050">
        <v>150</v>
      </c>
      <c r="G33" s="1010">
        <f ca="1">E33*F33</f>
        <v>105295.2</v>
      </c>
      <c r="H33" s="1010"/>
      <c r="I33" s="1050"/>
      <c r="J33" s="1010"/>
      <c r="K33" s="1010"/>
      <c r="L33" s="1050"/>
      <c r="M33" s="1010"/>
      <c r="N33" s="1010"/>
      <c r="O33" s="1050"/>
      <c r="P33" s="1072"/>
    </row>
    <row r="34" spans="2:16">
      <c r="B34" s="1074"/>
      <c r="C34" s="1068"/>
      <c r="D34" s="1049"/>
      <c r="E34" s="1049" t="s">
        <v>946</v>
      </c>
      <c r="F34" s="1050" t="s">
        <v>947</v>
      </c>
      <c r="G34" s="1048" t="s">
        <v>638</v>
      </c>
      <c r="H34" s="1010"/>
      <c r="I34" s="1050"/>
      <c r="J34" s="1010"/>
      <c r="K34" s="1010"/>
      <c r="L34" s="1050"/>
      <c r="M34" s="1010"/>
      <c r="N34" s="1010"/>
      <c r="O34" s="1050"/>
      <c r="P34" s="1072"/>
    </row>
    <row r="35" spans="2:16">
      <c r="B35" s="1047" t="s">
        <v>945</v>
      </c>
      <c r="C35" s="1048"/>
      <c r="D35" s="1049"/>
      <c r="E35" s="1067">
        <f ca="1">+'Year 1'!AE60</f>
        <v>1606.6000000000001</v>
      </c>
      <c r="F35" s="1050">
        <v>15</v>
      </c>
      <c r="G35" s="1010">
        <f ca="1">E35*F35</f>
        <v>24099.000000000004</v>
      </c>
      <c r="H35" s="1010"/>
      <c r="I35" s="1050"/>
      <c r="J35" s="1010"/>
      <c r="K35" s="1010"/>
      <c r="L35" s="1050"/>
      <c r="M35" s="1010"/>
      <c r="N35" s="1010"/>
      <c r="O35" s="1050"/>
      <c r="P35" s="1072"/>
    </row>
    <row r="36" spans="2:16">
      <c r="B36" s="1047"/>
      <c r="C36" s="1048"/>
      <c r="D36" s="1049"/>
      <c r="E36" s="1067"/>
      <c r="F36" s="1050"/>
      <c r="G36" s="1010"/>
      <c r="H36" s="1010"/>
      <c r="I36" s="1050"/>
      <c r="J36" s="1010"/>
      <c r="K36" s="1010"/>
      <c r="L36" s="1050"/>
      <c r="M36" s="1010"/>
      <c r="N36" s="1010"/>
      <c r="O36" s="1050"/>
      <c r="P36" s="1072"/>
    </row>
    <row r="37" spans="2:16">
      <c r="B37" s="1075"/>
      <c r="C37" s="1076"/>
      <c r="D37" s="1077" t="s">
        <v>927</v>
      </c>
      <c r="E37" s="1077"/>
      <c r="F37" s="1077" t="s">
        <v>894</v>
      </c>
      <c r="G37" s="1077" t="s">
        <v>638</v>
      </c>
      <c r="H37" s="1077"/>
      <c r="I37" s="1077"/>
      <c r="J37" s="1077"/>
      <c r="K37" s="1077"/>
      <c r="L37" s="1077"/>
      <c r="M37" s="1077"/>
      <c r="N37" s="1077"/>
      <c r="O37" s="1077"/>
      <c r="P37" s="1097"/>
    </row>
    <row r="38" spans="2:16" ht="38.25">
      <c r="B38" s="1093" t="s">
        <v>955</v>
      </c>
      <c r="C38" s="1076"/>
      <c r="D38" s="1078">
        <f ca="1">G28/F28</f>
        <v>1545.9691200000002</v>
      </c>
      <c r="E38" s="1078"/>
      <c r="F38" s="1079">
        <f>+F28+F31+F33</f>
        <v>12075</v>
      </c>
      <c r="G38" s="1080">
        <f ca="1">+G28+G31+G33</f>
        <v>17985294.600000001</v>
      </c>
      <c r="H38" s="1078"/>
      <c r="I38" s="1079"/>
      <c r="J38" s="1080"/>
      <c r="K38" s="1078"/>
      <c r="L38" s="1079"/>
      <c r="M38" s="1080"/>
      <c r="N38" s="1078"/>
      <c r="O38" s="1079"/>
      <c r="P38" s="1098"/>
    </row>
    <row r="39" spans="2:16">
      <c r="B39" s="1093"/>
      <c r="C39" s="1076"/>
      <c r="D39" s="1078"/>
      <c r="E39" s="1078"/>
      <c r="F39" s="1079"/>
      <c r="G39" s="1080"/>
      <c r="H39" s="1078"/>
      <c r="I39" s="1079"/>
      <c r="J39" s="1099"/>
      <c r="K39" s="1078"/>
      <c r="L39" s="1079"/>
      <c r="M39" s="1099"/>
      <c r="N39" s="1078"/>
      <c r="O39" s="1079"/>
      <c r="P39" s="1098"/>
    </row>
    <row r="40" spans="2:16">
      <c r="B40" s="1075" t="s">
        <v>932</v>
      </c>
      <c r="C40" s="1077"/>
      <c r="D40" s="1081">
        <f>G40/F40</f>
        <v>1242.2360248447205</v>
      </c>
      <c r="E40" s="1081"/>
      <c r="F40" s="1082">
        <f>+F38</f>
        <v>12075</v>
      </c>
      <c r="G40" s="1083">
        <v>15000000</v>
      </c>
      <c r="H40" s="1078"/>
      <c r="I40" s="1082"/>
      <c r="J40" s="1099"/>
      <c r="K40" s="1078"/>
      <c r="L40" s="1082"/>
      <c r="M40" s="1099"/>
      <c r="N40" s="1078"/>
      <c r="O40" s="1082"/>
      <c r="P40" s="1100"/>
    </row>
    <row r="41" spans="2:16">
      <c r="B41" s="1084"/>
      <c r="C41" s="1076"/>
      <c r="D41" s="1078"/>
      <c r="E41" s="1078"/>
      <c r="F41" s="1076"/>
      <c r="G41" s="1078"/>
      <c r="H41" s="1078"/>
      <c r="I41" s="1076"/>
      <c r="J41" s="1080"/>
      <c r="K41" s="1078"/>
      <c r="L41" s="1076"/>
      <c r="M41" s="1080"/>
      <c r="N41" s="1078"/>
      <c r="O41" s="1076"/>
      <c r="P41" s="1098"/>
    </row>
    <row r="42" spans="2:16">
      <c r="B42" s="1075" t="s">
        <v>642</v>
      </c>
      <c r="C42" s="1076"/>
      <c r="D42" s="1081">
        <f ca="1">D38-D40</f>
        <v>303.73309515527967</v>
      </c>
      <c r="E42" s="1081"/>
      <c r="F42" s="1085">
        <f>F38-F40</f>
        <v>0</v>
      </c>
      <c r="G42" s="1083">
        <f ca="1">G38-G40</f>
        <v>2985294.6000000015</v>
      </c>
      <c r="H42" s="1081"/>
      <c r="I42" s="1085"/>
      <c r="J42" s="1083"/>
      <c r="K42" s="1081"/>
      <c r="L42" s="1085"/>
      <c r="M42" s="1083"/>
      <c r="N42" s="1081"/>
      <c r="O42" s="1085"/>
      <c r="P42" s="1100"/>
    </row>
    <row r="43" spans="2:16" ht="13.5" thickBot="1">
      <c r="B43" s="1086" t="s">
        <v>928</v>
      </c>
      <c r="C43" s="1087"/>
      <c r="D43" s="1088">
        <f ca="1">D42/D38</f>
        <v>0.19646776331164986</v>
      </c>
      <c r="E43" s="1088"/>
      <c r="F43" s="1088">
        <f>F42/F38</f>
        <v>0</v>
      </c>
      <c r="G43" s="1088">
        <f ca="1">G42/G38</f>
        <v>0.16598530446090115</v>
      </c>
      <c r="H43" s="1088"/>
      <c r="I43" s="1088"/>
      <c r="J43" s="1088"/>
      <c r="K43" s="1088"/>
      <c r="L43" s="1088"/>
      <c r="M43" s="1088"/>
      <c r="N43" s="1088"/>
      <c r="O43" s="1088"/>
      <c r="P43" s="1101"/>
    </row>
    <row r="44" spans="2:16">
      <c r="B44" s="1075"/>
      <c r="C44" s="1076"/>
      <c r="D44" s="1077" t="s">
        <v>927</v>
      </c>
      <c r="E44" s="1077"/>
      <c r="F44" s="1077" t="s">
        <v>894</v>
      </c>
      <c r="G44" s="1077" t="s">
        <v>638</v>
      </c>
      <c r="H44" s="1077"/>
      <c r="I44" s="1077"/>
      <c r="J44" s="1077"/>
      <c r="K44" s="1077"/>
      <c r="L44" s="1077"/>
      <c r="M44" s="1077"/>
      <c r="N44" s="1077"/>
      <c r="O44" s="1077"/>
      <c r="P44" s="1097"/>
    </row>
    <row r="45" spans="2:16" ht="38.25">
      <c r="B45" s="1093" t="s">
        <v>955</v>
      </c>
      <c r="C45" s="1076"/>
      <c r="D45" s="1078">
        <f ca="1">D38</f>
        <v>1545.9691200000002</v>
      </c>
      <c r="E45" s="1078"/>
      <c r="F45" s="1079">
        <f>F38</f>
        <v>12075</v>
      </c>
      <c r="G45" s="1080">
        <f ca="1">G38</f>
        <v>17985294.600000001</v>
      </c>
      <c r="H45" s="1078"/>
      <c r="I45" s="1079"/>
      <c r="J45" s="1080"/>
      <c r="K45" s="1078"/>
      <c r="L45" s="1079"/>
      <c r="M45" s="1080"/>
      <c r="N45" s="1078"/>
      <c r="O45" s="1079"/>
      <c r="P45" s="1098"/>
    </row>
    <row r="46" spans="2:16">
      <c r="B46" s="1075" t="s">
        <v>988</v>
      </c>
      <c r="C46" s="1077"/>
      <c r="D46" s="1081">
        <f>G46/F46</f>
        <v>993.78881987577643</v>
      </c>
      <c r="E46" s="1081"/>
      <c r="F46" s="1082">
        <f>+F45</f>
        <v>12075</v>
      </c>
      <c r="G46" s="1083">
        <v>12000000</v>
      </c>
      <c r="H46" s="1078"/>
      <c r="I46" s="1082"/>
      <c r="J46" s="1099"/>
      <c r="K46" s="1078"/>
      <c r="L46" s="1082"/>
      <c r="M46" s="1099"/>
      <c r="N46" s="1078"/>
      <c r="O46" s="1082"/>
      <c r="P46" s="1100"/>
    </row>
    <row r="47" spans="2:16">
      <c r="B47" s="1084"/>
      <c r="C47" s="1076"/>
      <c r="D47" s="1078"/>
      <c r="E47" s="1078"/>
      <c r="F47" s="1076"/>
      <c r="G47" s="1078"/>
      <c r="H47" s="1078"/>
      <c r="I47" s="1076"/>
      <c r="J47" s="1080"/>
      <c r="K47" s="1078"/>
      <c r="L47" s="1076"/>
      <c r="M47" s="1080"/>
      <c r="N47" s="1078"/>
      <c r="O47" s="1076"/>
      <c r="P47" s="1098"/>
    </row>
    <row r="48" spans="2:16">
      <c r="B48" s="1075" t="s">
        <v>642</v>
      </c>
      <c r="C48" s="1076"/>
      <c r="D48" s="1081">
        <f ca="1">D45-D46</f>
        <v>552.18030012422378</v>
      </c>
      <c r="E48" s="1081"/>
      <c r="F48" s="1085">
        <f>F45-F46</f>
        <v>0</v>
      </c>
      <c r="G48" s="1083">
        <f ca="1">G45-G46</f>
        <v>5985294.6000000015</v>
      </c>
      <c r="H48" s="1081"/>
      <c r="I48" s="1085"/>
      <c r="J48" s="1083"/>
      <c r="K48" s="1081"/>
      <c r="L48" s="1085"/>
      <c r="M48" s="1083"/>
      <c r="N48" s="1081"/>
      <c r="O48" s="1085"/>
      <c r="P48" s="1100"/>
    </row>
    <row r="49" spans="2:16" ht="13.5" thickBot="1">
      <c r="B49" s="1086" t="s">
        <v>928</v>
      </c>
      <c r="C49" s="1087"/>
      <c r="D49" s="1088">
        <f ca="1">D48/D45</f>
        <v>0.35717421064931987</v>
      </c>
      <c r="E49" s="1088"/>
      <c r="F49" s="1088">
        <f>F48/F45</f>
        <v>0</v>
      </c>
      <c r="G49" s="1088">
        <f ca="1">G48/G45</f>
        <v>0.33278824356872089</v>
      </c>
      <c r="H49" s="1088"/>
      <c r="I49" s="1088"/>
      <c r="J49" s="1088"/>
      <c r="K49" s="1088"/>
      <c r="L49" s="1088"/>
      <c r="M49" s="1088"/>
      <c r="N49" s="1088"/>
      <c r="O49" s="1088"/>
      <c r="P49" s="1101"/>
    </row>
    <row r="50" spans="2:16" ht="13.5" thickBot="1"/>
    <row r="51" spans="2:16" ht="13.5" thickBot="1">
      <c r="B51" s="1198" t="s">
        <v>954</v>
      </c>
      <c r="C51" s="1199"/>
      <c r="D51" s="1039" t="s">
        <v>958</v>
      </c>
      <c r="I51" s="1053"/>
    </row>
    <row r="52" spans="2:16">
      <c r="B52" s="1102" t="s">
        <v>925</v>
      </c>
      <c r="C52" s="1103">
        <v>0.08</v>
      </c>
      <c r="E52" s="1197" t="s">
        <v>991</v>
      </c>
      <c r="F52" s="1197"/>
      <c r="G52" s="1197"/>
      <c r="H52" s="1197"/>
      <c r="I52" s="1197"/>
      <c r="J52" s="1197"/>
      <c r="K52" s="1197"/>
      <c r="L52" s="1197"/>
      <c r="M52" s="1197"/>
      <c r="N52" s="1197"/>
      <c r="O52" s="1197"/>
      <c r="P52" s="1197"/>
    </row>
    <row r="53" spans="2:16">
      <c r="B53" s="1047" t="s">
        <v>926</v>
      </c>
      <c r="C53" s="1095">
        <v>0.08</v>
      </c>
      <c r="E53" s="1197"/>
      <c r="F53" s="1197"/>
      <c r="G53" s="1197"/>
      <c r="H53" s="1197"/>
      <c r="I53" s="1197"/>
      <c r="J53" s="1197"/>
      <c r="K53" s="1197"/>
      <c r="L53" s="1197"/>
      <c r="M53" s="1197"/>
      <c r="N53" s="1197"/>
      <c r="O53" s="1197"/>
      <c r="P53" s="1197"/>
    </row>
    <row r="54" spans="2:16">
      <c r="B54" s="1047" t="s">
        <v>931</v>
      </c>
      <c r="C54" s="1095">
        <v>0.08</v>
      </c>
      <c r="E54" s="1039" t="s">
        <v>972</v>
      </c>
    </row>
    <row r="55" spans="2:16" ht="13.5" thickBot="1">
      <c r="B55" s="1051" t="s">
        <v>750</v>
      </c>
      <c r="C55" s="1096">
        <f ca="1">SUM('Year 1'!AK63+'Year 2'!AK63+'Year 3'!AK63)/SUM('Year 3'!AI63+'Year 2'!AI63+'Year 1'!AI63)</f>
        <v>8.0007727139278437E-2</v>
      </c>
      <c r="E55" s="1039" t="s">
        <v>971</v>
      </c>
    </row>
    <row r="56" spans="2:16">
      <c r="D56" s="1052" t="s">
        <v>929</v>
      </c>
    </row>
    <row r="57" spans="2:16">
      <c r="D57" s="1052" t="s">
        <v>930</v>
      </c>
    </row>
    <row r="58" spans="2:16">
      <c r="E58" s="1052" t="s">
        <v>934</v>
      </c>
    </row>
    <row r="59" spans="2:16">
      <c r="E59" s="1052" t="s">
        <v>933</v>
      </c>
    </row>
    <row r="60" spans="2:16">
      <c r="E60" s="1052" t="s">
        <v>935</v>
      </c>
    </row>
    <row r="61" spans="2:16">
      <c r="E61" s="1052" t="s">
        <v>936</v>
      </c>
    </row>
    <row r="62" spans="2:16">
      <c r="E62" s="1052" t="s">
        <v>968</v>
      </c>
    </row>
    <row r="63" spans="2:16">
      <c r="E63" s="1039" t="s">
        <v>959</v>
      </c>
    </row>
    <row r="64" spans="2:16" ht="12.75" customHeight="1">
      <c r="E64" s="1197" t="s">
        <v>969</v>
      </c>
      <c r="F64" s="1197"/>
      <c r="G64" s="1197"/>
      <c r="H64" s="1197"/>
      <c r="I64" s="1197"/>
      <c r="J64" s="1197"/>
      <c r="K64" s="1197"/>
      <c r="L64" s="1197"/>
      <c r="M64" s="1197"/>
      <c r="N64" s="1197"/>
      <c r="O64" s="1197"/>
      <c r="P64" s="1197"/>
    </row>
    <row r="65" spans="5:16">
      <c r="E65" s="1197"/>
      <c r="F65" s="1197"/>
      <c r="G65" s="1197"/>
      <c r="H65" s="1197"/>
      <c r="I65" s="1197"/>
      <c r="J65" s="1197"/>
      <c r="K65" s="1197"/>
      <c r="L65" s="1197"/>
      <c r="M65" s="1197"/>
      <c r="N65" s="1197"/>
      <c r="O65" s="1197"/>
      <c r="P65" s="1197"/>
    </row>
    <row r="66" spans="5:16">
      <c r="E66" s="1039" t="s">
        <v>967</v>
      </c>
    </row>
  </sheetData>
  <mergeCells count="9">
    <mergeCell ref="B51:C51"/>
    <mergeCell ref="E52:P53"/>
    <mergeCell ref="E64:P65"/>
    <mergeCell ref="B33:C33"/>
    <mergeCell ref="F7:G7"/>
    <mergeCell ref="H7:J7"/>
    <mergeCell ref="K7:M7"/>
    <mergeCell ref="N7:P7"/>
    <mergeCell ref="B31:C31"/>
  </mergeCells>
  <pageMargins left="0.2" right="0.2" top="0.25" bottom="0.25" header="0.3" footer="0.3"/>
  <pageSetup paperSize="5" scale="59" orientation="landscape" r:id="rId1"/>
  <cellWatches>
    <cellWatch r="G45"/>
  </cellWatches>
</worksheet>
</file>

<file path=xl/worksheets/sheet14.xml><?xml version="1.0" encoding="utf-8"?>
<worksheet xmlns="http://schemas.openxmlformats.org/spreadsheetml/2006/main" xmlns:r="http://schemas.openxmlformats.org/officeDocument/2006/relationships">
  <dimension ref="D4:L46"/>
  <sheetViews>
    <sheetView view="pageBreakPreview" topLeftCell="D1" zoomScaleNormal="100" zoomScaleSheetLayoutView="100" workbookViewId="0">
      <selection activeCell="F33" sqref="F33"/>
    </sheetView>
  </sheetViews>
  <sheetFormatPr defaultRowHeight="12.75"/>
  <cols>
    <col min="1" max="3" width="0" hidden="1" customWidth="1"/>
    <col min="4" max="4" width="35.5703125" bestFit="1" customWidth="1"/>
    <col min="5" max="5" width="12.28515625" bestFit="1" customWidth="1"/>
    <col min="6" max="6" width="18.7109375" bestFit="1" customWidth="1"/>
    <col min="7" max="7" width="13.85546875" bestFit="1" customWidth="1"/>
    <col min="8" max="8" width="0" hidden="1" customWidth="1"/>
    <col min="9" max="9" width="22" hidden="1" customWidth="1"/>
    <col min="10" max="12" width="14" hidden="1" customWidth="1"/>
  </cols>
  <sheetData>
    <row r="4" spans="4:12" ht="13.5" thickBot="1">
      <c r="I4" s="1165">
        <v>0.1</v>
      </c>
      <c r="J4" s="1165">
        <v>0.9</v>
      </c>
      <c r="L4" t="s">
        <v>1000</v>
      </c>
    </row>
    <row r="5" spans="4:12" ht="13.5" thickBot="1">
      <c r="D5" s="1166" t="s">
        <v>688</v>
      </c>
      <c r="E5" s="1167" t="s">
        <v>1001</v>
      </c>
      <c r="F5" s="1167" t="s">
        <v>1002</v>
      </c>
      <c r="G5" s="1167" t="s">
        <v>1003</v>
      </c>
    </row>
    <row r="6" spans="4:12">
      <c r="D6" s="1168" t="s">
        <v>1004</v>
      </c>
      <c r="E6" s="1169">
        <v>40298</v>
      </c>
      <c r="F6" s="1170">
        <f>VLOOKUP($G6,'[9]Cash Flow Analysis_WC'!$O$8:$S$82,5,FALSE)</f>
        <v>2771417.9592118058</v>
      </c>
      <c r="G6" s="1171">
        <f>+E8</f>
        <v>40359</v>
      </c>
      <c r="I6" s="1172">
        <f>F6*0.1</f>
        <v>277141.79592118057</v>
      </c>
      <c r="J6" s="1173">
        <f>F6*0.9</f>
        <v>2494276.1632906254</v>
      </c>
      <c r="K6" s="877">
        <f>J6+I5</f>
        <v>2494276.1632906254</v>
      </c>
      <c r="L6" s="877" t="e">
        <f>#REF!-K6</f>
        <v>#REF!</v>
      </c>
    </row>
    <row r="7" spans="4:12">
      <c r="D7" s="1001"/>
      <c r="E7" s="1174">
        <v>40329</v>
      </c>
      <c r="F7" s="1175">
        <f>VLOOKUP($G7,'[9]Cash Flow Analysis_WC'!$O$8:$S$82,5,FALSE)</f>
        <v>2771417.9592118058</v>
      </c>
      <c r="G7" s="1176">
        <f t="shared" ref="G7:G15" si="0">+E9</f>
        <v>40390</v>
      </c>
      <c r="I7" s="1172">
        <f t="shared" ref="I7:I17" si="1">F7*0.1</f>
        <v>277141.79592118057</v>
      </c>
      <c r="J7" s="1173">
        <f t="shared" ref="J7:J17" si="2">F7*0.9</f>
        <v>2494276.1632906254</v>
      </c>
      <c r="K7" s="877">
        <f t="shared" ref="K7:K17" si="3">J7+I6</f>
        <v>2771417.9592118058</v>
      </c>
      <c r="L7" s="877" t="e">
        <f>#REF!-K7</f>
        <v>#REF!</v>
      </c>
    </row>
    <row r="8" spans="4:12">
      <c r="D8" s="1001"/>
      <c r="E8" s="1174">
        <v>40359</v>
      </c>
      <c r="F8" s="1175">
        <f>VLOOKUP($G8,'[9]Cash Flow Analysis_WC'!$O$8:$S$82,5,FALSE)</f>
        <v>2771417.9592118058</v>
      </c>
      <c r="G8" s="1176">
        <f t="shared" si="0"/>
        <v>40421</v>
      </c>
      <c r="I8" s="1172">
        <f t="shared" si="1"/>
        <v>277141.79592118057</v>
      </c>
      <c r="J8" s="1173">
        <f t="shared" si="2"/>
        <v>2494276.1632906254</v>
      </c>
      <c r="K8" s="877">
        <f t="shared" si="3"/>
        <v>2771417.9592118058</v>
      </c>
      <c r="L8" s="877" t="e">
        <f>#REF!-K8</f>
        <v>#REF!</v>
      </c>
    </row>
    <row r="9" spans="4:12">
      <c r="D9" s="1001"/>
      <c r="E9" s="1174">
        <v>40390</v>
      </c>
      <c r="F9" s="1175">
        <f>VLOOKUP($G9,'[9]Cash Flow Analysis_WC'!$O$8:$S$82,5,FALSE)</f>
        <v>2771417.9592118058</v>
      </c>
      <c r="G9" s="1176">
        <f t="shared" si="0"/>
        <v>40451</v>
      </c>
      <c r="I9" s="1172">
        <f t="shared" si="1"/>
        <v>277141.79592118057</v>
      </c>
      <c r="J9" s="1173">
        <f t="shared" si="2"/>
        <v>2494276.1632906254</v>
      </c>
      <c r="K9" s="877">
        <f t="shared" si="3"/>
        <v>2771417.9592118058</v>
      </c>
      <c r="L9" s="877" t="e">
        <f>#REF!-K9</f>
        <v>#REF!</v>
      </c>
    </row>
    <row r="10" spans="4:12">
      <c r="D10" s="1001"/>
      <c r="E10" s="1174">
        <v>40421</v>
      </c>
      <c r="F10" s="1175">
        <f>VLOOKUP($G10,'[9]Cash Flow Analysis_WC'!$O$8:$S$82,5,FALSE)</f>
        <v>2771417.9592118058</v>
      </c>
      <c r="G10" s="1176">
        <f t="shared" si="0"/>
        <v>40482</v>
      </c>
      <c r="I10" s="1172">
        <f t="shared" si="1"/>
        <v>277141.79592118057</v>
      </c>
      <c r="J10" s="1173">
        <f t="shared" si="2"/>
        <v>2494276.1632906254</v>
      </c>
      <c r="K10" s="877">
        <f t="shared" si="3"/>
        <v>2771417.9592118058</v>
      </c>
      <c r="L10" s="877" t="e">
        <f>#REF!-K10</f>
        <v>#REF!</v>
      </c>
    </row>
    <row r="11" spans="4:12">
      <c r="D11" s="1001"/>
      <c r="E11" s="1174">
        <v>40451</v>
      </c>
      <c r="F11" s="1175">
        <f>VLOOKUP($G11,'[9]Cash Flow Analysis_WC'!$O$8:$S$82,5,FALSE)</f>
        <v>2771417.9592118058</v>
      </c>
      <c r="G11" s="1176">
        <f t="shared" si="0"/>
        <v>40512</v>
      </c>
      <c r="I11" s="1172">
        <f t="shared" si="1"/>
        <v>277141.79592118057</v>
      </c>
      <c r="J11" s="1173">
        <f t="shared" si="2"/>
        <v>2494276.1632906254</v>
      </c>
      <c r="K11" s="877">
        <f t="shared" si="3"/>
        <v>2771417.9592118058</v>
      </c>
      <c r="L11" s="877" t="e">
        <f>#REF!-K11</f>
        <v>#REF!</v>
      </c>
    </row>
    <row r="12" spans="4:12">
      <c r="D12" s="1001"/>
      <c r="E12" s="1174">
        <v>40482</v>
      </c>
      <c r="F12" s="1175">
        <f>VLOOKUP($G12,'[9]Cash Flow Analysis_WC'!$O$8:$S$82,5,FALSE)</f>
        <v>2771417.9592118058</v>
      </c>
      <c r="G12" s="1176">
        <f t="shared" si="0"/>
        <v>40543</v>
      </c>
      <c r="I12" s="1172">
        <f t="shared" si="1"/>
        <v>277141.79592118057</v>
      </c>
      <c r="J12" s="1173">
        <f t="shared" si="2"/>
        <v>2494276.1632906254</v>
      </c>
      <c r="K12" s="877">
        <f t="shared" si="3"/>
        <v>2771417.9592118058</v>
      </c>
      <c r="L12" s="877" t="e">
        <f>#REF!-K12</f>
        <v>#REF!</v>
      </c>
    </row>
    <row r="13" spans="4:12">
      <c r="D13" s="1001"/>
      <c r="E13" s="1174">
        <v>40512</v>
      </c>
      <c r="F13" s="1175">
        <f>VLOOKUP($G13,'[9]Cash Flow Analysis_WC'!$O$8:$S$82,5,FALSE)</f>
        <v>2771417.9592118058</v>
      </c>
      <c r="G13" s="1176">
        <f t="shared" si="0"/>
        <v>40574</v>
      </c>
      <c r="I13" s="1172">
        <f t="shared" si="1"/>
        <v>277141.79592118057</v>
      </c>
      <c r="J13" s="1173">
        <f t="shared" si="2"/>
        <v>2494276.1632906254</v>
      </c>
      <c r="K13" s="877">
        <f t="shared" si="3"/>
        <v>2771417.9592118058</v>
      </c>
      <c r="L13" s="877" t="e">
        <f>#REF!-K13</f>
        <v>#REF!</v>
      </c>
    </row>
    <row r="14" spans="4:12">
      <c r="D14" s="1001"/>
      <c r="E14" s="1174">
        <v>40543</v>
      </c>
      <c r="F14" s="1175">
        <f>VLOOKUP($G14,'[9]Cash Flow Analysis_WC'!$O$8:$S$82,5,FALSE)</f>
        <v>2771417.9592118058</v>
      </c>
      <c r="G14" s="1176">
        <f t="shared" si="0"/>
        <v>40602</v>
      </c>
      <c r="I14" s="1172">
        <f t="shared" si="1"/>
        <v>277141.79592118057</v>
      </c>
      <c r="J14" s="1173">
        <f t="shared" si="2"/>
        <v>2494276.1632906254</v>
      </c>
      <c r="K14" s="877">
        <f t="shared" si="3"/>
        <v>2771417.9592118058</v>
      </c>
      <c r="L14" s="877" t="e">
        <f>#REF!-K14</f>
        <v>#REF!</v>
      </c>
    </row>
    <row r="15" spans="4:12">
      <c r="D15" s="1001"/>
      <c r="E15" s="1174">
        <v>40574</v>
      </c>
      <c r="F15" s="1175">
        <f>VLOOKUP($G15,'[9]Cash Flow Analysis_WC'!$O$8:$S$82,5,FALSE)</f>
        <v>2771417.9592118058</v>
      </c>
      <c r="G15" s="1176">
        <f t="shared" si="0"/>
        <v>40633</v>
      </c>
      <c r="I15" s="1172">
        <f t="shared" si="1"/>
        <v>277141.79592118057</v>
      </c>
      <c r="J15" s="1173">
        <f t="shared" si="2"/>
        <v>2494276.1632906254</v>
      </c>
      <c r="K15" s="877">
        <f t="shared" si="3"/>
        <v>2771417.9592118058</v>
      </c>
      <c r="L15" s="877" t="e">
        <f>#REF!-K15</f>
        <v>#REF!</v>
      </c>
    </row>
    <row r="16" spans="4:12">
      <c r="D16" s="1001"/>
      <c r="E16" s="1174">
        <v>40602</v>
      </c>
      <c r="F16" s="1175">
        <f>VLOOKUP($G16,'[9]Cash Flow Analysis_WC'!$O$8:$S$82,5,FALSE)</f>
        <v>2771417.9592118058</v>
      </c>
      <c r="G16" s="1176">
        <f>+E18</f>
        <v>40663</v>
      </c>
      <c r="I16" s="1172">
        <f t="shared" si="1"/>
        <v>277141.79592118057</v>
      </c>
      <c r="J16" s="1173">
        <f t="shared" si="2"/>
        <v>2494276.1632906254</v>
      </c>
      <c r="K16" s="877">
        <f t="shared" si="3"/>
        <v>2771417.9592118058</v>
      </c>
      <c r="L16" s="877" t="e">
        <f>#REF!-K16</f>
        <v>#REF!</v>
      </c>
    </row>
    <row r="17" spans="4:12" ht="13.5" thickBot="1">
      <c r="D17" s="1002"/>
      <c r="E17" s="1177">
        <v>40633</v>
      </c>
      <c r="F17" s="1178">
        <f>VLOOKUP($G17,'[9]Cash Flow Analysis_WC'!$O$8:$S$82,5,FALSE)</f>
        <v>2771417.9592118058</v>
      </c>
      <c r="G17" s="1179">
        <f>+E19</f>
        <v>40694</v>
      </c>
      <c r="I17" s="1172">
        <f t="shared" si="1"/>
        <v>277141.79592118057</v>
      </c>
      <c r="J17" s="1173">
        <f t="shared" si="2"/>
        <v>2494276.1632906254</v>
      </c>
      <c r="K17" s="877">
        <f t="shared" si="3"/>
        <v>2771417.9592118058</v>
      </c>
      <c r="L17" s="877" t="e">
        <f>#REF!-K17</f>
        <v>#REF!</v>
      </c>
    </row>
    <row r="18" spans="4:12">
      <c r="D18" s="1168" t="s">
        <v>1005</v>
      </c>
      <c r="E18" s="1169">
        <v>40663</v>
      </c>
      <c r="F18" s="1170">
        <f>VLOOKUP($G18,'[9]Cash Flow Analysis_WC'!$O$8:$S$82,5,FALSE)</f>
        <v>1701707.1825000001</v>
      </c>
      <c r="G18" s="1171">
        <f>+E20</f>
        <v>40724</v>
      </c>
      <c r="I18" s="1172">
        <f>F18*0.1</f>
        <v>170170.71825000003</v>
      </c>
      <c r="J18" s="1173">
        <f>F18*0.9</f>
        <v>1531536.4642500002</v>
      </c>
      <c r="K18" s="877">
        <f>J18+I17</f>
        <v>1808678.2601711808</v>
      </c>
      <c r="L18" s="877" t="e">
        <f>#REF!-K18</f>
        <v>#REF!</v>
      </c>
    </row>
    <row r="19" spans="4:12">
      <c r="D19" s="1001"/>
      <c r="E19" s="1174">
        <v>40694</v>
      </c>
      <c r="F19" s="1175">
        <f>VLOOKUP($G19,'[9]Cash Flow Analysis_WC'!$O$8:$S$82,5,FALSE)</f>
        <v>1701707.1825000001</v>
      </c>
      <c r="G19" s="1176">
        <f t="shared" ref="G19:G27" si="4">+E21</f>
        <v>40755</v>
      </c>
      <c r="I19" s="1172">
        <f t="shared" ref="I19:I29" si="5">F19*0.1</f>
        <v>170170.71825000003</v>
      </c>
      <c r="J19" s="1173">
        <f t="shared" ref="J19:J29" si="6">F19*0.9</f>
        <v>1531536.4642500002</v>
      </c>
      <c r="K19" s="877">
        <f t="shared" ref="K19:K29" si="7">J19+I18</f>
        <v>1701707.1825000001</v>
      </c>
      <c r="L19" s="877" t="e">
        <f>#REF!-K19</f>
        <v>#REF!</v>
      </c>
    </row>
    <row r="20" spans="4:12">
      <c r="D20" s="1001"/>
      <c r="E20" s="1174">
        <v>40724</v>
      </c>
      <c r="F20" s="1175">
        <f>VLOOKUP($G20,'[9]Cash Flow Analysis_WC'!$O$8:$S$82,5,FALSE)</f>
        <v>1701707.1825000001</v>
      </c>
      <c r="G20" s="1176">
        <f t="shared" si="4"/>
        <v>40786</v>
      </c>
      <c r="I20" s="1172">
        <f t="shared" si="5"/>
        <v>170170.71825000003</v>
      </c>
      <c r="J20" s="1173">
        <f t="shared" si="6"/>
        <v>1531536.4642500002</v>
      </c>
      <c r="K20" s="877">
        <f t="shared" si="7"/>
        <v>1701707.1825000001</v>
      </c>
      <c r="L20" s="877" t="e">
        <f>#REF!-K20</f>
        <v>#REF!</v>
      </c>
    </row>
    <row r="21" spans="4:12">
      <c r="D21" s="1001"/>
      <c r="E21" s="1174">
        <v>40755</v>
      </c>
      <c r="F21" s="1175">
        <f>VLOOKUP($G21,'[9]Cash Flow Analysis_WC'!$O$8:$S$82,5,FALSE)</f>
        <v>1701707.1825000001</v>
      </c>
      <c r="G21" s="1176">
        <f t="shared" si="4"/>
        <v>40816</v>
      </c>
      <c r="I21" s="1172">
        <f t="shared" si="5"/>
        <v>170170.71825000003</v>
      </c>
      <c r="J21" s="1173">
        <f t="shared" si="6"/>
        <v>1531536.4642500002</v>
      </c>
      <c r="K21" s="877">
        <f t="shared" si="7"/>
        <v>1701707.1825000001</v>
      </c>
      <c r="L21" s="877" t="e">
        <f>#REF!-K21</f>
        <v>#REF!</v>
      </c>
    </row>
    <row r="22" spans="4:12">
      <c r="D22" s="1001"/>
      <c r="E22" s="1174">
        <v>40786</v>
      </c>
      <c r="F22" s="1175">
        <f>VLOOKUP($G22,'[9]Cash Flow Analysis_WC'!$O$8:$S$82,5,FALSE)</f>
        <v>1701707.1825000001</v>
      </c>
      <c r="G22" s="1176">
        <f t="shared" si="4"/>
        <v>40847</v>
      </c>
      <c r="I22" s="1172">
        <f t="shared" si="5"/>
        <v>170170.71825000003</v>
      </c>
      <c r="J22" s="1173">
        <f t="shared" si="6"/>
        <v>1531536.4642500002</v>
      </c>
      <c r="K22" s="877">
        <f t="shared" si="7"/>
        <v>1701707.1825000001</v>
      </c>
      <c r="L22" s="877" t="e">
        <f>#REF!-K22</f>
        <v>#REF!</v>
      </c>
    </row>
    <row r="23" spans="4:12">
      <c r="D23" s="1001"/>
      <c r="E23" s="1174">
        <v>40816</v>
      </c>
      <c r="F23" s="1175">
        <f>VLOOKUP($G23,'[9]Cash Flow Analysis_WC'!$O$8:$S$82,5,FALSE)</f>
        <v>1701707.1825000001</v>
      </c>
      <c r="G23" s="1176">
        <f t="shared" si="4"/>
        <v>40877</v>
      </c>
      <c r="I23" s="1172">
        <f t="shared" si="5"/>
        <v>170170.71825000003</v>
      </c>
      <c r="J23" s="1173">
        <f t="shared" si="6"/>
        <v>1531536.4642500002</v>
      </c>
      <c r="K23" s="877">
        <f t="shared" si="7"/>
        <v>1701707.1825000001</v>
      </c>
      <c r="L23" s="877" t="e">
        <f>#REF!-K23</f>
        <v>#REF!</v>
      </c>
    </row>
    <row r="24" spans="4:12">
      <c r="D24" s="1001"/>
      <c r="E24" s="1174">
        <v>40847</v>
      </c>
      <c r="F24" s="1175">
        <f>VLOOKUP($G24,'[9]Cash Flow Analysis_WC'!$O$8:$S$82,5,FALSE)</f>
        <v>1701707.1825000001</v>
      </c>
      <c r="G24" s="1176">
        <f t="shared" si="4"/>
        <v>40908</v>
      </c>
      <c r="I24" s="1172">
        <f t="shared" si="5"/>
        <v>170170.71825000003</v>
      </c>
      <c r="J24" s="1173">
        <f t="shared" si="6"/>
        <v>1531536.4642500002</v>
      </c>
      <c r="K24" s="877">
        <f t="shared" si="7"/>
        <v>1701707.1825000001</v>
      </c>
      <c r="L24" s="877" t="e">
        <f>#REF!-K24</f>
        <v>#REF!</v>
      </c>
    </row>
    <row r="25" spans="4:12">
      <c r="D25" s="1001"/>
      <c r="E25" s="1174">
        <v>40877</v>
      </c>
      <c r="F25" s="1175">
        <f>VLOOKUP($G25,'[9]Cash Flow Analysis_WC'!$O$8:$S$82,5,FALSE)</f>
        <v>1701707.1825000001</v>
      </c>
      <c r="G25" s="1176">
        <f t="shared" si="4"/>
        <v>40939</v>
      </c>
      <c r="I25" s="1172">
        <f t="shared" si="5"/>
        <v>170170.71825000003</v>
      </c>
      <c r="J25" s="1173">
        <f t="shared" si="6"/>
        <v>1531536.4642500002</v>
      </c>
      <c r="K25" s="877">
        <f t="shared" si="7"/>
        <v>1701707.1825000001</v>
      </c>
      <c r="L25" s="877" t="e">
        <f>#REF!-K25</f>
        <v>#REF!</v>
      </c>
    </row>
    <row r="26" spans="4:12">
      <c r="D26" s="1001"/>
      <c r="E26" s="1174">
        <v>40908</v>
      </c>
      <c r="F26" s="1175">
        <f>VLOOKUP($G26,'[9]Cash Flow Analysis_WC'!$O$8:$S$82,5,FALSE)</f>
        <v>1701707.1825000001</v>
      </c>
      <c r="G26" s="1176">
        <f t="shared" si="4"/>
        <v>40968</v>
      </c>
      <c r="I26" s="1172">
        <f t="shared" si="5"/>
        <v>170170.71825000003</v>
      </c>
      <c r="J26" s="1173">
        <f t="shared" si="6"/>
        <v>1531536.4642500002</v>
      </c>
      <c r="K26" s="877">
        <f t="shared" si="7"/>
        <v>1701707.1825000001</v>
      </c>
      <c r="L26" s="877" t="e">
        <f>#REF!-K26</f>
        <v>#REF!</v>
      </c>
    </row>
    <row r="27" spans="4:12">
      <c r="D27" s="1001"/>
      <c r="E27" s="1174">
        <v>40939</v>
      </c>
      <c r="F27" s="1175">
        <f>VLOOKUP($G27,'[9]Cash Flow Analysis_WC'!$O$8:$S$82,5,FALSE)</f>
        <v>1701707.1825000001</v>
      </c>
      <c r="G27" s="1176">
        <f t="shared" si="4"/>
        <v>40999</v>
      </c>
      <c r="I27" s="1172">
        <f t="shared" si="5"/>
        <v>170170.71825000003</v>
      </c>
      <c r="J27" s="1173">
        <f t="shared" si="6"/>
        <v>1531536.4642500002</v>
      </c>
      <c r="K27" s="877">
        <f t="shared" si="7"/>
        <v>1701707.1825000001</v>
      </c>
      <c r="L27" s="877" t="e">
        <f>#REF!-K27</f>
        <v>#REF!</v>
      </c>
    </row>
    <row r="28" spans="4:12">
      <c r="D28" s="1001"/>
      <c r="E28" s="1174">
        <v>40968</v>
      </c>
      <c r="F28" s="1175">
        <f>VLOOKUP($G28,'[9]Cash Flow Analysis_WC'!$O$8:$S$82,5,FALSE)</f>
        <v>1701707.1825000001</v>
      </c>
      <c r="G28" s="1176">
        <f>+E30</f>
        <v>41029</v>
      </c>
      <c r="I28" s="1172">
        <f t="shared" si="5"/>
        <v>170170.71825000003</v>
      </c>
      <c r="J28" s="1173">
        <f t="shared" si="6"/>
        <v>1531536.4642500002</v>
      </c>
      <c r="K28" s="877">
        <f t="shared" si="7"/>
        <v>1701707.1825000001</v>
      </c>
      <c r="L28" s="877" t="e">
        <f>#REF!-K28</f>
        <v>#REF!</v>
      </c>
    </row>
    <row r="29" spans="4:12" ht="13.5" thickBot="1">
      <c r="D29" s="1002"/>
      <c r="E29" s="1177">
        <v>40999</v>
      </c>
      <c r="F29" s="1178">
        <f>VLOOKUP($G29,'[9]Cash Flow Analysis_WC'!$O$8:$S$82,5,FALSE)</f>
        <v>1701707.1825000001</v>
      </c>
      <c r="G29" s="1179">
        <f>+E31</f>
        <v>41060</v>
      </c>
      <c r="I29" s="1172">
        <f t="shared" si="5"/>
        <v>170170.71825000003</v>
      </c>
      <c r="J29" s="1173">
        <f t="shared" si="6"/>
        <v>1531536.4642500002</v>
      </c>
      <c r="K29" s="877">
        <f t="shared" si="7"/>
        <v>1701707.1825000001</v>
      </c>
      <c r="L29" s="877" t="e">
        <f>#REF!-K29</f>
        <v>#REF!</v>
      </c>
    </row>
    <row r="30" spans="4:12">
      <c r="D30" s="1168" t="s">
        <v>1006</v>
      </c>
      <c r="E30" s="1169">
        <v>41029</v>
      </c>
      <c r="F30" s="1170">
        <f>VLOOKUP($G30,'[9]Cash Flow Analysis_WC'!$O$8:$S$82,5,FALSE)</f>
        <v>1784446.5001083333</v>
      </c>
      <c r="G30" s="1171">
        <f>+E32</f>
        <v>41090</v>
      </c>
      <c r="I30" s="1172">
        <f>F30*0.1</f>
        <v>178444.65001083334</v>
      </c>
      <c r="J30" s="1173">
        <f>F30*0.9</f>
        <v>1606001.8500975</v>
      </c>
      <c r="K30" s="877">
        <f>J30+I29</f>
        <v>1776172.5683475002</v>
      </c>
      <c r="L30" s="877" t="e">
        <f>#REF!-K30</f>
        <v>#REF!</v>
      </c>
    </row>
    <row r="31" spans="4:12">
      <c r="D31" s="1001"/>
      <c r="E31" s="1174">
        <v>41060</v>
      </c>
      <c r="F31" s="1175">
        <f>VLOOKUP($G31,'[9]Cash Flow Analysis_WC'!$O$8:$S$82,5,FALSE)</f>
        <v>1784446.5001083333</v>
      </c>
      <c r="G31" s="1176">
        <f t="shared" ref="G31:G39" si="8">+E33</f>
        <v>41121</v>
      </c>
      <c r="I31" s="1172">
        <f t="shared" ref="I31:I41" si="9">F31*0.1</f>
        <v>178444.65001083334</v>
      </c>
      <c r="J31" s="1173">
        <f t="shared" ref="J31:J41" si="10">F31*0.9</f>
        <v>1606001.8500975</v>
      </c>
      <c r="K31" s="877">
        <f t="shared" ref="K31:K41" si="11">J31+I30</f>
        <v>1784446.5001083333</v>
      </c>
      <c r="L31" s="877" t="e">
        <f>#REF!-K31</f>
        <v>#REF!</v>
      </c>
    </row>
    <row r="32" spans="4:12">
      <c r="D32" s="1001"/>
      <c r="E32" s="1174">
        <v>41090</v>
      </c>
      <c r="F32" s="1175">
        <f>VLOOKUP($G32,'[9]Cash Flow Analysis_WC'!$O$8:$S$82,5,FALSE)</f>
        <v>1784446.5001083333</v>
      </c>
      <c r="G32" s="1176">
        <f t="shared" si="8"/>
        <v>41152</v>
      </c>
      <c r="I32" s="1172">
        <f t="shared" si="9"/>
        <v>178444.65001083334</v>
      </c>
      <c r="J32" s="1173">
        <f t="shared" si="10"/>
        <v>1606001.8500975</v>
      </c>
      <c r="K32" s="877">
        <f t="shared" si="11"/>
        <v>1784446.5001083333</v>
      </c>
      <c r="L32" s="877" t="e">
        <f>#REF!-K32</f>
        <v>#REF!</v>
      </c>
    </row>
    <row r="33" spans="4:12">
      <c r="D33" s="1001"/>
      <c r="E33" s="1174">
        <v>41121</v>
      </c>
      <c r="F33" s="1175">
        <f>VLOOKUP($G33,'[9]Cash Flow Analysis_WC'!$O$8:$S$82,5,FALSE)</f>
        <v>1784446.5001083333</v>
      </c>
      <c r="G33" s="1176">
        <f t="shared" si="8"/>
        <v>41182</v>
      </c>
      <c r="I33" s="1172">
        <f t="shared" si="9"/>
        <v>178444.65001083334</v>
      </c>
      <c r="J33" s="1173">
        <f t="shared" si="10"/>
        <v>1606001.8500975</v>
      </c>
      <c r="K33" s="877">
        <f t="shared" si="11"/>
        <v>1784446.5001083333</v>
      </c>
      <c r="L33" s="877" t="e">
        <f>#REF!-K33</f>
        <v>#REF!</v>
      </c>
    </row>
    <row r="34" spans="4:12">
      <c r="D34" s="1001"/>
      <c r="E34" s="1174">
        <v>41152</v>
      </c>
      <c r="F34" s="1175">
        <f>VLOOKUP($G34,'[9]Cash Flow Analysis_WC'!$O$8:$S$82,5,FALSE)</f>
        <v>1784446.5001083333</v>
      </c>
      <c r="G34" s="1176">
        <f t="shared" si="8"/>
        <v>41213</v>
      </c>
      <c r="I34" s="1172">
        <f t="shared" si="9"/>
        <v>178444.65001083334</v>
      </c>
      <c r="J34" s="1173">
        <f t="shared" si="10"/>
        <v>1606001.8500975</v>
      </c>
      <c r="K34" s="877">
        <f t="shared" si="11"/>
        <v>1784446.5001083333</v>
      </c>
      <c r="L34" s="877" t="e">
        <f>#REF!-K34</f>
        <v>#REF!</v>
      </c>
    </row>
    <row r="35" spans="4:12">
      <c r="D35" s="1001"/>
      <c r="E35" s="1174">
        <v>41182</v>
      </c>
      <c r="F35" s="1175">
        <f>VLOOKUP($G35,'[9]Cash Flow Analysis_WC'!$O$8:$S$82,5,FALSE)</f>
        <v>1784446.5001083333</v>
      </c>
      <c r="G35" s="1176">
        <f t="shared" si="8"/>
        <v>41243</v>
      </c>
      <c r="I35" s="1172">
        <f t="shared" si="9"/>
        <v>178444.65001083334</v>
      </c>
      <c r="J35" s="1173">
        <f t="shared" si="10"/>
        <v>1606001.8500975</v>
      </c>
      <c r="K35" s="877">
        <f t="shared" si="11"/>
        <v>1784446.5001083333</v>
      </c>
      <c r="L35" s="877" t="e">
        <f>#REF!-K35</f>
        <v>#REF!</v>
      </c>
    </row>
    <row r="36" spans="4:12">
      <c r="D36" s="1001"/>
      <c r="E36" s="1174">
        <v>41213</v>
      </c>
      <c r="F36" s="1175">
        <f>VLOOKUP($G36,'[9]Cash Flow Analysis_WC'!$O$8:$S$82,5,FALSE)</f>
        <v>1784446.5001083333</v>
      </c>
      <c r="G36" s="1176">
        <f t="shared" si="8"/>
        <v>41274</v>
      </c>
      <c r="I36" s="1172">
        <f t="shared" si="9"/>
        <v>178444.65001083334</v>
      </c>
      <c r="J36" s="1173">
        <f t="shared" si="10"/>
        <v>1606001.8500975</v>
      </c>
      <c r="K36" s="877">
        <f t="shared" si="11"/>
        <v>1784446.5001083333</v>
      </c>
      <c r="L36" s="877" t="e">
        <f>#REF!-K36</f>
        <v>#REF!</v>
      </c>
    </row>
    <row r="37" spans="4:12">
      <c r="D37" s="1001"/>
      <c r="E37" s="1174">
        <v>41243</v>
      </c>
      <c r="F37" s="1175">
        <f>VLOOKUP($G37,'[9]Cash Flow Analysis_WC'!$O$8:$S$82,5,FALSE)</f>
        <v>1784446.5001083333</v>
      </c>
      <c r="G37" s="1176">
        <f t="shared" si="8"/>
        <v>41305</v>
      </c>
      <c r="I37" s="1172">
        <f t="shared" si="9"/>
        <v>178444.65001083334</v>
      </c>
      <c r="J37" s="1173">
        <f t="shared" si="10"/>
        <v>1606001.8500975</v>
      </c>
      <c r="K37" s="877">
        <f t="shared" si="11"/>
        <v>1784446.5001083333</v>
      </c>
      <c r="L37" s="877" t="e">
        <f>#REF!-K37</f>
        <v>#REF!</v>
      </c>
    </row>
    <row r="38" spans="4:12">
      <c r="D38" s="1001"/>
      <c r="E38" s="1174">
        <v>41274</v>
      </c>
      <c r="F38" s="1175">
        <f>VLOOKUP($G38,'[9]Cash Flow Analysis_WC'!$O$8:$S$82,5,FALSE)</f>
        <v>1784446.5001083333</v>
      </c>
      <c r="G38" s="1176">
        <f t="shared" si="8"/>
        <v>41333</v>
      </c>
      <c r="I38" s="1172">
        <f t="shared" si="9"/>
        <v>178444.65001083334</v>
      </c>
      <c r="J38" s="1173">
        <f t="shared" si="10"/>
        <v>1606001.8500975</v>
      </c>
      <c r="K38" s="877">
        <f t="shared" si="11"/>
        <v>1784446.5001083333</v>
      </c>
      <c r="L38" s="877" t="e">
        <f>#REF!-K38</f>
        <v>#REF!</v>
      </c>
    </row>
    <row r="39" spans="4:12">
      <c r="D39" s="1001"/>
      <c r="E39" s="1174">
        <v>41305</v>
      </c>
      <c r="F39" s="1175">
        <f>VLOOKUP($G39,'[9]Cash Flow Analysis_WC'!$O$8:$S$82,5,FALSE)</f>
        <v>1784446.5001083333</v>
      </c>
      <c r="G39" s="1176">
        <f t="shared" si="8"/>
        <v>41364</v>
      </c>
      <c r="I39" s="1172">
        <f t="shared" si="9"/>
        <v>178444.65001083334</v>
      </c>
      <c r="J39" s="1173">
        <f t="shared" si="10"/>
        <v>1606001.8500975</v>
      </c>
      <c r="K39" s="877">
        <f t="shared" si="11"/>
        <v>1784446.5001083333</v>
      </c>
      <c r="L39" s="877" t="e">
        <f>#REF!-K39</f>
        <v>#REF!</v>
      </c>
    </row>
    <row r="40" spans="4:12">
      <c r="D40" s="1001"/>
      <c r="E40" s="1174">
        <v>41333</v>
      </c>
      <c r="F40" s="1175" t="e">
        <f>VLOOKUP($G40,'[9]Cash Flow Analysis_WC'!$O$8:$S$82,5,FALSE)</f>
        <v>#REF!</v>
      </c>
      <c r="G40" s="1176" t="e">
        <f>+#REF!</f>
        <v>#REF!</v>
      </c>
      <c r="I40" s="1172" t="e">
        <f t="shared" si="9"/>
        <v>#REF!</v>
      </c>
      <c r="J40" s="1173" t="e">
        <f t="shared" si="10"/>
        <v>#REF!</v>
      </c>
      <c r="K40" s="877" t="e">
        <f t="shared" si="11"/>
        <v>#REF!</v>
      </c>
      <c r="L40" s="877" t="e">
        <f>#REF!-K40</f>
        <v>#REF!</v>
      </c>
    </row>
    <row r="41" spans="4:12" ht="13.5" thickBot="1">
      <c r="D41" s="1002"/>
      <c r="E41" s="1177">
        <v>41364</v>
      </c>
      <c r="F41" s="1178" t="e">
        <f>VLOOKUP($G41,'[9]Cash Flow Analysis_WC'!$O$8:$S$82,5,FALSE)</f>
        <v>#REF!</v>
      </c>
      <c r="G41" s="1179" t="e">
        <f>+#REF!</f>
        <v>#REF!</v>
      </c>
      <c r="I41" s="1172" t="e">
        <f t="shared" si="9"/>
        <v>#REF!</v>
      </c>
      <c r="J41" s="1173" t="e">
        <f t="shared" si="10"/>
        <v>#REF!</v>
      </c>
      <c r="K41" s="877" t="e">
        <f t="shared" si="11"/>
        <v>#REF!</v>
      </c>
      <c r="L41" s="877" t="e">
        <f>#REF!-K41</f>
        <v>#REF!</v>
      </c>
    </row>
    <row r="42" spans="4:12" ht="13.5" thickBot="1">
      <c r="D42" s="1180" t="s">
        <v>641</v>
      </c>
      <c r="E42" s="1181"/>
      <c r="F42" s="1182" t="e">
        <f>SUM(F6:F41)</f>
        <v>#REF!</v>
      </c>
      <c r="G42" s="1183"/>
    </row>
    <row r="43" spans="4:12">
      <c r="D43" s="1184"/>
    </row>
    <row r="44" spans="4:12">
      <c r="F44" s="1185" t="e">
        <f>SUM(F6:F41)</f>
        <v>#REF!</v>
      </c>
    </row>
    <row r="45" spans="4:12">
      <c r="F45" s="1186">
        <f>+'[9]Top Level Summary'!$L$57</f>
        <v>120881205.92734167</v>
      </c>
      <c r="G45" s="1186"/>
    </row>
    <row r="46" spans="4:12">
      <c r="D46" t="s">
        <v>1000</v>
      </c>
      <c r="F46" s="1185" t="e">
        <f>F44-F45</f>
        <v>#REF!</v>
      </c>
    </row>
  </sheetData>
  <pageMargins left="1" right="1" top="1" bottom="1" header="0.5" footer="0.5"/>
  <pageSetup scale="80" orientation="portrait" r:id="rId1"/>
  <headerFooter alignWithMargins="0"/>
</worksheet>
</file>

<file path=xl/worksheets/sheet15.xml><?xml version="1.0" encoding="utf-8"?>
<worksheet xmlns="http://schemas.openxmlformats.org/spreadsheetml/2006/main" xmlns:r="http://schemas.openxmlformats.org/officeDocument/2006/relationships">
  <dimension ref="I4:L4"/>
  <sheetViews>
    <sheetView view="pageBreakPreview" topLeftCell="D1" zoomScaleNormal="100" zoomScaleSheetLayoutView="100" workbookViewId="0">
      <selection activeCell="D4" sqref="D4"/>
    </sheetView>
  </sheetViews>
  <sheetFormatPr defaultRowHeight="12.75"/>
  <cols>
    <col min="1" max="3" width="0" hidden="1" customWidth="1"/>
    <col min="4" max="4" width="35.5703125" bestFit="1" customWidth="1"/>
    <col min="5" max="5" width="12.28515625" bestFit="1" customWidth="1"/>
    <col min="6" max="6" width="18.7109375" bestFit="1" customWidth="1"/>
    <col min="7" max="7" width="13.85546875" bestFit="1" customWidth="1"/>
    <col min="8" max="8" width="0" hidden="1" customWidth="1"/>
    <col min="9" max="9" width="22" hidden="1" customWidth="1"/>
    <col min="10" max="12" width="14" hidden="1" customWidth="1"/>
  </cols>
  <sheetData>
    <row r="4" spans="9:12">
      <c r="I4" s="1165">
        <v>0.1</v>
      </c>
      <c r="J4" s="1165">
        <v>0.9</v>
      </c>
      <c r="L4" t="s">
        <v>1000</v>
      </c>
    </row>
  </sheetData>
  <pageMargins left="1" right="1" top="1" bottom="1" header="0.5" footer="0.5"/>
  <pageSetup scale="80" orientation="portrait" r:id="rId1"/>
  <headerFooter alignWithMargins="0"/>
</worksheet>
</file>

<file path=xl/worksheets/sheet16.xml><?xml version="1.0" encoding="utf-8"?>
<worksheet xmlns="http://schemas.openxmlformats.org/spreadsheetml/2006/main" xmlns:r="http://schemas.openxmlformats.org/officeDocument/2006/relationships">
  <dimension ref="E1:G14"/>
  <sheetViews>
    <sheetView workbookViewId="0"/>
  </sheetViews>
  <sheetFormatPr defaultRowHeight="12.75"/>
  <cols>
    <col min="5" max="5" width="25.5703125" bestFit="1" customWidth="1"/>
    <col min="6" max="6" width="15" bestFit="1" customWidth="1"/>
    <col min="7" max="7" width="12.28515625" bestFit="1" customWidth="1"/>
  </cols>
  <sheetData>
    <row r="1" spans="5:7" ht="13.5" thickBot="1"/>
    <row r="2" spans="5:7">
      <c r="E2" s="1128"/>
      <c r="F2" s="1129" t="s">
        <v>948</v>
      </c>
      <c r="G2" s="1130" t="s">
        <v>638</v>
      </c>
    </row>
    <row r="3" spans="5:7">
      <c r="E3" s="1115" t="s">
        <v>990</v>
      </c>
      <c r="F3" s="1116">
        <v>1050.8053333333332</v>
      </c>
      <c r="G3" s="1117">
        <v>11997253.439999999</v>
      </c>
    </row>
    <row r="4" spans="5:7">
      <c r="E4" s="1118" t="s">
        <v>932</v>
      </c>
      <c r="F4" s="1119">
        <v>1305.4830287206266</v>
      </c>
      <c r="G4" s="1120">
        <v>15000000</v>
      </c>
    </row>
    <row r="5" spans="5:7">
      <c r="E5" s="1121"/>
      <c r="F5" s="1116"/>
      <c r="G5" s="1122"/>
    </row>
    <row r="6" spans="5:7">
      <c r="E6" s="1118" t="s">
        <v>642</v>
      </c>
      <c r="F6" s="1119">
        <v>-254.6776953872934</v>
      </c>
      <c r="G6" s="1120">
        <v>-3002746.5600000005</v>
      </c>
    </row>
    <row r="7" spans="5:7" ht="13.5" thickBot="1">
      <c r="E7" s="1123" t="s">
        <v>928</v>
      </c>
      <c r="F7" s="1124">
        <v>-0.2423642965147621</v>
      </c>
      <c r="G7" s="1125">
        <v>-0.25028616549755911</v>
      </c>
    </row>
    <row r="8" spans="5:7" ht="13.5" thickBot="1">
      <c r="E8" s="1126"/>
      <c r="F8" s="1127"/>
      <c r="G8" s="1127"/>
    </row>
    <row r="9" spans="5:7">
      <c r="E9" s="1128"/>
      <c r="F9" s="1129" t="s">
        <v>948</v>
      </c>
      <c r="G9" s="1130" t="s">
        <v>638</v>
      </c>
    </row>
    <row r="10" spans="5:7">
      <c r="E10" s="1115" t="s">
        <v>990</v>
      </c>
      <c r="F10" s="1116">
        <v>1050.8053333333332</v>
      </c>
      <c r="G10" s="1117">
        <v>11997253.439999999</v>
      </c>
    </row>
    <row r="11" spans="5:7">
      <c r="E11" s="1118" t="s">
        <v>988</v>
      </c>
      <c r="F11" s="1119">
        <v>1044.3864229765013</v>
      </c>
      <c r="G11" s="1120">
        <v>12000000</v>
      </c>
    </row>
    <row r="12" spans="5:7">
      <c r="E12" s="1121"/>
      <c r="F12" s="1116"/>
      <c r="G12" s="1122"/>
    </row>
    <row r="13" spans="5:7">
      <c r="E13" s="1118" t="s">
        <v>642</v>
      </c>
      <c r="F13" s="1119">
        <v>6.4189103568319297</v>
      </c>
      <c r="G13" s="1120">
        <v>-2746.5600000005215</v>
      </c>
    </row>
    <row r="14" spans="5:7" ht="13.5" thickBot="1">
      <c r="E14" s="1123" t="s">
        <v>928</v>
      </c>
      <c r="F14" s="1124">
        <v>6.1085627881903252E-3</v>
      </c>
      <c r="G14" s="1125">
        <v>-2.2893239804730854E-4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pageSetUpPr fitToPage="1"/>
  </sheetPr>
  <dimension ref="A1:K19"/>
  <sheetViews>
    <sheetView topLeftCell="B1" workbookViewId="0">
      <selection activeCell="I47" sqref="I47"/>
    </sheetView>
  </sheetViews>
  <sheetFormatPr defaultRowHeight="12.75"/>
  <cols>
    <col min="1" max="1" width="3" style="1039" bestFit="1" customWidth="1"/>
    <col min="2" max="2" width="32.85546875" style="1039" customWidth="1"/>
    <col min="3" max="3" width="19" style="1039" customWidth="1"/>
    <col min="4" max="4" width="10.28515625" style="1039" bestFit="1" customWidth="1"/>
    <col min="5" max="5" width="11.140625" style="1039" bestFit="1" customWidth="1"/>
    <col min="6" max="6" width="11.140625" style="1039" customWidth="1"/>
    <col min="7" max="7" width="12.28515625" style="1039" bestFit="1" customWidth="1"/>
    <col min="8" max="9" width="11.28515625" style="1039" bestFit="1" customWidth="1"/>
    <col min="10" max="10" width="20.28515625" style="1039" bestFit="1" customWidth="1"/>
    <col min="11" max="11" width="19.42578125" style="1039" bestFit="1" customWidth="1"/>
    <col min="12" max="16384" width="9.140625" style="1039"/>
  </cols>
  <sheetData>
    <row r="1" spans="1:11">
      <c r="B1" s="1039" t="s">
        <v>666</v>
      </c>
      <c r="C1" s="1039" t="s">
        <v>921</v>
      </c>
    </row>
    <row r="2" spans="1:11">
      <c r="B2" s="1039" t="s">
        <v>612</v>
      </c>
      <c r="C2" s="1039" t="s">
        <v>922</v>
      </c>
    </row>
    <row r="3" spans="1:11">
      <c r="B3" s="1039" t="s">
        <v>611</v>
      </c>
      <c r="C3" s="1039" t="s">
        <v>734</v>
      </c>
    </row>
    <row r="4" spans="1:11">
      <c r="B4" s="1039" t="s">
        <v>610</v>
      </c>
      <c r="C4" s="1039" t="s">
        <v>923</v>
      </c>
    </row>
    <row r="5" spans="1:11">
      <c r="B5" s="1039" t="s">
        <v>613</v>
      </c>
      <c r="C5" s="1039" t="s">
        <v>984</v>
      </c>
    </row>
    <row r="6" spans="1:11">
      <c r="E6" s="1040"/>
      <c r="F6" s="1040"/>
      <c r="G6" s="1040"/>
      <c r="H6" s="1202" t="s">
        <v>983</v>
      </c>
      <c r="I6" s="1202"/>
      <c r="J6" s="1202"/>
      <c r="K6" s="1040"/>
    </row>
    <row r="7" spans="1:11" ht="13.5" thickBot="1">
      <c r="B7" s="1040"/>
      <c r="C7" s="1040"/>
      <c r="D7" s="1040"/>
      <c r="E7" s="1202" t="s">
        <v>982</v>
      </c>
      <c r="F7" s="1202"/>
      <c r="G7" s="1202"/>
      <c r="H7" s="1111">
        <v>0.35</v>
      </c>
      <c r="I7" s="1111">
        <v>0.35</v>
      </c>
      <c r="J7" s="1112">
        <v>5000</v>
      </c>
      <c r="K7" s="1040"/>
    </row>
    <row r="8" spans="1:11">
      <c r="B8" s="1041" t="s">
        <v>632</v>
      </c>
      <c r="C8" s="1042" t="s">
        <v>633</v>
      </c>
      <c r="D8" s="1042" t="s">
        <v>628</v>
      </c>
      <c r="E8" s="1042" t="s">
        <v>635</v>
      </c>
      <c r="F8" s="1042" t="s">
        <v>76</v>
      </c>
      <c r="G8" s="1042" t="s">
        <v>638</v>
      </c>
      <c r="H8" s="1042" t="s">
        <v>895</v>
      </c>
      <c r="I8" s="1042" t="s">
        <v>896</v>
      </c>
      <c r="J8" s="1042" t="s">
        <v>985</v>
      </c>
      <c r="K8" s="1069" t="s">
        <v>902</v>
      </c>
    </row>
    <row r="9" spans="1:11">
      <c r="A9" s="1113">
        <v>1</v>
      </c>
      <c r="B9" s="1043" t="s">
        <v>974</v>
      </c>
      <c r="C9" s="1044" t="s">
        <v>643</v>
      </c>
      <c r="D9" s="1044" t="s">
        <v>623</v>
      </c>
      <c r="E9" s="1066">
        <f>VLOOKUP($A9,'Year 1'!$D$32:$M$46,10,FALSE)</f>
        <v>29</v>
      </c>
      <c r="F9" s="1044">
        <f>VLOOKUP(A9,'Year 1'!D32:AD46,27,FALSE)</f>
        <v>3480</v>
      </c>
      <c r="G9" s="1104">
        <f>E9*F9</f>
        <v>100920</v>
      </c>
      <c r="H9" s="1104">
        <f>$G9*$H$7</f>
        <v>35322</v>
      </c>
      <c r="I9" s="1104">
        <f>$G9*$I$7</f>
        <v>35322</v>
      </c>
      <c r="J9" s="1104">
        <f>+J7</f>
        <v>5000</v>
      </c>
      <c r="K9" s="1105">
        <f>SUM(G9:J9)</f>
        <v>176564</v>
      </c>
    </row>
    <row r="10" spans="1:11">
      <c r="A10" s="1113">
        <v>2</v>
      </c>
      <c r="B10" s="1043" t="s">
        <v>975</v>
      </c>
      <c r="C10" s="1044" t="s">
        <v>643</v>
      </c>
      <c r="D10" s="1044" t="s">
        <v>623</v>
      </c>
      <c r="E10" s="1066">
        <f>VLOOKUP($A10,'Year 1'!$D$32:$M$46,10,FALSE)</f>
        <v>33.81</v>
      </c>
      <c r="F10" s="1044">
        <f>+F9</f>
        <v>3480</v>
      </c>
      <c r="G10" s="1104">
        <f t="shared" ref="G10:G18" si="0">E10*F10</f>
        <v>117658.8</v>
      </c>
      <c r="H10" s="1104">
        <f t="shared" ref="H10:H18" si="1">$G10*$H$7</f>
        <v>41180.58</v>
      </c>
      <c r="I10" s="1104">
        <f t="shared" ref="I10:I18" si="2">$G10*$I$7</f>
        <v>41180.58</v>
      </c>
      <c r="J10" s="1104">
        <f>+J9</f>
        <v>5000</v>
      </c>
      <c r="K10" s="1105">
        <f t="shared" ref="K10:K18" si="3">SUM(G10:J10)</f>
        <v>205019.96000000002</v>
      </c>
    </row>
    <row r="11" spans="1:11" ht="13.5" customHeight="1">
      <c r="A11" s="1113">
        <v>3</v>
      </c>
      <c r="B11" s="1043" t="s">
        <v>975</v>
      </c>
      <c r="C11" s="1044" t="s">
        <v>643</v>
      </c>
      <c r="D11" s="1044" t="s">
        <v>623</v>
      </c>
      <c r="E11" s="1066">
        <f>VLOOKUP($A11,'Year 1'!$D$32:$M$46,10,FALSE)</f>
        <v>33.81</v>
      </c>
      <c r="F11" s="1044">
        <f t="shared" ref="F11:F18" si="4">+F10</f>
        <v>3480</v>
      </c>
      <c r="G11" s="1104">
        <f t="shared" si="0"/>
        <v>117658.8</v>
      </c>
      <c r="H11" s="1104">
        <f t="shared" si="1"/>
        <v>41180.58</v>
      </c>
      <c r="I11" s="1104">
        <f t="shared" si="2"/>
        <v>41180.58</v>
      </c>
      <c r="J11" s="1104">
        <f t="shared" ref="J11:J18" si="5">+J10</f>
        <v>5000</v>
      </c>
      <c r="K11" s="1105">
        <f t="shared" si="3"/>
        <v>205019.96000000002</v>
      </c>
    </row>
    <row r="12" spans="1:11">
      <c r="A12" s="1113">
        <v>5</v>
      </c>
      <c r="B12" s="1043" t="s">
        <v>976</v>
      </c>
      <c r="C12" s="1044" t="s">
        <v>643</v>
      </c>
      <c r="D12" s="1044" t="s">
        <v>623</v>
      </c>
      <c r="E12" s="1066">
        <f>VLOOKUP($A12,'Year 1'!$D$32:$M$46,10,FALSE)</f>
        <v>26</v>
      </c>
      <c r="F12" s="1044">
        <f t="shared" si="4"/>
        <v>3480</v>
      </c>
      <c r="G12" s="1104">
        <f t="shared" si="0"/>
        <v>90480</v>
      </c>
      <c r="H12" s="1104">
        <f t="shared" si="1"/>
        <v>31667.999999999996</v>
      </c>
      <c r="I12" s="1104">
        <f t="shared" si="2"/>
        <v>31667.999999999996</v>
      </c>
      <c r="J12" s="1104">
        <f t="shared" si="5"/>
        <v>5000</v>
      </c>
      <c r="K12" s="1105">
        <f t="shared" si="3"/>
        <v>158816</v>
      </c>
    </row>
    <row r="13" spans="1:11">
      <c r="A13" s="1113">
        <v>6</v>
      </c>
      <c r="B13" s="1043" t="s">
        <v>976</v>
      </c>
      <c r="C13" s="1044" t="s">
        <v>643</v>
      </c>
      <c r="D13" s="1044" t="s">
        <v>623</v>
      </c>
      <c r="E13" s="1066">
        <f>VLOOKUP($A13,'Year 1'!$D$32:$M$46,10,FALSE)</f>
        <v>26</v>
      </c>
      <c r="F13" s="1044">
        <f t="shared" si="4"/>
        <v>3480</v>
      </c>
      <c r="G13" s="1104">
        <f t="shared" si="0"/>
        <v>90480</v>
      </c>
      <c r="H13" s="1104">
        <f t="shared" si="1"/>
        <v>31667.999999999996</v>
      </c>
      <c r="I13" s="1104">
        <f t="shared" si="2"/>
        <v>31667.999999999996</v>
      </c>
      <c r="J13" s="1104">
        <f t="shared" si="5"/>
        <v>5000</v>
      </c>
      <c r="K13" s="1105">
        <f t="shared" si="3"/>
        <v>158816</v>
      </c>
    </row>
    <row r="14" spans="1:11">
      <c r="A14" s="1113">
        <v>11</v>
      </c>
      <c r="B14" s="1043" t="s">
        <v>977</v>
      </c>
      <c r="C14" s="1044" t="s">
        <v>643</v>
      </c>
      <c r="D14" s="1044" t="s">
        <v>623</v>
      </c>
      <c r="E14" s="1066">
        <f>VLOOKUP($A14,'Year 1'!$D$32:$M$46,10,FALSE)</f>
        <v>27.5</v>
      </c>
      <c r="F14" s="1044">
        <f t="shared" si="4"/>
        <v>3480</v>
      </c>
      <c r="G14" s="1104">
        <f t="shared" si="0"/>
        <v>95700</v>
      </c>
      <c r="H14" s="1104">
        <f t="shared" si="1"/>
        <v>33495</v>
      </c>
      <c r="I14" s="1104">
        <f t="shared" si="2"/>
        <v>33495</v>
      </c>
      <c r="J14" s="1104">
        <f t="shared" si="5"/>
        <v>5000</v>
      </c>
      <c r="K14" s="1105">
        <f t="shared" si="3"/>
        <v>167690</v>
      </c>
    </row>
    <row r="15" spans="1:11">
      <c r="A15" s="1113">
        <v>12</v>
      </c>
      <c r="B15" s="1043" t="s">
        <v>978</v>
      </c>
      <c r="C15" s="1044" t="s">
        <v>643</v>
      </c>
      <c r="D15" s="1044" t="s">
        <v>623</v>
      </c>
      <c r="E15" s="1066">
        <f>VLOOKUP($A15,'Year 1'!$D$32:$M$46,10,FALSE)</f>
        <v>28</v>
      </c>
      <c r="F15" s="1044">
        <f t="shared" si="4"/>
        <v>3480</v>
      </c>
      <c r="G15" s="1104">
        <f t="shared" si="0"/>
        <v>97440</v>
      </c>
      <c r="H15" s="1104">
        <f t="shared" si="1"/>
        <v>34104</v>
      </c>
      <c r="I15" s="1104">
        <f t="shared" si="2"/>
        <v>34104</v>
      </c>
      <c r="J15" s="1104">
        <f t="shared" si="5"/>
        <v>5000</v>
      </c>
      <c r="K15" s="1105">
        <f t="shared" si="3"/>
        <v>170648</v>
      </c>
    </row>
    <row r="16" spans="1:11">
      <c r="A16" s="1113">
        <v>13</v>
      </c>
      <c r="B16" s="1043" t="s">
        <v>979</v>
      </c>
      <c r="C16" s="1044" t="s">
        <v>643</v>
      </c>
      <c r="D16" s="1044" t="s">
        <v>623</v>
      </c>
      <c r="E16" s="1066">
        <f>VLOOKUP($A16,'Year 1'!$D$32:$M$46,10,FALSE)</f>
        <v>26</v>
      </c>
      <c r="F16" s="1044">
        <f t="shared" si="4"/>
        <v>3480</v>
      </c>
      <c r="G16" s="1104">
        <f t="shared" si="0"/>
        <v>90480</v>
      </c>
      <c r="H16" s="1104">
        <f t="shared" si="1"/>
        <v>31667.999999999996</v>
      </c>
      <c r="I16" s="1104">
        <f t="shared" si="2"/>
        <v>31667.999999999996</v>
      </c>
      <c r="J16" s="1104">
        <f t="shared" si="5"/>
        <v>5000</v>
      </c>
      <c r="K16" s="1105">
        <f t="shared" si="3"/>
        <v>158816</v>
      </c>
    </row>
    <row r="17" spans="1:11">
      <c r="A17" s="1113">
        <v>14</v>
      </c>
      <c r="B17" s="1043" t="s">
        <v>980</v>
      </c>
      <c r="C17" s="1044" t="s">
        <v>643</v>
      </c>
      <c r="D17" s="1044" t="s">
        <v>623</v>
      </c>
      <c r="E17" s="1066">
        <f>VLOOKUP($A17,'Year 1'!$D$32:$M$46,10,FALSE)</f>
        <v>26</v>
      </c>
      <c r="F17" s="1044">
        <f t="shared" si="4"/>
        <v>3480</v>
      </c>
      <c r="G17" s="1104">
        <f t="shared" si="0"/>
        <v>90480</v>
      </c>
      <c r="H17" s="1104">
        <f t="shared" si="1"/>
        <v>31667.999999999996</v>
      </c>
      <c r="I17" s="1104">
        <f t="shared" si="2"/>
        <v>31667.999999999996</v>
      </c>
      <c r="J17" s="1104">
        <f t="shared" si="5"/>
        <v>5000</v>
      </c>
      <c r="K17" s="1105">
        <f t="shared" si="3"/>
        <v>158816</v>
      </c>
    </row>
    <row r="18" spans="1:11" ht="13.5" thickBot="1">
      <c r="A18" s="1113">
        <v>15</v>
      </c>
      <c r="B18" s="1106" t="s">
        <v>981</v>
      </c>
      <c r="C18" s="1107" t="s">
        <v>643</v>
      </c>
      <c r="D18" s="1107" t="s">
        <v>623</v>
      </c>
      <c r="E18" s="1108">
        <f>VLOOKUP($A18,'Year 1'!$D$32:$M$46,10,FALSE)</f>
        <v>25</v>
      </c>
      <c r="F18" s="1107">
        <f t="shared" si="4"/>
        <v>3480</v>
      </c>
      <c r="G18" s="1109">
        <f t="shared" si="0"/>
        <v>87000</v>
      </c>
      <c r="H18" s="1109">
        <f t="shared" si="1"/>
        <v>30449.999999999996</v>
      </c>
      <c r="I18" s="1109">
        <f t="shared" si="2"/>
        <v>30449.999999999996</v>
      </c>
      <c r="J18" s="1109">
        <f t="shared" si="5"/>
        <v>5000</v>
      </c>
      <c r="K18" s="1110">
        <f t="shared" si="3"/>
        <v>152900</v>
      </c>
    </row>
    <row r="19" spans="1:11">
      <c r="A19" s="1113"/>
    </row>
  </sheetData>
  <mergeCells count="2">
    <mergeCell ref="E7:G7"/>
    <mergeCell ref="H6:J6"/>
  </mergeCells>
  <pageMargins left="0.2" right="0.2" top="0.25" bottom="0.25" header="0.3" footer="0.3"/>
  <pageSetup paperSize="5" orientation="landscape" r:id="rId1"/>
</worksheet>
</file>

<file path=xl/worksheets/sheet18.xml><?xml version="1.0" encoding="utf-8"?>
<worksheet xmlns="http://schemas.openxmlformats.org/spreadsheetml/2006/main" xmlns:r="http://schemas.openxmlformats.org/officeDocument/2006/relationships">
  <sheetPr codeName="Sheet3" enableFormatConditionsCalculation="0">
    <tabColor indexed="62"/>
  </sheetPr>
  <dimension ref="A1:AN90"/>
  <sheetViews>
    <sheetView showGridLines="0" view="pageBreakPreview" zoomScale="85" zoomScaleNormal="100" zoomScaleSheetLayoutView="75" workbookViewId="0">
      <pane xSplit="8" ySplit="9" topLeftCell="L10" activePane="bottomRight" state="frozen"/>
      <selection activeCell="F47" sqref="F47"/>
      <selection pane="topRight" activeCell="F47" sqref="F47"/>
      <selection pane="bottomLeft" activeCell="F47" sqref="F47"/>
      <selection pane="bottomRight" activeCell="L10" sqref="L10"/>
    </sheetView>
  </sheetViews>
  <sheetFormatPr defaultRowHeight="12.75" outlineLevelCol="1"/>
  <cols>
    <col min="1" max="1" width="4.140625" style="28" hidden="1" customWidth="1" outlineLevel="1"/>
    <col min="2" max="2" width="4.7109375" style="28" hidden="1" customWidth="1" outlineLevel="1"/>
    <col min="3" max="3" width="4.85546875" style="28" hidden="1" customWidth="1" outlineLevel="1"/>
    <col min="4" max="4" width="3.7109375" style="28" bestFit="1" customWidth="1" collapsed="1"/>
    <col min="5" max="5" width="20.7109375" style="28" customWidth="1"/>
    <col min="6" max="6" width="11.140625" style="28" bestFit="1" customWidth="1"/>
    <col min="7" max="7" width="11.42578125" style="28" customWidth="1"/>
    <col min="8" max="8" width="9.5703125" style="28" customWidth="1"/>
    <col min="9" max="9" width="5" style="28" hidden="1" customWidth="1" outlineLevel="1"/>
    <col min="10" max="10" width="4.140625" style="28" hidden="1" customWidth="1" outlineLevel="1"/>
    <col min="11" max="11" width="4.42578125" style="28" hidden="1" customWidth="1" outlineLevel="1"/>
    <col min="12" max="12" width="11.28515625" style="28" bestFit="1" customWidth="1" collapsed="1"/>
    <col min="13" max="13" width="9.140625" style="28" customWidth="1"/>
    <col min="14" max="14" width="10.85546875" style="28" bestFit="1" customWidth="1"/>
    <col min="15" max="15" width="11.28515625" style="28" bestFit="1" customWidth="1"/>
    <col min="16" max="16" width="13.7109375" style="28" customWidth="1" outlineLevel="1"/>
    <col min="17" max="17" width="9.140625" style="28" customWidth="1" outlineLevel="1"/>
    <col min="18" max="18" width="10.85546875" style="28" bestFit="1" customWidth="1"/>
    <col min="19" max="19" width="12.42578125" style="28" bestFit="1" customWidth="1"/>
    <col min="20" max="20" width="13.7109375" style="28" customWidth="1" outlineLevel="1"/>
    <col min="21" max="21" width="9.140625" style="28" customWidth="1" outlineLevel="1"/>
    <col min="22" max="22" width="10.85546875" style="28" bestFit="1" customWidth="1"/>
    <col min="23" max="23" width="10.140625" style="28" bestFit="1" customWidth="1"/>
    <col min="24" max="24" width="13.7109375" style="28" customWidth="1" outlineLevel="1"/>
    <col min="25" max="25" width="9.140625" style="28" customWidth="1" outlineLevel="1"/>
    <col min="26" max="26" width="10.85546875" style="28" bestFit="1" customWidth="1"/>
    <col min="27" max="27" width="10.140625" style="28" bestFit="1" customWidth="1"/>
    <col min="28" max="28" width="13.7109375" style="28" customWidth="1" outlineLevel="1"/>
    <col min="29" max="29" width="9.140625" style="28" customWidth="1" outlineLevel="1"/>
    <col min="30" max="30" width="10.85546875" style="28" bestFit="1" customWidth="1"/>
    <col min="31" max="31" width="10.140625" style="28" bestFit="1" customWidth="1"/>
    <col min="32" max="32" width="14.42578125" style="28" customWidth="1" outlineLevel="1"/>
    <col min="33" max="33" width="9.140625" style="28" customWidth="1" outlineLevel="1"/>
    <col min="34" max="34" width="10.85546875" style="28" bestFit="1" customWidth="1"/>
    <col min="35" max="35" width="11.28515625" style="28" bestFit="1" customWidth="1"/>
    <col min="36" max="39" width="9.140625" style="28" customWidth="1"/>
    <col min="40" max="40" width="9.140625" style="24" customWidth="1"/>
    <col min="41" max="16384" width="9.140625" style="28"/>
  </cols>
  <sheetData>
    <row r="1" spans="4:40">
      <c r="E1" s="365" t="s">
        <v>612</v>
      </c>
      <c r="F1" s="1203" t="str">
        <f>InputSheet!D2</f>
        <v>CIS Consultant Services</v>
      </c>
      <c r="G1" s="1203"/>
      <c r="H1" s="1203"/>
      <c r="I1" s="366"/>
      <c r="J1" s="366"/>
      <c r="K1" s="366"/>
      <c r="L1" s="367"/>
      <c r="M1" s="367"/>
      <c r="N1" s="367"/>
      <c r="O1" s="368"/>
      <c r="P1" s="367"/>
      <c r="Q1" s="367"/>
      <c r="R1" s="367"/>
      <c r="S1" s="368"/>
      <c r="T1" s="367"/>
      <c r="U1" s="367"/>
      <c r="V1" s="367"/>
      <c r="W1" s="368"/>
      <c r="X1" s="367"/>
      <c r="Y1" s="367"/>
      <c r="Z1" s="367"/>
      <c r="AA1" s="368"/>
      <c r="AB1" s="367"/>
      <c r="AC1" s="367"/>
      <c r="AD1" s="367"/>
      <c r="AE1" s="368"/>
      <c r="AF1" s="367"/>
      <c r="AG1" s="367"/>
      <c r="AH1" s="367"/>
      <c r="AI1" s="368"/>
    </row>
    <row r="2" spans="4:40">
      <c r="E2" s="369" t="s">
        <v>666</v>
      </c>
      <c r="F2" s="28" t="str">
        <f>InputSheet!D1</f>
        <v>NCSA HQ 7010</v>
      </c>
      <c r="N2" s="370" t="s">
        <v>688</v>
      </c>
      <c r="O2" s="371" t="str">
        <f>'Year 1'!$E$8</f>
        <v>Base Year</v>
      </c>
      <c r="R2" s="370" t="s">
        <v>688</v>
      </c>
      <c r="S2" s="371" t="str">
        <f>InputSheet!$C$23</f>
        <v>Option Year 1</v>
      </c>
      <c r="V2" s="370" t="s">
        <v>688</v>
      </c>
      <c r="W2" s="371" t="str">
        <f>InputSheet!$C$24</f>
        <v>Option Year 2</v>
      </c>
      <c r="Z2" s="370" t="s">
        <v>688</v>
      </c>
      <c r="AA2" s="371" t="str">
        <f>InputSheet!$C$25</f>
        <v>Training and Processing</v>
      </c>
      <c r="AD2" s="370" t="s">
        <v>688</v>
      </c>
      <c r="AE2" s="371">
        <f>InputSheet!$C$26</f>
        <v>0</v>
      </c>
      <c r="AH2" s="370" t="s">
        <v>688</v>
      </c>
      <c r="AI2" s="371" t="s">
        <v>38</v>
      </c>
    </row>
    <row r="3" spans="4:40">
      <c r="E3" s="372" t="s">
        <v>611</v>
      </c>
      <c r="F3" s="1204" t="str">
        <f>InputSheet!D3</f>
        <v>ManTech Telecommunications and Information Systems Corporation</v>
      </c>
      <c r="G3" s="1204"/>
      <c r="H3" s="1204"/>
      <c r="I3" s="374"/>
      <c r="J3" s="374"/>
      <c r="K3" s="374"/>
      <c r="N3" s="370" t="s">
        <v>587</v>
      </c>
      <c r="O3" s="375">
        <f>VLOOKUP(O$2,InputSheet!$C$22:$G$38,2,FALSE)</f>
        <v>40179</v>
      </c>
      <c r="R3" s="370" t="s">
        <v>587</v>
      </c>
      <c r="S3" s="375">
        <f>VLOOKUP(S$2,InputSheet!$C$22:$G$38,2,FALSE)</f>
        <v>40544</v>
      </c>
      <c r="V3" s="370" t="s">
        <v>587</v>
      </c>
      <c r="W3" s="375">
        <f>VLOOKUP(W$2,InputSheet!$C$22:$G$38,2,FALSE)</f>
        <v>40909</v>
      </c>
      <c r="Z3" s="370" t="s">
        <v>587</v>
      </c>
      <c r="AA3" s="375">
        <f>VLOOKUP(AA$2,InputSheet!$C$22:$G$38,2,FALSE)</f>
        <v>40179</v>
      </c>
      <c r="AD3" s="370" t="s">
        <v>587</v>
      </c>
      <c r="AE3" s="375" t="e">
        <f>VLOOKUP(AE$2,InputSheet!$C$22:$G$38,2,FALSE)</f>
        <v>#N/A</v>
      </c>
      <c r="AH3" s="370" t="s">
        <v>587</v>
      </c>
      <c r="AI3" s="375">
        <f>O3</f>
        <v>40179</v>
      </c>
    </row>
    <row r="4" spans="4:40">
      <c r="E4" s="369" t="s">
        <v>610</v>
      </c>
      <c r="F4" s="376" t="str">
        <f>InputSheet!D4</f>
        <v>P-12246</v>
      </c>
      <c r="M4" s="377"/>
      <c r="N4" s="370" t="s">
        <v>588</v>
      </c>
      <c r="O4" s="375">
        <f>VLOOKUP(O$2,InputSheet!$C$22:$G$38,3,FALSE)</f>
        <v>40543</v>
      </c>
      <c r="Q4" s="377"/>
      <c r="R4" s="370" t="s">
        <v>588</v>
      </c>
      <c r="S4" s="375">
        <f>VLOOKUP(S$2,InputSheet!$C$22:$G$38,3,FALSE)</f>
        <v>40908</v>
      </c>
      <c r="U4" s="377"/>
      <c r="V4" s="370" t="s">
        <v>588</v>
      </c>
      <c r="W4" s="375">
        <f>VLOOKUP(W$2,InputSheet!$C$22:$G$38,3,FALSE)</f>
        <v>41152</v>
      </c>
      <c r="Y4" s="377"/>
      <c r="Z4" s="370" t="s">
        <v>588</v>
      </c>
      <c r="AA4" s="375">
        <f>VLOOKUP(AA$2,InputSheet!$C$22:$G$38,3,FALSE)</f>
        <v>41152</v>
      </c>
      <c r="AC4" s="377"/>
      <c r="AD4" s="370" t="s">
        <v>588</v>
      </c>
      <c r="AE4" s="375" t="e">
        <f>VLOOKUP(AE$2,InputSheet!$C$22:$G$38,3,FALSE)</f>
        <v>#N/A</v>
      </c>
      <c r="AG4" s="377"/>
      <c r="AH4" s="370" t="s">
        <v>588</v>
      </c>
      <c r="AI4" s="375" t="e">
        <f>AE4</f>
        <v>#N/A</v>
      </c>
    </row>
    <row r="5" spans="4:40">
      <c r="E5" s="369" t="s">
        <v>613</v>
      </c>
      <c r="F5" s="28" t="s">
        <v>91</v>
      </c>
      <c r="N5" s="370" t="s">
        <v>654</v>
      </c>
      <c r="O5" s="378">
        <f>VLOOKUP(O$2,InputSheet!$C$22:$G$38,5,FALSE)</f>
        <v>1.0247499999999998</v>
      </c>
      <c r="R5" s="370" t="s">
        <v>654</v>
      </c>
      <c r="S5" s="378">
        <f>VLOOKUP(S$2,InputSheet!$C$22:$G$38,5,FALSE)</f>
        <v>1.0585667499999998</v>
      </c>
      <c r="V5" s="370" t="s">
        <v>654</v>
      </c>
      <c r="W5" s="378">
        <f>VLOOKUP(W$2,InputSheet!$C$22:$G$38,5,FALSE)</f>
        <v>1.0890977106249997</v>
      </c>
      <c r="Z5" s="370" t="s">
        <v>654</v>
      </c>
      <c r="AA5" s="378">
        <f>VLOOKUP(AA$2,InputSheet!$C$22:$G$38,5,FALSE)</f>
        <v>1.0535182089062498</v>
      </c>
      <c r="AD5" s="370" t="s">
        <v>654</v>
      </c>
      <c r="AE5" s="378" t="e">
        <f>VLOOKUP(AE$2,InputSheet!$C$22:$G$38,5,FALSE)</f>
        <v>#N/A</v>
      </c>
      <c r="AH5" s="370"/>
      <c r="AI5" s="378"/>
    </row>
    <row r="6" spans="4:40" ht="13.5" thickBot="1">
      <c r="E6" s="380" t="s">
        <v>614</v>
      </c>
      <c r="F6" s="379" t="str">
        <f>InputSheet!I40</f>
        <v>IS</v>
      </c>
      <c r="G6" s="379"/>
      <c r="H6" s="379"/>
      <c r="I6" s="379"/>
      <c r="J6" s="379"/>
      <c r="K6" s="379"/>
      <c r="L6" s="379"/>
      <c r="M6" s="379"/>
      <c r="N6" s="381"/>
      <c r="O6" s="382"/>
      <c r="P6" s="379"/>
      <c r="Q6" s="379"/>
      <c r="R6" s="381"/>
      <c r="S6" s="382"/>
      <c r="T6" s="379"/>
      <c r="U6" s="379"/>
      <c r="V6" s="381"/>
      <c r="W6" s="382"/>
      <c r="X6" s="379"/>
      <c r="Y6" s="379"/>
      <c r="Z6" s="381"/>
      <c r="AA6" s="382"/>
      <c r="AB6" s="379"/>
      <c r="AC6" s="379"/>
      <c r="AD6" s="381"/>
      <c r="AE6" s="382"/>
      <c r="AF6" s="379"/>
      <c r="AG6" s="379"/>
      <c r="AH6" s="381"/>
      <c r="AI6" s="382"/>
    </row>
    <row r="7" spans="4:40">
      <c r="E7" s="369"/>
      <c r="O7" s="383"/>
      <c r="S7" s="383"/>
      <c r="W7" s="383"/>
      <c r="AA7" s="383"/>
      <c r="AE7" s="383"/>
      <c r="AI7" s="383"/>
    </row>
    <row r="8" spans="4:40">
      <c r="E8" s="384" t="s">
        <v>632</v>
      </c>
      <c r="F8" s="385"/>
      <c r="G8" s="385" t="s">
        <v>634</v>
      </c>
      <c r="H8" s="385" t="s">
        <v>627</v>
      </c>
      <c r="I8" s="385" t="s">
        <v>707</v>
      </c>
      <c r="J8" s="385" t="s">
        <v>708</v>
      </c>
      <c r="K8" s="34" t="s">
        <v>722</v>
      </c>
      <c r="L8" s="377" t="s">
        <v>635</v>
      </c>
      <c r="M8" s="377" t="s">
        <v>636</v>
      </c>
      <c r="N8" s="377" t="s">
        <v>602</v>
      </c>
      <c r="O8" s="386" t="s">
        <v>638</v>
      </c>
      <c r="P8" s="377" t="s">
        <v>635</v>
      </c>
      <c r="Q8" s="377" t="s">
        <v>636</v>
      </c>
      <c r="R8" s="377" t="s">
        <v>602</v>
      </c>
      <c r="S8" s="386" t="s">
        <v>638</v>
      </c>
      <c r="T8" s="377" t="s">
        <v>635</v>
      </c>
      <c r="U8" s="377" t="s">
        <v>636</v>
      </c>
      <c r="V8" s="377" t="s">
        <v>602</v>
      </c>
      <c r="W8" s="386" t="s">
        <v>638</v>
      </c>
      <c r="X8" s="377" t="s">
        <v>635</v>
      </c>
      <c r="Y8" s="377" t="s">
        <v>636</v>
      </c>
      <c r="Z8" s="377" t="s">
        <v>602</v>
      </c>
      <c r="AA8" s="386" t="s">
        <v>638</v>
      </c>
      <c r="AB8" s="377" t="s">
        <v>635</v>
      </c>
      <c r="AC8" s="377" t="s">
        <v>636</v>
      </c>
      <c r="AD8" s="377" t="s">
        <v>602</v>
      </c>
      <c r="AE8" s="386" t="s">
        <v>638</v>
      </c>
      <c r="AF8" s="377" t="s">
        <v>635</v>
      </c>
      <c r="AG8" s="377"/>
      <c r="AH8" s="377" t="s">
        <v>602</v>
      </c>
      <c r="AI8" s="386" t="s">
        <v>638</v>
      </c>
      <c r="AN8" s="406" t="s">
        <v>54</v>
      </c>
    </row>
    <row r="9" spans="4:40" ht="13.5" thickBot="1">
      <c r="E9" s="388"/>
      <c r="F9" s="389"/>
      <c r="G9" s="389"/>
      <c r="H9" s="389"/>
      <c r="I9" s="389"/>
      <c r="J9" s="389"/>
      <c r="K9" s="389"/>
      <c r="L9" s="389"/>
      <c r="M9" s="389"/>
      <c r="N9" s="389"/>
      <c r="O9" s="390"/>
      <c r="P9" s="389"/>
      <c r="Q9" s="389"/>
      <c r="R9" s="389"/>
      <c r="S9" s="390"/>
      <c r="T9" s="389"/>
      <c r="U9" s="389"/>
      <c r="V9" s="389"/>
      <c r="W9" s="390"/>
      <c r="X9" s="389"/>
      <c r="Y9" s="389"/>
      <c r="Z9" s="389"/>
      <c r="AA9" s="390"/>
      <c r="AB9" s="389"/>
      <c r="AC9" s="389"/>
      <c r="AD9" s="389"/>
      <c r="AE9" s="390"/>
      <c r="AF9" s="389"/>
      <c r="AG9" s="389"/>
      <c r="AH9" s="389"/>
      <c r="AI9" s="390"/>
      <c r="AN9" s="406" t="str">
        <f>IF((OR((AI9=""),(AI9&gt;0))),"1","0")</f>
        <v>1</v>
      </c>
    </row>
    <row r="10" spans="4:40" ht="13.5" thickTop="1">
      <c r="D10" s="28">
        <f>D9+1</f>
        <v>1</v>
      </c>
      <c r="E10" s="391" t="str">
        <f t="shared" ref="E10:E29" si="0">VLOOKUP($D10,DL,2,FALSE)</f>
        <v xml:space="preserve">LAN/Wan Engineer </v>
      </c>
      <c r="F10" s="392"/>
      <c r="G10" s="392">
        <f t="shared" ref="G10:G29" si="1">VLOOKUP($D10,DL,5,FALSE)</f>
        <v>0</v>
      </c>
      <c r="H10" s="838" t="s">
        <v>623</v>
      </c>
      <c r="K10" s="47"/>
      <c r="L10" s="49">
        <f t="shared" ref="L10:L29" si="2">VLOOKUP($D10,DL,6,FALSE)</f>
        <v>29</v>
      </c>
      <c r="M10" s="49">
        <f>IF($I10="",ROUND(L10*O$5,2),L10)</f>
        <v>29.72</v>
      </c>
      <c r="N10" s="393">
        <f>IF((ISERROR(VLOOKUP(("ManTech"&amp;$D10&amp;$G10&amp;$H10),'Year 1'!$J$32:$AE$51,14,FALSE))),0,(VLOOKUP(("ManTech"&amp;$D10&amp;$G10&amp;$H10),'Year 1'!$J$32:$AE$51,14,FALSE)))</f>
        <v>0.25875862068965516</v>
      </c>
      <c r="O10" s="394">
        <f>M10*N10</f>
        <v>7.6903062068965511</v>
      </c>
      <c r="P10" s="49">
        <f t="shared" ref="P10:P29" si="3">$L10</f>
        <v>29</v>
      </c>
      <c r="Q10" s="49">
        <f t="shared" ref="Q10:Q19" si="4">IF($I10="",ROUND(P10*S$5,2),P10)</f>
        <v>30.7</v>
      </c>
      <c r="R10" s="393">
        <f>N10</f>
        <v>0.25875862068965516</v>
      </c>
      <c r="S10" s="394">
        <f>Q10*R10</f>
        <v>7.9438896551724136</v>
      </c>
      <c r="T10" s="49">
        <f t="shared" ref="T10:T29" si="5">$L10</f>
        <v>29</v>
      </c>
      <c r="U10" s="49">
        <f>IF($I10="",ROUND(T10*W$5,2),T10)</f>
        <v>31.58</v>
      </c>
      <c r="V10" s="393">
        <f>R10</f>
        <v>0.25875862068965516</v>
      </c>
      <c r="W10" s="394">
        <f>U10*V10</f>
        <v>8.1715972413793097</v>
      </c>
      <c r="X10" s="49">
        <f t="shared" ref="X10:X29" si="6">$L10</f>
        <v>29</v>
      </c>
      <c r="Y10" s="49">
        <f>IF($I10="",ROUND(X10*AA$5,2),X10)</f>
        <v>30.55</v>
      </c>
      <c r="Z10" s="393">
        <f>V10</f>
        <v>0.25875862068965516</v>
      </c>
      <c r="AA10" s="394">
        <f>Y10*Z10</f>
        <v>7.9050758620689656</v>
      </c>
      <c r="AB10" s="49">
        <f t="shared" ref="AB10:AB29" si="7">$L10</f>
        <v>29</v>
      </c>
      <c r="AC10" s="49" t="e">
        <f>IF($I10="",ROUND(AB10*AE$5,2),AB10)</f>
        <v>#N/A</v>
      </c>
      <c r="AD10" s="393">
        <f>Z10</f>
        <v>0.25875862068965516</v>
      </c>
      <c r="AE10" s="394" t="e">
        <f>AC10*AD10</f>
        <v>#N/A</v>
      </c>
      <c r="AF10" s="49">
        <f t="shared" ref="AF10:AF29" si="8">$L10</f>
        <v>29</v>
      </c>
      <c r="AG10" s="49"/>
      <c r="AH10" s="393">
        <f>SUMIF($E$8:$AF$8,AH$8,$E10:$AF10)</f>
        <v>1.2937931034482757</v>
      </c>
      <c r="AI10" s="394" t="e">
        <f t="shared" ref="AH10:AI29" si="9">SUMIF($E$8:$AF$8,AI$8,$E10:$AF10)</f>
        <v>#N/A</v>
      </c>
      <c r="AJ10" s="829"/>
      <c r="AK10" s="49"/>
      <c r="AN10" s="406" t="e">
        <f t="shared" ref="AN10:AN79" si="10">IF((OR((AI10=""),(AI10&gt;0))),"1","0")</f>
        <v>#N/A</v>
      </c>
    </row>
    <row r="11" spans="4:40">
      <c r="D11" s="28">
        <f t="shared" ref="D11:D19" si="11">D10+1</f>
        <v>2</v>
      </c>
      <c r="E11" s="391" t="str">
        <f t="shared" si="0"/>
        <v>Functional Services Administrator</v>
      </c>
      <c r="F11" s="392"/>
      <c r="G11" s="392">
        <f t="shared" si="1"/>
        <v>0</v>
      </c>
      <c r="H11" s="838" t="s">
        <v>623</v>
      </c>
      <c r="K11" s="47"/>
      <c r="L11" s="49">
        <f t="shared" si="2"/>
        <v>33.81</v>
      </c>
      <c r="M11" s="49">
        <f t="shared" ref="M11:M19" si="12">IF($I11="",ROUND(L11*O$5,2),L11)</f>
        <v>34.65</v>
      </c>
      <c r="N11" s="393">
        <f>IF((ISERROR(VLOOKUP(("ManTech"&amp;$D11&amp;$G11&amp;$H11),'Year 1'!$J$32:$AE$51,14,FALSE))),0,(VLOOKUP(("ManTech"&amp;$D11&amp;$G11&amp;$H11),'Year 1'!$J$32:$AE$51,14,FALSE)))</f>
        <v>0.25875862068965516</v>
      </c>
      <c r="O11" s="394">
        <f t="shared" ref="O11:O19" si="13">M11*N11</f>
        <v>8.9659862068965506</v>
      </c>
      <c r="P11" s="49">
        <f t="shared" si="3"/>
        <v>33.81</v>
      </c>
      <c r="Q11" s="49">
        <f t="shared" si="4"/>
        <v>35.79</v>
      </c>
      <c r="R11" s="393">
        <f t="shared" ref="R11:R19" si="14">N11</f>
        <v>0.25875862068965516</v>
      </c>
      <c r="S11" s="394">
        <f t="shared" ref="S11:S19" si="15">Q11*R11</f>
        <v>9.2609710344827576</v>
      </c>
      <c r="T11" s="49">
        <f t="shared" si="5"/>
        <v>33.81</v>
      </c>
      <c r="U11" s="49">
        <f t="shared" ref="U11:U19" si="16">IF($I11="",ROUND(T11*W$5,2),T11)</f>
        <v>36.82</v>
      </c>
      <c r="V11" s="393">
        <f t="shared" ref="V11:V19" si="17">R11</f>
        <v>0.25875862068965516</v>
      </c>
      <c r="W11" s="394">
        <f t="shared" ref="W11:W19" si="18">U11*V11</f>
        <v>9.5274924137931034</v>
      </c>
      <c r="X11" s="49">
        <f t="shared" si="6"/>
        <v>33.81</v>
      </c>
      <c r="Y11" s="49">
        <f t="shared" ref="Y11:Y19" si="19">IF($I11="",ROUND(X11*AA$5,2),X11)</f>
        <v>35.619999999999997</v>
      </c>
      <c r="Z11" s="393">
        <f t="shared" ref="Z11:Z19" si="20">V11</f>
        <v>0.25875862068965516</v>
      </c>
      <c r="AA11" s="394">
        <f t="shared" ref="AA11:AA19" si="21">Y11*Z11</f>
        <v>9.2169820689655158</v>
      </c>
      <c r="AB11" s="49">
        <f t="shared" si="7"/>
        <v>33.81</v>
      </c>
      <c r="AC11" s="49" t="e">
        <f t="shared" ref="AC11:AC19" si="22">IF($I11="",ROUND(AB11*AE$5,2),AB11)</f>
        <v>#N/A</v>
      </c>
      <c r="AD11" s="393">
        <f t="shared" ref="AD11:AD19" si="23">Z11</f>
        <v>0.25875862068965516</v>
      </c>
      <c r="AE11" s="394" t="e">
        <f t="shared" ref="AE11:AE19" si="24">AC11*AD11</f>
        <v>#N/A</v>
      </c>
      <c r="AF11" s="49">
        <f t="shared" si="8"/>
        <v>33.81</v>
      </c>
      <c r="AG11" s="49"/>
      <c r="AH11" s="393">
        <f t="shared" si="9"/>
        <v>1.2937931034482757</v>
      </c>
      <c r="AI11" s="394" t="e">
        <f t="shared" si="9"/>
        <v>#N/A</v>
      </c>
      <c r="AJ11" s="829"/>
      <c r="AK11" s="49"/>
      <c r="AN11" s="406" t="e">
        <f t="shared" si="10"/>
        <v>#N/A</v>
      </c>
    </row>
    <row r="12" spans="4:40">
      <c r="D12" s="28">
        <f t="shared" si="11"/>
        <v>3</v>
      </c>
      <c r="E12" s="391" t="str">
        <f t="shared" si="0"/>
        <v>Functional Services Administrator</v>
      </c>
      <c r="F12" s="392"/>
      <c r="G12" s="392">
        <f t="shared" si="1"/>
        <v>0</v>
      </c>
      <c r="H12" s="838" t="s">
        <v>623</v>
      </c>
      <c r="K12" s="47"/>
      <c r="L12" s="49">
        <f t="shared" si="2"/>
        <v>33.81</v>
      </c>
      <c r="M12" s="49">
        <f t="shared" si="12"/>
        <v>34.65</v>
      </c>
      <c r="N12" s="393">
        <f>IF((ISERROR(VLOOKUP(("ManTech"&amp;$D12&amp;$G12&amp;$H12),'Year 1'!$J$32:$AE$51,14,FALSE))),0,(VLOOKUP(("ManTech"&amp;$D12&amp;$G12&amp;$H12),'Year 1'!$J$32:$AE$51,14,FALSE)))</f>
        <v>0.25875862068965516</v>
      </c>
      <c r="O12" s="394">
        <f t="shared" si="13"/>
        <v>8.9659862068965506</v>
      </c>
      <c r="P12" s="49">
        <f t="shared" si="3"/>
        <v>33.81</v>
      </c>
      <c r="Q12" s="49">
        <f t="shared" si="4"/>
        <v>35.79</v>
      </c>
      <c r="R12" s="393">
        <f t="shared" si="14"/>
        <v>0.25875862068965516</v>
      </c>
      <c r="S12" s="394">
        <f t="shared" si="15"/>
        <v>9.2609710344827576</v>
      </c>
      <c r="T12" s="49">
        <f t="shared" si="5"/>
        <v>33.81</v>
      </c>
      <c r="U12" s="49">
        <f t="shared" si="16"/>
        <v>36.82</v>
      </c>
      <c r="V12" s="393">
        <f t="shared" si="17"/>
        <v>0.25875862068965516</v>
      </c>
      <c r="W12" s="394">
        <f t="shared" si="18"/>
        <v>9.5274924137931034</v>
      </c>
      <c r="X12" s="49">
        <f t="shared" si="6"/>
        <v>33.81</v>
      </c>
      <c r="Y12" s="49">
        <f t="shared" si="19"/>
        <v>35.619999999999997</v>
      </c>
      <c r="Z12" s="393">
        <f t="shared" si="20"/>
        <v>0.25875862068965516</v>
      </c>
      <c r="AA12" s="394">
        <f t="shared" si="21"/>
        <v>9.2169820689655158</v>
      </c>
      <c r="AB12" s="49">
        <f t="shared" si="7"/>
        <v>33.81</v>
      </c>
      <c r="AC12" s="49" t="e">
        <f t="shared" si="22"/>
        <v>#N/A</v>
      </c>
      <c r="AD12" s="393">
        <f t="shared" si="23"/>
        <v>0.25875862068965516</v>
      </c>
      <c r="AE12" s="394" t="e">
        <f t="shared" si="24"/>
        <v>#N/A</v>
      </c>
      <c r="AF12" s="49">
        <f t="shared" si="8"/>
        <v>33.81</v>
      </c>
      <c r="AG12" s="49"/>
      <c r="AH12" s="393">
        <f t="shared" si="9"/>
        <v>1.2937931034482757</v>
      </c>
      <c r="AI12" s="394" t="e">
        <f t="shared" si="9"/>
        <v>#N/A</v>
      </c>
      <c r="AJ12" s="829"/>
      <c r="AK12" s="49"/>
      <c r="AN12" s="406" t="e">
        <f t="shared" si="10"/>
        <v>#N/A</v>
      </c>
    </row>
    <row r="13" spans="4:40">
      <c r="D13" s="28">
        <f t="shared" si="11"/>
        <v>4</v>
      </c>
      <c r="E13" s="391" t="str">
        <f t="shared" si="0"/>
        <v>Functional Services Administrator</v>
      </c>
      <c r="F13" s="392"/>
      <c r="G13" s="392">
        <f t="shared" si="1"/>
        <v>0</v>
      </c>
      <c r="H13" s="838" t="s">
        <v>623</v>
      </c>
      <c r="K13" s="47"/>
      <c r="L13" s="49">
        <f t="shared" si="2"/>
        <v>33.81</v>
      </c>
      <c r="M13" s="49">
        <f t="shared" si="12"/>
        <v>34.65</v>
      </c>
      <c r="N13" s="393">
        <f>IF((ISERROR(VLOOKUP(("ManTech"&amp;$D13&amp;$G13&amp;$H13),'Year 1'!$J$32:$AE$51,14,FALSE))),0,(VLOOKUP(("ManTech"&amp;$D13&amp;$G13&amp;$H13),'Year 1'!$J$32:$AE$51,14,FALSE)))</f>
        <v>0.25875862068965516</v>
      </c>
      <c r="O13" s="394">
        <f t="shared" si="13"/>
        <v>8.9659862068965506</v>
      </c>
      <c r="P13" s="49">
        <f t="shared" si="3"/>
        <v>33.81</v>
      </c>
      <c r="Q13" s="49">
        <f t="shared" si="4"/>
        <v>35.79</v>
      </c>
      <c r="R13" s="393">
        <f t="shared" si="14"/>
        <v>0.25875862068965516</v>
      </c>
      <c r="S13" s="394">
        <f t="shared" si="15"/>
        <v>9.2609710344827576</v>
      </c>
      <c r="T13" s="49">
        <f t="shared" si="5"/>
        <v>33.81</v>
      </c>
      <c r="U13" s="49">
        <f t="shared" si="16"/>
        <v>36.82</v>
      </c>
      <c r="V13" s="393">
        <f t="shared" si="17"/>
        <v>0.25875862068965516</v>
      </c>
      <c r="W13" s="394">
        <f t="shared" si="18"/>
        <v>9.5274924137931034</v>
      </c>
      <c r="X13" s="49">
        <f t="shared" si="6"/>
        <v>33.81</v>
      </c>
      <c r="Y13" s="49">
        <f t="shared" si="19"/>
        <v>35.619999999999997</v>
      </c>
      <c r="Z13" s="393">
        <f t="shared" si="20"/>
        <v>0.25875862068965516</v>
      </c>
      <c r="AA13" s="394">
        <f t="shared" si="21"/>
        <v>9.2169820689655158</v>
      </c>
      <c r="AB13" s="49">
        <f t="shared" si="7"/>
        <v>33.81</v>
      </c>
      <c r="AC13" s="49" t="e">
        <f t="shared" si="22"/>
        <v>#N/A</v>
      </c>
      <c r="AD13" s="393">
        <f t="shared" si="23"/>
        <v>0.25875862068965516</v>
      </c>
      <c r="AE13" s="394" t="e">
        <f t="shared" si="24"/>
        <v>#N/A</v>
      </c>
      <c r="AF13" s="49">
        <f t="shared" si="8"/>
        <v>33.81</v>
      </c>
      <c r="AG13" s="49"/>
      <c r="AH13" s="393">
        <f t="shared" si="9"/>
        <v>1.2937931034482757</v>
      </c>
      <c r="AI13" s="394" t="e">
        <f t="shared" si="9"/>
        <v>#N/A</v>
      </c>
      <c r="AJ13" s="829"/>
      <c r="AK13" s="49"/>
      <c r="AN13" s="406" t="e">
        <f t="shared" si="10"/>
        <v>#N/A</v>
      </c>
    </row>
    <row r="14" spans="4:40">
      <c r="D14" s="28">
        <f t="shared" si="11"/>
        <v>5</v>
      </c>
      <c r="E14" s="391" t="str">
        <f t="shared" si="0"/>
        <v>Service Desk</v>
      </c>
      <c r="F14" s="392"/>
      <c r="G14" s="392">
        <f t="shared" si="1"/>
        <v>0</v>
      </c>
      <c r="H14" s="838" t="s">
        <v>623</v>
      </c>
      <c r="K14" s="47"/>
      <c r="L14" s="49">
        <f t="shared" si="2"/>
        <v>26</v>
      </c>
      <c r="M14" s="49">
        <f t="shared" si="12"/>
        <v>26.64</v>
      </c>
      <c r="N14" s="393">
        <f>IF((ISERROR(VLOOKUP(("ManTech"&amp;$D14&amp;$G14&amp;$H14),'Year 1'!$J$32:$AE$51,14,FALSE))),0,(VLOOKUP(("ManTech"&amp;$D14&amp;$G14&amp;$H14),'Year 1'!$J$32:$AE$51,14,FALSE)))</f>
        <v>0.25875862068965516</v>
      </c>
      <c r="O14" s="394">
        <f t="shared" si="13"/>
        <v>6.8933296551724137</v>
      </c>
      <c r="P14" s="49">
        <f t="shared" si="3"/>
        <v>26</v>
      </c>
      <c r="Q14" s="49">
        <f t="shared" si="4"/>
        <v>27.52</v>
      </c>
      <c r="R14" s="393">
        <f t="shared" si="14"/>
        <v>0.25875862068965516</v>
      </c>
      <c r="S14" s="394">
        <f t="shared" si="15"/>
        <v>7.1210372413793097</v>
      </c>
      <c r="T14" s="49">
        <f t="shared" si="5"/>
        <v>26</v>
      </c>
      <c r="U14" s="49">
        <f t="shared" si="16"/>
        <v>28.32</v>
      </c>
      <c r="V14" s="393">
        <f t="shared" si="17"/>
        <v>0.25875862068965516</v>
      </c>
      <c r="W14" s="394">
        <f t="shared" si="18"/>
        <v>7.3280441379310339</v>
      </c>
      <c r="X14" s="49">
        <f t="shared" si="6"/>
        <v>26</v>
      </c>
      <c r="Y14" s="49">
        <f t="shared" si="19"/>
        <v>27.39</v>
      </c>
      <c r="Z14" s="393">
        <f t="shared" si="20"/>
        <v>0.25875862068965516</v>
      </c>
      <c r="AA14" s="394">
        <f t="shared" si="21"/>
        <v>7.0873986206896546</v>
      </c>
      <c r="AB14" s="49">
        <f t="shared" si="7"/>
        <v>26</v>
      </c>
      <c r="AC14" s="49" t="e">
        <f t="shared" si="22"/>
        <v>#N/A</v>
      </c>
      <c r="AD14" s="393">
        <f t="shared" si="23"/>
        <v>0.25875862068965516</v>
      </c>
      <c r="AE14" s="394" t="e">
        <f t="shared" si="24"/>
        <v>#N/A</v>
      </c>
      <c r="AF14" s="49">
        <f t="shared" si="8"/>
        <v>26</v>
      </c>
      <c r="AG14" s="49"/>
      <c r="AH14" s="393">
        <f t="shared" si="9"/>
        <v>1.2937931034482757</v>
      </c>
      <c r="AI14" s="394" t="e">
        <f t="shared" si="9"/>
        <v>#N/A</v>
      </c>
      <c r="AJ14" s="829"/>
      <c r="AK14" s="49"/>
      <c r="AN14" s="406" t="e">
        <f t="shared" si="10"/>
        <v>#N/A</v>
      </c>
    </row>
    <row r="15" spans="4:40">
      <c r="D15" s="28">
        <f t="shared" si="11"/>
        <v>6</v>
      </c>
      <c r="E15" s="391" t="str">
        <f t="shared" si="0"/>
        <v>Service Desk</v>
      </c>
      <c r="F15" s="392"/>
      <c r="G15" s="392">
        <f t="shared" si="1"/>
        <v>0</v>
      </c>
      <c r="H15" s="838" t="s">
        <v>623</v>
      </c>
      <c r="K15" s="47"/>
      <c r="L15" s="49">
        <f t="shared" si="2"/>
        <v>26</v>
      </c>
      <c r="M15" s="49">
        <f t="shared" si="12"/>
        <v>26.64</v>
      </c>
      <c r="N15" s="393">
        <f>IF((ISERROR(VLOOKUP(("ManTech"&amp;$D15&amp;$G15&amp;$H15),'Year 1'!$J$32:$AE$51,14,FALSE))),0,(VLOOKUP(("ManTech"&amp;$D15&amp;$G15&amp;$H15),'Year 1'!$J$32:$AE$51,14,FALSE)))</f>
        <v>0.25875862068965516</v>
      </c>
      <c r="O15" s="394">
        <f t="shared" si="13"/>
        <v>6.8933296551724137</v>
      </c>
      <c r="P15" s="49">
        <f t="shared" si="3"/>
        <v>26</v>
      </c>
      <c r="Q15" s="49">
        <f t="shared" si="4"/>
        <v>27.52</v>
      </c>
      <c r="R15" s="393">
        <f t="shared" si="14"/>
        <v>0.25875862068965516</v>
      </c>
      <c r="S15" s="394">
        <f t="shared" si="15"/>
        <v>7.1210372413793097</v>
      </c>
      <c r="T15" s="49">
        <f t="shared" si="5"/>
        <v>26</v>
      </c>
      <c r="U15" s="49">
        <f t="shared" si="16"/>
        <v>28.32</v>
      </c>
      <c r="V15" s="393">
        <f t="shared" si="17"/>
        <v>0.25875862068965516</v>
      </c>
      <c r="W15" s="394">
        <f t="shared" si="18"/>
        <v>7.3280441379310339</v>
      </c>
      <c r="X15" s="49">
        <f t="shared" si="6"/>
        <v>26</v>
      </c>
      <c r="Y15" s="49">
        <f t="shared" si="19"/>
        <v>27.39</v>
      </c>
      <c r="Z15" s="393">
        <f t="shared" si="20"/>
        <v>0.25875862068965516</v>
      </c>
      <c r="AA15" s="394">
        <f t="shared" si="21"/>
        <v>7.0873986206896546</v>
      </c>
      <c r="AB15" s="49">
        <f t="shared" si="7"/>
        <v>26</v>
      </c>
      <c r="AC15" s="49" t="e">
        <f t="shared" si="22"/>
        <v>#N/A</v>
      </c>
      <c r="AD15" s="393">
        <f t="shared" si="23"/>
        <v>0.25875862068965516</v>
      </c>
      <c r="AE15" s="394" t="e">
        <f t="shared" si="24"/>
        <v>#N/A</v>
      </c>
      <c r="AF15" s="49">
        <f t="shared" si="8"/>
        <v>26</v>
      </c>
      <c r="AG15" s="49"/>
      <c r="AH15" s="393">
        <f t="shared" si="9"/>
        <v>1.2937931034482757</v>
      </c>
      <c r="AI15" s="394" t="e">
        <f t="shared" si="9"/>
        <v>#N/A</v>
      </c>
      <c r="AJ15" s="829"/>
      <c r="AK15" s="49"/>
      <c r="AN15" s="406" t="e">
        <f t="shared" si="10"/>
        <v>#N/A</v>
      </c>
    </row>
    <row r="16" spans="4:40">
      <c r="D16" s="28">
        <f t="shared" si="11"/>
        <v>7</v>
      </c>
      <c r="E16" s="391" t="str">
        <f t="shared" si="0"/>
        <v>CIS Training Supervisor</v>
      </c>
      <c r="F16" s="392"/>
      <c r="G16" s="392">
        <f t="shared" si="1"/>
        <v>0</v>
      </c>
      <c r="H16" s="838" t="s">
        <v>623</v>
      </c>
      <c r="K16" s="47"/>
      <c r="L16" s="49">
        <f t="shared" si="2"/>
        <v>0</v>
      </c>
      <c r="M16" s="49">
        <f t="shared" si="12"/>
        <v>0</v>
      </c>
      <c r="N16" s="393">
        <f>IF((ISERROR(VLOOKUP(("ManTech"&amp;$D16&amp;$G16&amp;$H16),'Year 1'!$J$32:$AE$51,14,FALSE))),0,(VLOOKUP(("ManTech"&amp;$D16&amp;$G16&amp;$H16),'Year 1'!$J$32:$AE$51,14,FALSE)))</f>
        <v>0</v>
      </c>
      <c r="O16" s="394">
        <f t="shared" si="13"/>
        <v>0</v>
      </c>
      <c r="P16" s="49">
        <f t="shared" si="3"/>
        <v>0</v>
      </c>
      <c r="Q16" s="49">
        <f t="shared" si="4"/>
        <v>0</v>
      </c>
      <c r="R16" s="393">
        <f t="shared" si="14"/>
        <v>0</v>
      </c>
      <c r="S16" s="394">
        <f t="shared" si="15"/>
        <v>0</v>
      </c>
      <c r="T16" s="49">
        <f t="shared" si="5"/>
        <v>0</v>
      </c>
      <c r="U16" s="49">
        <f t="shared" si="16"/>
        <v>0</v>
      </c>
      <c r="V16" s="393">
        <f t="shared" si="17"/>
        <v>0</v>
      </c>
      <c r="W16" s="394">
        <f t="shared" si="18"/>
        <v>0</v>
      </c>
      <c r="X16" s="49">
        <f t="shared" si="6"/>
        <v>0</v>
      </c>
      <c r="Y16" s="49">
        <f t="shared" si="19"/>
        <v>0</v>
      </c>
      <c r="Z16" s="393">
        <f t="shared" si="20"/>
        <v>0</v>
      </c>
      <c r="AA16" s="394">
        <f t="shared" si="21"/>
        <v>0</v>
      </c>
      <c r="AB16" s="49">
        <f t="shared" si="7"/>
        <v>0</v>
      </c>
      <c r="AC16" s="49" t="e">
        <f t="shared" si="22"/>
        <v>#N/A</v>
      </c>
      <c r="AD16" s="393">
        <f t="shared" si="23"/>
        <v>0</v>
      </c>
      <c r="AE16" s="394" t="e">
        <f t="shared" si="24"/>
        <v>#N/A</v>
      </c>
      <c r="AF16" s="49">
        <f t="shared" si="8"/>
        <v>0</v>
      </c>
      <c r="AG16" s="49"/>
      <c r="AH16" s="393">
        <f t="shared" si="9"/>
        <v>0</v>
      </c>
      <c r="AI16" s="394" t="e">
        <f t="shared" si="9"/>
        <v>#N/A</v>
      </c>
      <c r="AJ16" s="829"/>
      <c r="AK16" s="49"/>
      <c r="AN16" s="406" t="e">
        <f t="shared" si="10"/>
        <v>#N/A</v>
      </c>
    </row>
    <row r="17" spans="4:40">
      <c r="D17" s="28">
        <f t="shared" si="11"/>
        <v>8</v>
      </c>
      <c r="E17" s="391" t="str">
        <f t="shared" si="0"/>
        <v>CIS Trainer</v>
      </c>
      <c r="F17" s="392"/>
      <c r="G17" s="392">
        <f t="shared" si="1"/>
        <v>0</v>
      </c>
      <c r="H17" s="838" t="s">
        <v>623</v>
      </c>
      <c r="K17" s="47"/>
      <c r="L17" s="49">
        <f t="shared" si="2"/>
        <v>0</v>
      </c>
      <c r="M17" s="49">
        <f t="shared" si="12"/>
        <v>0</v>
      </c>
      <c r="N17" s="393">
        <f>IF((ISERROR(VLOOKUP(("ManTech"&amp;$D17&amp;$G17&amp;$H17),'Year 1'!$J$32:$AE$51,14,FALSE))),0,(VLOOKUP(("ManTech"&amp;$D17&amp;$G17&amp;$H17),'Year 1'!$J$32:$AE$51,14,FALSE)))</f>
        <v>0</v>
      </c>
      <c r="O17" s="394">
        <f t="shared" si="13"/>
        <v>0</v>
      </c>
      <c r="P17" s="49">
        <f t="shared" si="3"/>
        <v>0</v>
      </c>
      <c r="Q17" s="49">
        <f t="shared" si="4"/>
        <v>0</v>
      </c>
      <c r="R17" s="393">
        <f t="shared" si="14"/>
        <v>0</v>
      </c>
      <c r="S17" s="394">
        <f t="shared" si="15"/>
        <v>0</v>
      </c>
      <c r="T17" s="49">
        <f t="shared" si="5"/>
        <v>0</v>
      </c>
      <c r="U17" s="49">
        <f t="shared" si="16"/>
        <v>0</v>
      </c>
      <c r="V17" s="393">
        <f t="shared" si="17"/>
        <v>0</v>
      </c>
      <c r="W17" s="394">
        <f t="shared" si="18"/>
        <v>0</v>
      </c>
      <c r="X17" s="49">
        <f t="shared" si="6"/>
        <v>0</v>
      </c>
      <c r="Y17" s="49">
        <f t="shared" si="19"/>
        <v>0</v>
      </c>
      <c r="Z17" s="393">
        <f t="shared" si="20"/>
        <v>0</v>
      </c>
      <c r="AA17" s="394">
        <f t="shared" si="21"/>
        <v>0</v>
      </c>
      <c r="AB17" s="49">
        <f t="shared" si="7"/>
        <v>0</v>
      </c>
      <c r="AC17" s="49" t="e">
        <f t="shared" si="22"/>
        <v>#N/A</v>
      </c>
      <c r="AD17" s="393">
        <f t="shared" si="23"/>
        <v>0</v>
      </c>
      <c r="AE17" s="394" t="e">
        <f t="shared" si="24"/>
        <v>#N/A</v>
      </c>
      <c r="AF17" s="49">
        <f t="shared" si="8"/>
        <v>0</v>
      </c>
      <c r="AG17" s="49"/>
      <c r="AH17" s="393">
        <f t="shared" si="9"/>
        <v>0</v>
      </c>
      <c r="AI17" s="394" t="e">
        <f t="shared" si="9"/>
        <v>#N/A</v>
      </c>
      <c r="AJ17" s="829"/>
      <c r="AK17" s="49"/>
      <c r="AN17" s="406" t="e">
        <f t="shared" si="10"/>
        <v>#N/A</v>
      </c>
    </row>
    <row r="18" spans="4:40">
      <c r="D18" s="28">
        <f t="shared" si="11"/>
        <v>9</v>
      </c>
      <c r="E18" s="391" t="str">
        <f t="shared" si="0"/>
        <v>Radio Technician</v>
      </c>
      <c r="F18" s="392"/>
      <c r="G18" s="392">
        <f t="shared" si="1"/>
        <v>0</v>
      </c>
      <c r="H18" s="838" t="s">
        <v>623</v>
      </c>
      <c r="K18" s="47"/>
      <c r="L18" s="49">
        <f t="shared" si="2"/>
        <v>0</v>
      </c>
      <c r="M18" s="49">
        <f t="shared" si="12"/>
        <v>0</v>
      </c>
      <c r="N18" s="393">
        <f>IF((ISERROR(VLOOKUP(("ManTech"&amp;$D18&amp;$G18&amp;$H18),'Year 1'!$J$32:$AE$51,14,FALSE))),0,(VLOOKUP(("ManTech"&amp;$D18&amp;$G18&amp;$H18),'Year 1'!$J$32:$AE$51,14,FALSE)))</f>
        <v>0</v>
      </c>
      <c r="O18" s="394">
        <f t="shared" si="13"/>
        <v>0</v>
      </c>
      <c r="P18" s="49">
        <f t="shared" si="3"/>
        <v>0</v>
      </c>
      <c r="Q18" s="49">
        <f t="shared" si="4"/>
        <v>0</v>
      </c>
      <c r="R18" s="393">
        <f t="shared" si="14"/>
        <v>0</v>
      </c>
      <c r="S18" s="394">
        <f t="shared" si="15"/>
        <v>0</v>
      </c>
      <c r="T18" s="49">
        <f t="shared" si="5"/>
        <v>0</v>
      </c>
      <c r="U18" s="49">
        <f t="shared" si="16"/>
        <v>0</v>
      </c>
      <c r="V18" s="393">
        <f t="shared" si="17"/>
        <v>0</v>
      </c>
      <c r="W18" s="394">
        <f t="shared" si="18"/>
        <v>0</v>
      </c>
      <c r="X18" s="49">
        <f t="shared" si="6"/>
        <v>0</v>
      </c>
      <c r="Y18" s="49">
        <f t="shared" si="19"/>
        <v>0</v>
      </c>
      <c r="Z18" s="393">
        <f t="shared" si="20"/>
        <v>0</v>
      </c>
      <c r="AA18" s="394">
        <f t="shared" si="21"/>
        <v>0</v>
      </c>
      <c r="AB18" s="49">
        <f t="shared" si="7"/>
        <v>0</v>
      </c>
      <c r="AC18" s="49" t="e">
        <f t="shared" si="22"/>
        <v>#N/A</v>
      </c>
      <c r="AD18" s="393">
        <f t="shared" si="23"/>
        <v>0</v>
      </c>
      <c r="AE18" s="394" t="e">
        <f t="shared" si="24"/>
        <v>#N/A</v>
      </c>
      <c r="AF18" s="49">
        <f t="shared" si="8"/>
        <v>0</v>
      </c>
      <c r="AG18" s="49"/>
      <c r="AH18" s="393">
        <f t="shared" si="9"/>
        <v>0</v>
      </c>
      <c r="AI18" s="394" t="e">
        <f t="shared" si="9"/>
        <v>#N/A</v>
      </c>
      <c r="AJ18" s="829"/>
      <c r="AK18" s="49"/>
      <c r="AN18" s="406" t="e">
        <f t="shared" si="10"/>
        <v>#N/A</v>
      </c>
    </row>
    <row r="19" spans="4:40">
      <c r="D19" s="28">
        <f t="shared" si="11"/>
        <v>10</v>
      </c>
      <c r="E19" s="391" t="str">
        <f t="shared" si="0"/>
        <v>Radio Technician</v>
      </c>
      <c r="F19" s="392"/>
      <c r="G19" s="392">
        <f t="shared" si="1"/>
        <v>0</v>
      </c>
      <c r="H19" s="838" t="s">
        <v>623</v>
      </c>
      <c r="K19" s="47"/>
      <c r="L19" s="49">
        <f t="shared" si="2"/>
        <v>0</v>
      </c>
      <c r="M19" s="49">
        <f t="shared" si="12"/>
        <v>0</v>
      </c>
      <c r="N19" s="393">
        <f>IF((ISERROR(VLOOKUP(("ManTech"&amp;$D19&amp;$G19&amp;$H19),'Year 1'!$J$32:$AE$51,14,FALSE))),0,(VLOOKUP(("ManTech"&amp;$D19&amp;$G19&amp;$H19),'Year 1'!$J$32:$AE$51,14,FALSE)))</f>
        <v>0</v>
      </c>
      <c r="O19" s="394">
        <f t="shared" si="13"/>
        <v>0</v>
      </c>
      <c r="P19" s="49">
        <f t="shared" si="3"/>
        <v>0</v>
      </c>
      <c r="Q19" s="49">
        <f t="shared" si="4"/>
        <v>0</v>
      </c>
      <c r="R19" s="393">
        <f t="shared" si="14"/>
        <v>0</v>
      </c>
      <c r="S19" s="394">
        <f t="shared" si="15"/>
        <v>0</v>
      </c>
      <c r="T19" s="49">
        <f t="shared" si="5"/>
        <v>0</v>
      </c>
      <c r="U19" s="49">
        <f t="shared" si="16"/>
        <v>0</v>
      </c>
      <c r="V19" s="393">
        <f t="shared" si="17"/>
        <v>0</v>
      </c>
      <c r="W19" s="394">
        <f t="shared" si="18"/>
        <v>0</v>
      </c>
      <c r="X19" s="49">
        <f t="shared" si="6"/>
        <v>0</v>
      </c>
      <c r="Y19" s="49">
        <f t="shared" si="19"/>
        <v>0</v>
      </c>
      <c r="Z19" s="393">
        <f t="shared" si="20"/>
        <v>0</v>
      </c>
      <c r="AA19" s="394">
        <f t="shared" si="21"/>
        <v>0</v>
      </c>
      <c r="AB19" s="49">
        <f t="shared" si="7"/>
        <v>0</v>
      </c>
      <c r="AC19" s="49" t="e">
        <f t="shared" si="22"/>
        <v>#N/A</v>
      </c>
      <c r="AD19" s="393">
        <f t="shared" si="23"/>
        <v>0</v>
      </c>
      <c r="AE19" s="394" t="e">
        <f t="shared" si="24"/>
        <v>#N/A</v>
      </c>
      <c r="AF19" s="49">
        <f t="shared" si="8"/>
        <v>0</v>
      </c>
      <c r="AG19" s="49"/>
      <c r="AH19" s="393">
        <f t="shared" si="9"/>
        <v>0</v>
      </c>
      <c r="AI19" s="394" t="e">
        <f t="shared" si="9"/>
        <v>#N/A</v>
      </c>
      <c r="AJ19" s="829"/>
      <c r="AK19" s="49"/>
      <c r="AN19" s="406" t="e">
        <f t="shared" si="10"/>
        <v>#N/A</v>
      </c>
    </row>
    <row r="20" spans="4:40">
      <c r="D20" s="28">
        <f t="shared" ref="D20:D29" si="25">D19+1</f>
        <v>11</v>
      </c>
      <c r="E20" s="391" t="str">
        <f t="shared" si="0"/>
        <v>Network Administrator</v>
      </c>
      <c r="F20" s="392"/>
      <c r="G20" s="392">
        <f t="shared" si="1"/>
        <v>0</v>
      </c>
      <c r="H20" s="838" t="s">
        <v>623</v>
      </c>
      <c r="K20" s="47"/>
      <c r="L20" s="49">
        <f t="shared" si="2"/>
        <v>27.5</v>
      </c>
      <c r="M20" s="49">
        <f t="shared" ref="M20:M29" si="26">IF($I20="",ROUND(L20*O$5,2),L20)</f>
        <v>28.18</v>
      </c>
      <c r="N20" s="393">
        <f>IF((ISERROR(VLOOKUP(("ManTech"&amp;$D20&amp;$G20&amp;$H20),'Year 1'!$J$32:$AE$51,14,FALSE))),0,(VLOOKUP(("ManTech"&amp;$D20&amp;$G20&amp;$H20),'Year 1'!$J$32:$AE$51,14,FALSE)))</f>
        <v>0.25875862068965516</v>
      </c>
      <c r="O20" s="394">
        <f t="shared" ref="O20:O29" si="27">M20*N20</f>
        <v>7.2918179310344824</v>
      </c>
      <c r="P20" s="49">
        <f t="shared" si="3"/>
        <v>27.5</v>
      </c>
      <c r="Q20" s="49">
        <f t="shared" ref="Q20:Q29" si="28">IF($I20="",ROUND(P20*S$5,2),P20)</f>
        <v>29.11</v>
      </c>
      <c r="R20" s="393">
        <f t="shared" ref="R20:R29" si="29">N20</f>
        <v>0.25875862068965516</v>
      </c>
      <c r="S20" s="394">
        <f t="shared" ref="S20:S29" si="30">Q20*R20</f>
        <v>7.5324634482758617</v>
      </c>
      <c r="T20" s="49">
        <f t="shared" si="5"/>
        <v>27.5</v>
      </c>
      <c r="U20" s="49">
        <f t="shared" ref="U20:U29" si="31">IF($I20="",ROUND(T20*W$5,2),T20)</f>
        <v>29.95</v>
      </c>
      <c r="V20" s="393">
        <f t="shared" ref="V20:V29" si="32">R20</f>
        <v>0.25875862068965516</v>
      </c>
      <c r="W20" s="394">
        <f t="shared" ref="W20:W29" si="33">U20*V20</f>
        <v>7.7498206896551718</v>
      </c>
      <c r="X20" s="49">
        <f t="shared" si="6"/>
        <v>27.5</v>
      </c>
      <c r="Y20" s="49">
        <f t="shared" ref="Y20:Y29" si="34">IF($I20="",ROUND(X20*AA$5,2),X20)</f>
        <v>28.97</v>
      </c>
      <c r="Z20" s="393">
        <f t="shared" ref="Z20:Z29" si="35">V20</f>
        <v>0.25875862068965516</v>
      </c>
      <c r="AA20" s="394">
        <f t="shared" ref="AA20:AA29" si="36">Y20*Z20</f>
        <v>7.4962372413793101</v>
      </c>
      <c r="AB20" s="49">
        <f t="shared" si="7"/>
        <v>27.5</v>
      </c>
      <c r="AC20" s="49" t="e">
        <f t="shared" ref="AC20:AC29" si="37">IF($I20="",ROUND(AB20*AE$5,2),AB20)</f>
        <v>#N/A</v>
      </c>
      <c r="AD20" s="393">
        <f t="shared" ref="AD20:AD29" si="38">Z20</f>
        <v>0.25875862068965516</v>
      </c>
      <c r="AE20" s="394" t="e">
        <f t="shared" ref="AE20:AE29" si="39">AC20*AD20</f>
        <v>#N/A</v>
      </c>
      <c r="AF20" s="49">
        <f t="shared" si="8"/>
        <v>27.5</v>
      </c>
      <c r="AG20" s="49"/>
      <c r="AH20" s="393">
        <f t="shared" si="9"/>
        <v>1.2937931034482757</v>
      </c>
      <c r="AI20" s="394" t="e">
        <f t="shared" si="9"/>
        <v>#N/A</v>
      </c>
      <c r="AJ20" s="829"/>
      <c r="AK20" s="49"/>
      <c r="AN20" s="406" t="e">
        <f t="shared" ref="AN20:AN29" si="40">IF((OR((AI20=""),(AI20&gt;0))),"1","0")</f>
        <v>#N/A</v>
      </c>
    </row>
    <row r="21" spans="4:40">
      <c r="D21" s="28">
        <f t="shared" si="25"/>
        <v>12</v>
      </c>
      <c r="E21" s="391" t="str">
        <f t="shared" si="0"/>
        <v>System Administrator</v>
      </c>
      <c r="F21" s="392"/>
      <c r="G21" s="392">
        <f t="shared" si="1"/>
        <v>0</v>
      </c>
      <c r="H21" s="838" t="s">
        <v>623</v>
      </c>
      <c r="K21" s="47"/>
      <c r="L21" s="49">
        <f t="shared" si="2"/>
        <v>28</v>
      </c>
      <c r="M21" s="49">
        <f t="shared" si="26"/>
        <v>28.69</v>
      </c>
      <c r="N21" s="393">
        <f>IF((ISERROR(VLOOKUP(("ManTech"&amp;$D21&amp;$G21&amp;$H21),'Year 1'!$J$32:$AE$51,14,FALSE))),0,(VLOOKUP(("ManTech"&amp;$D21&amp;$G21&amp;$H21),'Year 1'!$J$32:$AE$51,14,FALSE)))</f>
        <v>0.25875862068965516</v>
      </c>
      <c r="O21" s="394">
        <f t="shared" si="27"/>
        <v>7.4237848275862071</v>
      </c>
      <c r="P21" s="49">
        <f t="shared" si="3"/>
        <v>28</v>
      </c>
      <c r="Q21" s="49">
        <f t="shared" si="28"/>
        <v>29.64</v>
      </c>
      <c r="R21" s="393">
        <f t="shared" si="29"/>
        <v>0.25875862068965516</v>
      </c>
      <c r="S21" s="394">
        <f t="shared" si="30"/>
        <v>7.6696055172413793</v>
      </c>
      <c r="T21" s="49">
        <f t="shared" si="5"/>
        <v>28</v>
      </c>
      <c r="U21" s="49">
        <f t="shared" si="31"/>
        <v>30.49</v>
      </c>
      <c r="V21" s="393">
        <f t="shared" si="32"/>
        <v>0.25875862068965516</v>
      </c>
      <c r="W21" s="394">
        <f t="shared" si="33"/>
        <v>7.8895503448275859</v>
      </c>
      <c r="X21" s="49">
        <f t="shared" si="6"/>
        <v>28</v>
      </c>
      <c r="Y21" s="49">
        <f t="shared" si="34"/>
        <v>29.5</v>
      </c>
      <c r="Z21" s="393">
        <f t="shared" si="35"/>
        <v>0.25875862068965516</v>
      </c>
      <c r="AA21" s="394">
        <f t="shared" si="36"/>
        <v>7.6333793103448269</v>
      </c>
      <c r="AB21" s="49">
        <f t="shared" si="7"/>
        <v>28</v>
      </c>
      <c r="AC21" s="49" t="e">
        <f t="shared" si="37"/>
        <v>#N/A</v>
      </c>
      <c r="AD21" s="393">
        <f t="shared" si="38"/>
        <v>0.25875862068965516</v>
      </c>
      <c r="AE21" s="394" t="e">
        <f t="shared" si="39"/>
        <v>#N/A</v>
      </c>
      <c r="AF21" s="49">
        <f t="shared" si="8"/>
        <v>28</v>
      </c>
      <c r="AG21" s="49"/>
      <c r="AH21" s="393">
        <f t="shared" si="9"/>
        <v>1.2937931034482757</v>
      </c>
      <c r="AI21" s="394" t="e">
        <f t="shared" si="9"/>
        <v>#N/A</v>
      </c>
      <c r="AJ21" s="829"/>
      <c r="AK21" s="49"/>
      <c r="AN21" s="406" t="e">
        <f t="shared" si="40"/>
        <v>#N/A</v>
      </c>
    </row>
    <row r="22" spans="4:40">
      <c r="D22" s="28">
        <f t="shared" si="25"/>
        <v>13</v>
      </c>
      <c r="E22" s="391" t="str">
        <f t="shared" si="0"/>
        <v>Configuration Manager</v>
      </c>
      <c r="F22" s="392"/>
      <c r="G22" s="392">
        <f t="shared" si="1"/>
        <v>0</v>
      </c>
      <c r="H22" s="838" t="s">
        <v>623</v>
      </c>
      <c r="K22" s="47"/>
      <c r="L22" s="49">
        <f t="shared" si="2"/>
        <v>26</v>
      </c>
      <c r="M22" s="49">
        <f t="shared" si="26"/>
        <v>26.64</v>
      </c>
      <c r="N22" s="393">
        <f>IF((ISERROR(VLOOKUP(("ManTech"&amp;$D22&amp;$G22&amp;$H22),'Year 1'!$J$32:$AE$51,14,FALSE))),0,(VLOOKUP(("ManTech"&amp;$D22&amp;$G22&amp;$H22),'Year 1'!$J$32:$AE$51,14,FALSE)))</f>
        <v>0.25875862068965516</v>
      </c>
      <c r="O22" s="394">
        <f t="shared" si="27"/>
        <v>6.8933296551724137</v>
      </c>
      <c r="P22" s="49">
        <f t="shared" si="3"/>
        <v>26</v>
      </c>
      <c r="Q22" s="49">
        <f t="shared" si="28"/>
        <v>27.52</v>
      </c>
      <c r="R22" s="393">
        <f t="shared" si="29"/>
        <v>0.25875862068965516</v>
      </c>
      <c r="S22" s="394">
        <f t="shared" si="30"/>
        <v>7.1210372413793097</v>
      </c>
      <c r="T22" s="49">
        <f t="shared" si="5"/>
        <v>26</v>
      </c>
      <c r="U22" s="49">
        <f t="shared" si="31"/>
        <v>28.32</v>
      </c>
      <c r="V22" s="393">
        <f t="shared" si="32"/>
        <v>0.25875862068965516</v>
      </c>
      <c r="W22" s="394">
        <f t="shared" si="33"/>
        <v>7.3280441379310339</v>
      </c>
      <c r="X22" s="49">
        <f t="shared" si="6"/>
        <v>26</v>
      </c>
      <c r="Y22" s="49">
        <f t="shared" si="34"/>
        <v>27.39</v>
      </c>
      <c r="Z22" s="393">
        <f t="shared" si="35"/>
        <v>0.25875862068965516</v>
      </c>
      <c r="AA22" s="394">
        <f t="shared" si="36"/>
        <v>7.0873986206896546</v>
      </c>
      <c r="AB22" s="49">
        <f t="shared" si="7"/>
        <v>26</v>
      </c>
      <c r="AC22" s="49" t="e">
        <f t="shared" si="37"/>
        <v>#N/A</v>
      </c>
      <c r="AD22" s="393">
        <f t="shared" si="38"/>
        <v>0.25875862068965516</v>
      </c>
      <c r="AE22" s="394" t="e">
        <f t="shared" si="39"/>
        <v>#N/A</v>
      </c>
      <c r="AF22" s="49">
        <f t="shared" si="8"/>
        <v>26</v>
      </c>
      <c r="AG22" s="49"/>
      <c r="AH22" s="393">
        <f t="shared" si="9"/>
        <v>1.2937931034482757</v>
      </c>
      <c r="AI22" s="394" t="e">
        <f t="shared" si="9"/>
        <v>#N/A</v>
      </c>
      <c r="AJ22" s="829"/>
      <c r="AK22" s="49"/>
      <c r="AN22" s="406" t="e">
        <f t="shared" si="40"/>
        <v>#N/A</v>
      </c>
    </row>
    <row r="23" spans="4:40">
      <c r="D23" s="28">
        <f t="shared" si="25"/>
        <v>14</v>
      </c>
      <c r="E23" s="391" t="str">
        <f t="shared" si="0"/>
        <v>Hardware Technician</v>
      </c>
      <c r="F23" s="392"/>
      <c r="G23" s="392">
        <f t="shared" si="1"/>
        <v>0</v>
      </c>
      <c r="H23" s="838" t="s">
        <v>623</v>
      </c>
      <c r="K23" s="47"/>
      <c r="L23" s="49">
        <f t="shared" si="2"/>
        <v>26</v>
      </c>
      <c r="M23" s="49">
        <f t="shared" si="26"/>
        <v>26.64</v>
      </c>
      <c r="N23" s="393">
        <f>IF((ISERROR(VLOOKUP(("ManTech"&amp;$D23&amp;$G23&amp;$H23),'Year 1'!$J$32:$AE$51,14,FALSE))),0,(VLOOKUP(("ManTech"&amp;$D23&amp;$G23&amp;$H23),'Year 1'!$J$32:$AE$51,14,FALSE)))</f>
        <v>0.25875862068965516</v>
      </c>
      <c r="O23" s="394">
        <f t="shared" si="27"/>
        <v>6.8933296551724137</v>
      </c>
      <c r="P23" s="49">
        <f t="shared" si="3"/>
        <v>26</v>
      </c>
      <c r="Q23" s="49">
        <f t="shared" si="28"/>
        <v>27.52</v>
      </c>
      <c r="R23" s="393">
        <f t="shared" si="29"/>
        <v>0.25875862068965516</v>
      </c>
      <c r="S23" s="394">
        <f t="shared" si="30"/>
        <v>7.1210372413793097</v>
      </c>
      <c r="T23" s="49">
        <f t="shared" si="5"/>
        <v>26</v>
      </c>
      <c r="U23" s="49">
        <f t="shared" si="31"/>
        <v>28.32</v>
      </c>
      <c r="V23" s="393">
        <f t="shared" si="32"/>
        <v>0.25875862068965516</v>
      </c>
      <c r="W23" s="394">
        <f t="shared" si="33"/>
        <v>7.3280441379310339</v>
      </c>
      <c r="X23" s="49">
        <f t="shared" si="6"/>
        <v>26</v>
      </c>
      <c r="Y23" s="49">
        <f t="shared" si="34"/>
        <v>27.39</v>
      </c>
      <c r="Z23" s="393">
        <f t="shared" si="35"/>
        <v>0.25875862068965516</v>
      </c>
      <c r="AA23" s="394">
        <f t="shared" si="36"/>
        <v>7.0873986206896546</v>
      </c>
      <c r="AB23" s="49">
        <f t="shared" si="7"/>
        <v>26</v>
      </c>
      <c r="AC23" s="49" t="e">
        <f t="shared" si="37"/>
        <v>#N/A</v>
      </c>
      <c r="AD23" s="393">
        <f t="shared" si="38"/>
        <v>0.25875862068965516</v>
      </c>
      <c r="AE23" s="394" t="e">
        <f t="shared" si="39"/>
        <v>#N/A</v>
      </c>
      <c r="AF23" s="49">
        <f t="shared" si="8"/>
        <v>26</v>
      </c>
      <c r="AG23" s="49"/>
      <c r="AH23" s="393">
        <f t="shared" si="9"/>
        <v>1.2937931034482757</v>
      </c>
      <c r="AI23" s="394" t="e">
        <f t="shared" si="9"/>
        <v>#N/A</v>
      </c>
      <c r="AJ23" s="829"/>
      <c r="AK23" s="49"/>
      <c r="AN23" s="406" t="e">
        <f t="shared" si="40"/>
        <v>#N/A</v>
      </c>
    </row>
    <row r="24" spans="4:40">
      <c r="D24" s="28">
        <f t="shared" si="25"/>
        <v>15</v>
      </c>
      <c r="E24" s="391" t="str">
        <f t="shared" si="0"/>
        <v>Repair/Exchange Specialist</v>
      </c>
      <c r="F24" s="392"/>
      <c r="G24" s="392">
        <f t="shared" si="1"/>
        <v>0</v>
      </c>
      <c r="H24" s="838" t="s">
        <v>623</v>
      </c>
      <c r="K24" s="47"/>
      <c r="L24" s="49">
        <f t="shared" si="2"/>
        <v>25</v>
      </c>
      <c r="M24" s="49">
        <f t="shared" si="26"/>
        <v>25.62</v>
      </c>
      <c r="N24" s="393">
        <f>IF((ISERROR(VLOOKUP(("ManTech"&amp;$D24&amp;$G24&amp;$H24),'Year 1'!$J$32:$AE$51,14,FALSE))),0,(VLOOKUP(("ManTech"&amp;$D24&amp;$G24&amp;$H24),'Year 1'!$J$32:$AE$51,14,FALSE)))</f>
        <v>0.25875862068965516</v>
      </c>
      <c r="O24" s="394">
        <f t="shared" si="27"/>
        <v>6.6293958620689653</v>
      </c>
      <c r="P24" s="49">
        <f t="shared" si="3"/>
        <v>25</v>
      </c>
      <c r="Q24" s="49">
        <f t="shared" si="28"/>
        <v>26.46</v>
      </c>
      <c r="R24" s="393">
        <f t="shared" si="29"/>
        <v>0.25875862068965516</v>
      </c>
      <c r="S24" s="394">
        <f t="shared" si="30"/>
        <v>6.8467531034482754</v>
      </c>
      <c r="T24" s="49">
        <f t="shared" si="5"/>
        <v>25</v>
      </c>
      <c r="U24" s="49">
        <f t="shared" si="31"/>
        <v>27.23</v>
      </c>
      <c r="V24" s="393">
        <f t="shared" si="32"/>
        <v>0.25875862068965516</v>
      </c>
      <c r="W24" s="394">
        <f t="shared" si="33"/>
        <v>7.0459972413793102</v>
      </c>
      <c r="X24" s="49">
        <f t="shared" si="6"/>
        <v>25</v>
      </c>
      <c r="Y24" s="49">
        <f t="shared" si="34"/>
        <v>26.34</v>
      </c>
      <c r="Z24" s="393">
        <f t="shared" si="35"/>
        <v>0.25875862068965516</v>
      </c>
      <c r="AA24" s="394">
        <f t="shared" si="36"/>
        <v>6.8157020689655168</v>
      </c>
      <c r="AB24" s="49">
        <f t="shared" si="7"/>
        <v>25</v>
      </c>
      <c r="AC24" s="49" t="e">
        <f t="shared" si="37"/>
        <v>#N/A</v>
      </c>
      <c r="AD24" s="393">
        <f t="shared" si="38"/>
        <v>0.25875862068965516</v>
      </c>
      <c r="AE24" s="394" t="e">
        <f t="shared" si="39"/>
        <v>#N/A</v>
      </c>
      <c r="AF24" s="49">
        <f t="shared" si="8"/>
        <v>25</v>
      </c>
      <c r="AG24" s="49"/>
      <c r="AH24" s="393">
        <f t="shared" si="9"/>
        <v>1.2937931034482757</v>
      </c>
      <c r="AI24" s="394" t="e">
        <f t="shared" si="9"/>
        <v>#N/A</v>
      </c>
      <c r="AJ24" s="829"/>
      <c r="AK24" s="49"/>
      <c r="AN24" s="406" t="e">
        <f t="shared" si="40"/>
        <v>#N/A</v>
      </c>
    </row>
    <row r="25" spans="4:40">
      <c r="D25" s="28">
        <f t="shared" si="25"/>
        <v>16</v>
      </c>
      <c r="E25" s="391" t="str">
        <f t="shared" si="0"/>
        <v>PMO Cost</v>
      </c>
      <c r="F25" s="392"/>
      <c r="G25" s="392" t="str">
        <f t="shared" si="1"/>
        <v>Martin,Lindy E</v>
      </c>
      <c r="H25" s="838" t="s">
        <v>623</v>
      </c>
      <c r="K25" s="47"/>
      <c r="L25" s="49">
        <f t="shared" si="2"/>
        <v>108.5</v>
      </c>
      <c r="M25" s="49">
        <f t="shared" si="26"/>
        <v>111.19</v>
      </c>
      <c r="N25" s="393">
        <f>IF((ISERROR(VLOOKUP(("ManTech"&amp;$D25&amp;$G25&amp;$H25),'Year 1'!$J$32:$AE$51,14,FALSE))),0,(VLOOKUP(("ManTech"&amp;$D25&amp;$G25&amp;$H25),'Year 1'!$J$32:$AE$51,14,FALSE)))</f>
        <v>0</v>
      </c>
      <c r="O25" s="394">
        <f t="shared" si="27"/>
        <v>0</v>
      </c>
      <c r="P25" s="49">
        <f t="shared" si="3"/>
        <v>108.5</v>
      </c>
      <c r="Q25" s="49">
        <f t="shared" si="28"/>
        <v>114.85</v>
      </c>
      <c r="R25" s="393">
        <f t="shared" si="29"/>
        <v>0</v>
      </c>
      <c r="S25" s="394">
        <f t="shared" si="30"/>
        <v>0</v>
      </c>
      <c r="T25" s="49">
        <f t="shared" si="5"/>
        <v>108.5</v>
      </c>
      <c r="U25" s="49">
        <f t="shared" si="31"/>
        <v>118.17</v>
      </c>
      <c r="V25" s="393">
        <f t="shared" si="32"/>
        <v>0</v>
      </c>
      <c r="W25" s="394">
        <f t="shared" si="33"/>
        <v>0</v>
      </c>
      <c r="X25" s="49">
        <f t="shared" si="6"/>
        <v>108.5</v>
      </c>
      <c r="Y25" s="49">
        <f t="shared" si="34"/>
        <v>114.31</v>
      </c>
      <c r="Z25" s="393">
        <f t="shared" si="35"/>
        <v>0</v>
      </c>
      <c r="AA25" s="394">
        <f t="shared" si="36"/>
        <v>0</v>
      </c>
      <c r="AB25" s="49">
        <f t="shared" si="7"/>
        <v>108.5</v>
      </c>
      <c r="AC25" s="49" t="e">
        <f t="shared" si="37"/>
        <v>#N/A</v>
      </c>
      <c r="AD25" s="393">
        <f t="shared" si="38"/>
        <v>0</v>
      </c>
      <c r="AE25" s="394" t="e">
        <f t="shared" si="39"/>
        <v>#N/A</v>
      </c>
      <c r="AF25" s="49">
        <f t="shared" si="8"/>
        <v>108.5</v>
      </c>
      <c r="AG25" s="49"/>
      <c r="AH25" s="393">
        <f t="shared" si="9"/>
        <v>0</v>
      </c>
      <c r="AI25" s="394" t="e">
        <f t="shared" si="9"/>
        <v>#N/A</v>
      </c>
      <c r="AJ25" s="829"/>
      <c r="AK25" s="49"/>
      <c r="AN25" s="406" t="e">
        <f t="shared" si="40"/>
        <v>#N/A</v>
      </c>
    </row>
    <row r="26" spans="4:40">
      <c r="D26" s="28">
        <f t="shared" si="25"/>
        <v>17</v>
      </c>
      <c r="E26" s="391" t="str">
        <f t="shared" si="0"/>
        <v>Project Controller Cost</v>
      </c>
      <c r="F26" s="392"/>
      <c r="G26" s="392">
        <f t="shared" si="1"/>
        <v>0</v>
      </c>
      <c r="H26" s="838" t="s">
        <v>623</v>
      </c>
      <c r="K26" s="47"/>
      <c r="L26" s="49">
        <f t="shared" si="2"/>
        <v>0</v>
      </c>
      <c r="M26" s="49">
        <f t="shared" si="26"/>
        <v>0</v>
      </c>
      <c r="N26" s="393">
        <f>IF((ISERROR(VLOOKUP(("ManTech"&amp;$D26&amp;$G26&amp;$H26),'Year 1'!$J$32:$AE$51,14,FALSE))),0,(VLOOKUP(("ManTech"&amp;$D26&amp;$G26&amp;$H26),'Year 1'!$J$32:$AE$51,14,FALSE)))</f>
        <v>0</v>
      </c>
      <c r="O26" s="394">
        <f t="shared" si="27"/>
        <v>0</v>
      </c>
      <c r="P26" s="49">
        <f t="shared" si="3"/>
        <v>0</v>
      </c>
      <c r="Q26" s="49">
        <f t="shared" si="28"/>
        <v>0</v>
      </c>
      <c r="R26" s="393">
        <f t="shared" si="29"/>
        <v>0</v>
      </c>
      <c r="S26" s="394">
        <f t="shared" si="30"/>
        <v>0</v>
      </c>
      <c r="T26" s="49">
        <f t="shared" si="5"/>
        <v>0</v>
      </c>
      <c r="U26" s="49">
        <f t="shared" si="31"/>
        <v>0</v>
      </c>
      <c r="V26" s="393">
        <f t="shared" si="32"/>
        <v>0</v>
      </c>
      <c r="W26" s="394">
        <f t="shared" si="33"/>
        <v>0</v>
      </c>
      <c r="X26" s="49">
        <f t="shared" si="6"/>
        <v>0</v>
      </c>
      <c r="Y26" s="49">
        <f t="shared" si="34"/>
        <v>0</v>
      </c>
      <c r="Z26" s="393">
        <f t="shared" si="35"/>
        <v>0</v>
      </c>
      <c r="AA26" s="394">
        <f t="shared" si="36"/>
        <v>0</v>
      </c>
      <c r="AB26" s="49">
        <f t="shared" si="7"/>
        <v>0</v>
      </c>
      <c r="AC26" s="49" t="e">
        <f t="shared" si="37"/>
        <v>#N/A</v>
      </c>
      <c r="AD26" s="393">
        <f t="shared" si="38"/>
        <v>0</v>
      </c>
      <c r="AE26" s="394" t="e">
        <f t="shared" si="39"/>
        <v>#N/A</v>
      </c>
      <c r="AF26" s="49">
        <f t="shared" si="8"/>
        <v>0</v>
      </c>
      <c r="AG26" s="49"/>
      <c r="AH26" s="393">
        <f t="shared" si="9"/>
        <v>0</v>
      </c>
      <c r="AI26" s="394" t="e">
        <f t="shared" si="9"/>
        <v>#N/A</v>
      </c>
      <c r="AJ26" s="829"/>
      <c r="AK26" s="49"/>
      <c r="AN26" s="406" t="e">
        <f t="shared" si="40"/>
        <v>#N/A</v>
      </c>
    </row>
    <row r="27" spans="4:40">
      <c r="D27" s="28">
        <f t="shared" si="25"/>
        <v>18</v>
      </c>
      <c r="E27" s="391" t="e">
        <f t="shared" si="0"/>
        <v>#N/A</v>
      </c>
      <c r="F27" s="392"/>
      <c r="G27" s="392" t="e">
        <f t="shared" si="1"/>
        <v>#N/A</v>
      </c>
      <c r="H27" s="838" t="s">
        <v>623</v>
      </c>
      <c r="K27" s="47"/>
      <c r="L27" s="49" t="e">
        <f t="shared" si="2"/>
        <v>#N/A</v>
      </c>
      <c r="M27" s="49" t="e">
        <f t="shared" si="26"/>
        <v>#N/A</v>
      </c>
      <c r="N27" s="393">
        <f>IF((ISERROR(VLOOKUP(("ManTech"&amp;$D27&amp;$G27&amp;$H27),'Year 1'!$J$32:$AE$51,14,FALSE))),0,(VLOOKUP(("ManTech"&amp;$D27&amp;$G27&amp;$H27),'Year 1'!$J$32:$AE$51,14,FALSE)))</f>
        <v>0</v>
      </c>
      <c r="O27" s="394" t="e">
        <f t="shared" si="27"/>
        <v>#N/A</v>
      </c>
      <c r="P27" s="49" t="e">
        <f t="shared" si="3"/>
        <v>#N/A</v>
      </c>
      <c r="Q27" s="49" t="e">
        <f t="shared" si="28"/>
        <v>#N/A</v>
      </c>
      <c r="R27" s="393">
        <f t="shared" si="29"/>
        <v>0</v>
      </c>
      <c r="S27" s="394" t="e">
        <f t="shared" si="30"/>
        <v>#N/A</v>
      </c>
      <c r="T27" s="49" t="e">
        <f t="shared" si="5"/>
        <v>#N/A</v>
      </c>
      <c r="U27" s="49" t="e">
        <f t="shared" si="31"/>
        <v>#N/A</v>
      </c>
      <c r="V27" s="393">
        <f t="shared" si="32"/>
        <v>0</v>
      </c>
      <c r="W27" s="394" t="e">
        <f t="shared" si="33"/>
        <v>#N/A</v>
      </c>
      <c r="X27" s="49" t="e">
        <f t="shared" si="6"/>
        <v>#N/A</v>
      </c>
      <c r="Y27" s="49" t="e">
        <f t="shared" si="34"/>
        <v>#N/A</v>
      </c>
      <c r="Z27" s="393">
        <f t="shared" si="35"/>
        <v>0</v>
      </c>
      <c r="AA27" s="394" t="e">
        <f t="shared" si="36"/>
        <v>#N/A</v>
      </c>
      <c r="AB27" s="49" t="e">
        <f t="shared" si="7"/>
        <v>#N/A</v>
      </c>
      <c r="AC27" s="49" t="e">
        <f t="shared" si="37"/>
        <v>#N/A</v>
      </c>
      <c r="AD27" s="393">
        <f t="shared" si="38"/>
        <v>0</v>
      </c>
      <c r="AE27" s="394" t="e">
        <f t="shared" si="39"/>
        <v>#N/A</v>
      </c>
      <c r="AF27" s="49" t="e">
        <f t="shared" si="8"/>
        <v>#N/A</v>
      </c>
      <c r="AG27" s="49"/>
      <c r="AH27" s="393">
        <f t="shared" si="9"/>
        <v>0</v>
      </c>
      <c r="AI27" s="394" t="e">
        <f t="shared" si="9"/>
        <v>#N/A</v>
      </c>
      <c r="AJ27" s="829"/>
      <c r="AK27" s="49"/>
      <c r="AN27" s="406" t="e">
        <f t="shared" si="40"/>
        <v>#N/A</v>
      </c>
    </row>
    <row r="28" spans="4:40">
      <c r="D28" s="28">
        <f t="shared" si="25"/>
        <v>19</v>
      </c>
      <c r="E28" s="391" t="e">
        <f t="shared" si="0"/>
        <v>#N/A</v>
      </c>
      <c r="F28" s="392"/>
      <c r="G28" s="392" t="e">
        <f t="shared" si="1"/>
        <v>#N/A</v>
      </c>
      <c r="H28" s="838" t="s">
        <v>623</v>
      </c>
      <c r="K28" s="47"/>
      <c r="L28" s="49" t="e">
        <f t="shared" si="2"/>
        <v>#N/A</v>
      </c>
      <c r="M28" s="49" t="e">
        <f t="shared" si="26"/>
        <v>#N/A</v>
      </c>
      <c r="N28" s="393">
        <f>IF((ISERROR(VLOOKUP(("ManTech"&amp;$D28&amp;$G28&amp;$H28),'Year 1'!$J$32:$AE$51,14,FALSE))),0,(VLOOKUP(("ManTech"&amp;$D28&amp;$G28&amp;$H28),'Year 1'!$J$32:$AE$51,14,FALSE)))</f>
        <v>0</v>
      </c>
      <c r="O28" s="394" t="e">
        <f t="shared" si="27"/>
        <v>#N/A</v>
      </c>
      <c r="P28" s="49" t="e">
        <f t="shared" si="3"/>
        <v>#N/A</v>
      </c>
      <c r="Q28" s="49" t="e">
        <f t="shared" si="28"/>
        <v>#N/A</v>
      </c>
      <c r="R28" s="393">
        <f t="shared" si="29"/>
        <v>0</v>
      </c>
      <c r="S28" s="394" t="e">
        <f t="shared" si="30"/>
        <v>#N/A</v>
      </c>
      <c r="T28" s="49" t="e">
        <f t="shared" si="5"/>
        <v>#N/A</v>
      </c>
      <c r="U28" s="49" t="e">
        <f t="shared" si="31"/>
        <v>#N/A</v>
      </c>
      <c r="V28" s="393">
        <f t="shared" si="32"/>
        <v>0</v>
      </c>
      <c r="W28" s="394" t="e">
        <f t="shared" si="33"/>
        <v>#N/A</v>
      </c>
      <c r="X28" s="49" t="e">
        <f t="shared" si="6"/>
        <v>#N/A</v>
      </c>
      <c r="Y28" s="49" t="e">
        <f t="shared" si="34"/>
        <v>#N/A</v>
      </c>
      <c r="Z28" s="393">
        <f t="shared" si="35"/>
        <v>0</v>
      </c>
      <c r="AA28" s="394" t="e">
        <f t="shared" si="36"/>
        <v>#N/A</v>
      </c>
      <c r="AB28" s="49" t="e">
        <f t="shared" si="7"/>
        <v>#N/A</v>
      </c>
      <c r="AC28" s="49" t="e">
        <f t="shared" si="37"/>
        <v>#N/A</v>
      </c>
      <c r="AD28" s="393">
        <f t="shared" si="38"/>
        <v>0</v>
      </c>
      <c r="AE28" s="394" t="e">
        <f t="shared" si="39"/>
        <v>#N/A</v>
      </c>
      <c r="AF28" s="49" t="e">
        <f t="shared" si="8"/>
        <v>#N/A</v>
      </c>
      <c r="AG28" s="49"/>
      <c r="AH28" s="393">
        <f t="shared" si="9"/>
        <v>0</v>
      </c>
      <c r="AI28" s="394" t="e">
        <f t="shared" si="9"/>
        <v>#N/A</v>
      </c>
      <c r="AJ28" s="829"/>
      <c r="AK28" s="49"/>
      <c r="AN28" s="406" t="e">
        <f t="shared" si="40"/>
        <v>#N/A</v>
      </c>
    </row>
    <row r="29" spans="4:40">
      <c r="D29" s="28">
        <f t="shared" si="25"/>
        <v>20</v>
      </c>
      <c r="E29" s="391" t="e">
        <f t="shared" si="0"/>
        <v>#N/A</v>
      </c>
      <c r="F29" s="392"/>
      <c r="G29" s="392" t="e">
        <f t="shared" si="1"/>
        <v>#N/A</v>
      </c>
      <c r="H29" s="838" t="s">
        <v>623</v>
      </c>
      <c r="K29" s="47"/>
      <c r="L29" s="49" t="e">
        <f t="shared" si="2"/>
        <v>#N/A</v>
      </c>
      <c r="M29" s="49" t="e">
        <f t="shared" si="26"/>
        <v>#N/A</v>
      </c>
      <c r="N29" s="393">
        <f>IF((ISERROR(VLOOKUP(("ManTech"&amp;$D29&amp;$G29&amp;$H29),'Year 1'!$J$32:$AE$51,14,FALSE))),0,(VLOOKUP(("ManTech"&amp;$D29&amp;$G29&amp;$H29),'Year 1'!$J$32:$AE$51,14,FALSE)))</f>
        <v>0</v>
      </c>
      <c r="O29" s="394" t="e">
        <f t="shared" si="27"/>
        <v>#N/A</v>
      </c>
      <c r="P29" s="49" t="e">
        <f t="shared" si="3"/>
        <v>#N/A</v>
      </c>
      <c r="Q29" s="49" t="e">
        <f t="shared" si="28"/>
        <v>#N/A</v>
      </c>
      <c r="R29" s="393">
        <f t="shared" si="29"/>
        <v>0</v>
      </c>
      <c r="S29" s="394" t="e">
        <f t="shared" si="30"/>
        <v>#N/A</v>
      </c>
      <c r="T29" s="49" t="e">
        <f t="shared" si="5"/>
        <v>#N/A</v>
      </c>
      <c r="U29" s="49" t="e">
        <f t="shared" si="31"/>
        <v>#N/A</v>
      </c>
      <c r="V29" s="393">
        <f t="shared" si="32"/>
        <v>0</v>
      </c>
      <c r="W29" s="394" t="e">
        <f t="shared" si="33"/>
        <v>#N/A</v>
      </c>
      <c r="X29" s="49" t="e">
        <f t="shared" si="6"/>
        <v>#N/A</v>
      </c>
      <c r="Y29" s="49" t="e">
        <f t="shared" si="34"/>
        <v>#N/A</v>
      </c>
      <c r="Z29" s="393">
        <f t="shared" si="35"/>
        <v>0</v>
      </c>
      <c r="AA29" s="394" t="e">
        <f t="shared" si="36"/>
        <v>#N/A</v>
      </c>
      <c r="AB29" s="49" t="e">
        <f t="shared" si="7"/>
        <v>#N/A</v>
      </c>
      <c r="AC29" s="49" t="e">
        <f t="shared" si="37"/>
        <v>#N/A</v>
      </c>
      <c r="AD29" s="393">
        <f t="shared" si="38"/>
        <v>0</v>
      </c>
      <c r="AE29" s="394" t="e">
        <f t="shared" si="39"/>
        <v>#N/A</v>
      </c>
      <c r="AF29" s="49" t="e">
        <f t="shared" si="8"/>
        <v>#N/A</v>
      </c>
      <c r="AG29" s="49"/>
      <c r="AH29" s="393">
        <f t="shared" si="9"/>
        <v>0</v>
      </c>
      <c r="AI29" s="394" t="e">
        <f t="shared" si="9"/>
        <v>#N/A</v>
      </c>
      <c r="AJ29" s="829"/>
      <c r="AK29" s="49"/>
      <c r="AN29" s="406" t="e">
        <f t="shared" si="40"/>
        <v>#N/A</v>
      </c>
    </row>
    <row r="30" spans="4:40">
      <c r="E30" s="395"/>
      <c r="F30" s="396"/>
      <c r="G30" s="396"/>
      <c r="H30" s="397"/>
      <c r="I30" s="397"/>
      <c r="J30" s="397"/>
      <c r="K30" s="397"/>
      <c r="L30" s="398"/>
      <c r="M30" s="398"/>
      <c r="N30" s="399"/>
      <c r="O30" s="400"/>
      <c r="P30" s="398"/>
      <c r="Q30" s="398"/>
      <c r="R30" s="399"/>
      <c r="S30" s="400"/>
      <c r="T30" s="398"/>
      <c r="U30" s="398"/>
      <c r="V30" s="399"/>
      <c r="W30" s="400"/>
      <c r="X30" s="398"/>
      <c r="Y30" s="398"/>
      <c r="Z30" s="399"/>
      <c r="AA30" s="400"/>
      <c r="AB30" s="398"/>
      <c r="AC30" s="398"/>
      <c r="AD30" s="399"/>
      <c r="AE30" s="400"/>
      <c r="AF30" s="398"/>
      <c r="AG30" s="398"/>
      <c r="AH30" s="399"/>
      <c r="AI30" s="400"/>
      <c r="AN30" s="406" t="str">
        <f t="shared" si="10"/>
        <v>1</v>
      </c>
    </row>
    <row r="31" spans="4:40">
      <c r="E31" s="369" t="s">
        <v>689</v>
      </c>
      <c r="H31" s="28" t="s">
        <v>622</v>
      </c>
      <c r="K31" s="47"/>
      <c r="L31" s="49"/>
      <c r="M31" s="49"/>
      <c r="N31" s="393">
        <f>SUMIF($H$9:$H$30,$H31,N$9:N$30)</f>
        <v>0</v>
      </c>
      <c r="O31" s="394">
        <f>SUMIF($H$9:$H$30,$H31,O$9:O$30)</f>
        <v>0</v>
      </c>
      <c r="P31" s="49"/>
      <c r="Q31" s="49"/>
      <c r="R31" s="393">
        <f>SUMIF($H$9:$H$30,$H31,R$9:R$30)</f>
        <v>0</v>
      </c>
      <c r="S31" s="394">
        <f>SUMIF($H$9:$H$30,$H31,S$9:S$30)</f>
        <v>0</v>
      </c>
      <c r="T31" s="49"/>
      <c r="U31" s="49"/>
      <c r="V31" s="393">
        <f>SUMIF($H$9:$H$30,$H31,V$9:V$30)</f>
        <v>0</v>
      </c>
      <c r="W31" s="394">
        <f>SUMIF($H$9:$H$30,$H31,W$9:W$30)</f>
        <v>0</v>
      </c>
      <c r="X31" s="49"/>
      <c r="Y31" s="49"/>
      <c r="Z31" s="393">
        <f>SUMIF($H$9:$H$30,$H31,Z$9:Z$30)</f>
        <v>0</v>
      </c>
      <c r="AA31" s="394">
        <f>SUMIF($H$9:$H$30,$H31,AA$9:AA$30)</f>
        <v>0</v>
      </c>
      <c r="AB31" s="49"/>
      <c r="AC31" s="49"/>
      <c r="AD31" s="393">
        <f>SUMIF($H$9:$H$30,$H31,AD$9:AD$30)</f>
        <v>0</v>
      </c>
      <c r="AE31" s="394">
        <f>SUMIF($H$9:$H$30,$H31,AE$9:AE$30)</f>
        <v>0</v>
      </c>
      <c r="AF31" s="49"/>
      <c r="AG31" s="49"/>
      <c r="AH31" s="393">
        <f>SUMIF($H$9:$H$30,$H31,AH$9:AH$30)</f>
        <v>0</v>
      </c>
      <c r="AI31" s="394">
        <f>SUMIF($H$9:$H$30,$H31,AI$9:AI$30)</f>
        <v>0</v>
      </c>
      <c r="AN31" s="406" t="str">
        <f t="shared" si="10"/>
        <v>0</v>
      </c>
    </row>
    <row r="32" spans="4:40">
      <c r="E32" s="369" t="s">
        <v>690</v>
      </c>
      <c r="H32" s="28" t="s">
        <v>623</v>
      </c>
      <c r="L32" s="49"/>
      <c r="M32" s="49"/>
      <c r="N32" s="393">
        <f>SUMIF($H$9:$H$30,$H32,N$9:N$30)</f>
        <v>2.846344827586206</v>
      </c>
      <c r="O32" s="394" t="e">
        <f>SUMIF($H$9:$H$30,$H32,O$9:O$30)</f>
        <v>#N/A</v>
      </c>
      <c r="P32" s="49"/>
      <c r="Q32" s="49"/>
      <c r="R32" s="393">
        <f>SUMIF($H$9:$H$30,$H32,R$9:R$30)</f>
        <v>2.846344827586206</v>
      </c>
      <c r="S32" s="394" t="e">
        <f>SUMIF($H$9:$H$30,$H32,S$9:S$30)</f>
        <v>#N/A</v>
      </c>
      <c r="T32" s="49"/>
      <c r="U32" s="49"/>
      <c r="V32" s="393">
        <f>SUMIF($H$9:$H$30,$H32,V$9:V$30)</f>
        <v>2.846344827586206</v>
      </c>
      <c r="W32" s="394" t="e">
        <f>SUMIF($H$9:$H$30,$H32,W$9:W$30)</f>
        <v>#N/A</v>
      </c>
      <c r="X32" s="49"/>
      <c r="Y32" s="49"/>
      <c r="Z32" s="393">
        <f>SUMIF($H$9:$H$30,$H32,Z$9:Z$30)</f>
        <v>2.846344827586206</v>
      </c>
      <c r="AA32" s="394" t="e">
        <f>SUMIF($H$9:$H$30,$H32,AA$9:AA$30)</f>
        <v>#N/A</v>
      </c>
      <c r="AB32" s="49"/>
      <c r="AC32" s="49"/>
      <c r="AD32" s="393">
        <f>SUMIF($H$9:$H$30,$H32,AD$9:AD$30)</f>
        <v>2.846344827586206</v>
      </c>
      <c r="AE32" s="394" t="e">
        <f>SUMIF($H$9:$H$30,$H32,AE$9:AE$30)</f>
        <v>#N/A</v>
      </c>
      <c r="AF32" s="49"/>
      <c r="AG32" s="49"/>
      <c r="AH32" s="393">
        <f>SUMIF($H$9:$H$30,$H32,AH$9:AH$30)</f>
        <v>14.231724137931035</v>
      </c>
      <c r="AI32" s="394" t="e">
        <f>SUMIF($H$9:$H$30,$H32,AI$9:AI$30)</f>
        <v>#N/A</v>
      </c>
      <c r="AN32" s="406" t="e">
        <f t="shared" si="10"/>
        <v>#N/A</v>
      </c>
    </row>
    <row r="33" spans="1:40">
      <c r="E33" s="822" t="s">
        <v>691</v>
      </c>
      <c r="F33" s="442"/>
      <c r="G33" s="442"/>
      <c r="H33" s="442"/>
      <c r="I33" s="442"/>
      <c r="J33" s="442"/>
      <c r="K33" s="442"/>
      <c r="L33" s="457"/>
      <c r="M33" s="457"/>
      <c r="N33" s="823">
        <f>SUBTOTAL(9,N31:N32)</f>
        <v>2.846344827586206</v>
      </c>
      <c r="O33" s="824" t="e">
        <f>SUBTOTAL(9,O31:O32)</f>
        <v>#N/A</v>
      </c>
      <c r="P33" s="457"/>
      <c r="Q33" s="457"/>
      <c r="R33" s="823">
        <f>SUBTOTAL(9,R31:R32)</f>
        <v>2.846344827586206</v>
      </c>
      <c r="S33" s="824" t="e">
        <f>SUBTOTAL(9,S31:S32)</f>
        <v>#N/A</v>
      </c>
      <c r="T33" s="457"/>
      <c r="U33" s="457"/>
      <c r="V33" s="823">
        <f>SUBTOTAL(9,V31:V32)</f>
        <v>2.846344827586206</v>
      </c>
      <c r="W33" s="824" t="e">
        <f>SUBTOTAL(9,W31:W32)</f>
        <v>#N/A</v>
      </c>
      <c r="X33" s="457"/>
      <c r="Y33" s="457"/>
      <c r="Z33" s="823">
        <f>SUBTOTAL(9,Z31:Z32)</f>
        <v>2.846344827586206</v>
      </c>
      <c r="AA33" s="824" t="e">
        <f>SUBTOTAL(9,AA31:AA32)</f>
        <v>#N/A</v>
      </c>
      <c r="AB33" s="457"/>
      <c r="AC33" s="457"/>
      <c r="AD33" s="823">
        <f>SUBTOTAL(9,AD31:AD32)</f>
        <v>2.846344827586206</v>
      </c>
      <c r="AE33" s="824" t="e">
        <f>SUBTOTAL(9,AE31:AE32)</f>
        <v>#N/A</v>
      </c>
      <c r="AF33" s="457"/>
      <c r="AG33" s="457"/>
      <c r="AH33" s="823">
        <f>SUBTOTAL(9,AH31:AH32)</f>
        <v>14.231724137931035</v>
      </c>
      <c r="AI33" s="824" t="e">
        <f>SUBTOTAL(9,AI31:AI32)</f>
        <v>#N/A</v>
      </c>
      <c r="AN33" s="406" t="e">
        <f t="shared" si="10"/>
        <v>#N/A</v>
      </c>
    </row>
    <row r="34" spans="1:40">
      <c r="E34" s="402"/>
      <c r="L34" s="49"/>
      <c r="M34" s="49"/>
      <c r="N34" s="393"/>
      <c r="O34" s="394"/>
      <c r="P34" s="49"/>
      <c r="Q34" s="49"/>
      <c r="R34" s="393"/>
      <c r="S34" s="394"/>
      <c r="T34" s="49"/>
      <c r="U34" s="49"/>
      <c r="V34" s="393"/>
      <c r="W34" s="394"/>
      <c r="X34" s="49"/>
      <c r="Y34" s="49"/>
      <c r="Z34" s="393"/>
      <c r="AA34" s="394"/>
      <c r="AB34" s="49"/>
      <c r="AC34" s="49"/>
      <c r="AD34" s="393"/>
      <c r="AE34" s="394"/>
      <c r="AF34" s="49"/>
      <c r="AG34" s="49"/>
      <c r="AH34" s="393"/>
      <c r="AI34" s="394"/>
      <c r="AN34" s="406" t="str">
        <f t="shared" si="10"/>
        <v>1</v>
      </c>
    </row>
    <row r="35" spans="1:40">
      <c r="A35" s="35" t="s">
        <v>657</v>
      </c>
      <c r="B35" s="35" t="s">
        <v>628</v>
      </c>
      <c r="C35" s="35"/>
      <c r="D35" s="35"/>
      <c r="E35" s="369"/>
      <c r="L35" s="34" t="s">
        <v>655</v>
      </c>
      <c r="M35" s="34" t="s">
        <v>609</v>
      </c>
      <c r="N35" s="377"/>
      <c r="O35" s="386"/>
      <c r="P35" s="34" t="s">
        <v>655</v>
      </c>
      <c r="Q35" s="34" t="s">
        <v>609</v>
      </c>
      <c r="R35" s="377"/>
      <c r="S35" s="386"/>
      <c r="T35" s="34" t="s">
        <v>655</v>
      </c>
      <c r="U35" s="34" t="s">
        <v>609</v>
      </c>
      <c r="V35" s="377"/>
      <c r="W35" s="386"/>
      <c r="X35" s="34" t="s">
        <v>655</v>
      </c>
      <c r="Y35" s="34" t="s">
        <v>609</v>
      </c>
      <c r="Z35" s="377"/>
      <c r="AA35" s="386"/>
      <c r="AB35" s="34" t="s">
        <v>655</v>
      </c>
      <c r="AC35" s="34" t="s">
        <v>609</v>
      </c>
      <c r="AD35" s="377"/>
      <c r="AE35" s="386"/>
      <c r="AF35" s="34"/>
      <c r="AG35" s="34"/>
      <c r="AH35" s="377"/>
      <c r="AI35" s="386"/>
      <c r="AN35" s="406" t="str">
        <f t="shared" si="10"/>
        <v>1</v>
      </c>
    </row>
    <row r="36" spans="1:40">
      <c r="A36" s="28" t="str">
        <f>InputSheet!$C41</f>
        <v>PRB</v>
      </c>
      <c r="B36" s="28" t="str">
        <f>InputSheet!$D41</f>
        <v>Contr/Govt</v>
      </c>
      <c r="C36" s="403" t="str">
        <f>$F$6&amp;$A36&amp;$B36</f>
        <v>ISPRBContr/Govt</v>
      </c>
      <c r="D36" s="403"/>
      <c r="E36" s="369" t="s">
        <v>658</v>
      </c>
      <c r="H36" s="28" t="s">
        <v>622</v>
      </c>
      <c r="L36" s="404">
        <f>O31</f>
        <v>0</v>
      </c>
      <c r="M36" s="29">
        <f>VLOOKUP(O$2&amp;$C36,Indirects,2,FALSE)</f>
        <v>0.31240000000000001</v>
      </c>
      <c r="O36" s="394">
        <f>L36*M36</f>
        <v>0</v>
      </c>
      <c r="P36" s="404">
        <f>S31</f>
        <v>0</v>
      </c>
      <c r="Q36" s="29">
        <f>VLOOKUP(S$2&amp;$C36,Indirects,2,FALSE)</f>
        <v>0.31240000000000001</v>
      </c>
      <c r="S36" s="394">
        <f>P36*Q36</f>
        <v>0</v>
      </c>
      <c r="T36" s="404">
        <f>W31</f>
        <v>0</v>
      </c>
      <c r="U36" s="29">
        <f>VLOOKUP(W$2&amp;$C36,Indirects,2,FALSE)</f>
        <v>0.31240000000000001</v>
      </c>
      <c r="W36" s="394">
        <f>T36*U36</f>
        <v>0</v>
      </c>
      <c r="X36" s="404">
        <f>AA31</f>
        <v>0</v>
      </c>
      <c r="Y36" s="29">
        <f>VLOOKUP(AA$2&amp;$C36,Indirects,2,FALSE)</f>
        <v>0.31240000000000001</v>
      </c>
      <c r="AA36" s="394">
        <f>X36*Y36</f>
        <v>0</v>
      </c>
      <c r="AB36" s="404">
        <f>AE31</f>
        <v>0</v>
      </c>
      <c r="AC36" s="29" t="e">
        <f>VLOOKUP(AE$2&amp;$C36,Indirects,2,FALSE)</f>
        <v>#N/A</v>
      </c>
      <c r="AE36" s="394" t="e">
        <f>AB36*AC36</f>
        <v>#N/A</v>
      </c>
      <c r="AF36" s="404"/>
      <c r="AG36" s="29"/>
      <c r="AI36" s="394" t="e">
        <f>SUMIF($E$8:$AF$8,AI$8,$E36:$AF36)</f>
        <v>#N/A</v>
      </c>
      <c r="AN36" s="406" t="e">
        <f t="shared" si="10"/>
        <v>#N/A</v>
      </c>
    </row>
    <row r="37" spans="1:40">
      <c r="A37" s="28" t="str">
        <f>InputSheet!$C41</f>
        <v>PRB</v>
      </c>
      <c r="B37" s="28" t="str">
        <f>InputSheet!$D41</f>
        <v>Contr/Govt</v>
      </c>
      <c r="C37" s="403" t="str">
        <f>$F$6&amp;$A37&amp;$B37</f>
        <v>ISPRBContr/Govt</v>
      </c>
      <c r="D37" s="403"/>
      <c r="E37" s="369" t="s">
        <v>658</v>
      </c>
      <c r="H37" s="28" t="s">
        <v>623</v>
      </c>
      <c r="L37" s="404" t="e">
        <f>O32</f>
        <v>#N/A</v>
      </c>
      <c r="M37" s="29">
        <f>VLOOKUP(O$2&amp;$C37,Indirects,2,FALSE)</f>
        <v>0.31240000000000001</v>
      </c>
      <c r="O37" s="394" t="e">
        <f>L37*M37</f>
        <v>#N/A</v>
      </c>
      <c r="P37" s="404" t="e">
        <f>S32</f>
        <v>#N/A</v>
      </c>
      <c r="Q37" s="29">
        <f>VLOOKUP(S$2&amp;$C37,Indirects,2,FALSE)</f>
        <v>0.31240000000000001</v>
      </c>
      <c r="S37" s="394" t="e">
        <f>P37*Q37</f>
        <v>#N/A</v>
      </c>
      <c r="T37" s="404" t="e">
        <f>W32</f>
        <v>#N/A</v>
      </c>
      <c r="U37" s="29">
        <f>VLOOKUP(W$2&amp;$C37,Indirects,2,FALSE)</f>
        <v>0.31240000000000001</v>
      </c>
      <c r="W37" s="394" t="e">
        <f>T37*U37</f>
        <v>#N/A</v>
      </c>
      <c r="X37" s="404" t="e">
        <f>AA32</f>
        <v>#N/A</v>
      </c>
      <c r="Y37" s="29">
        <f>VLOOKUP(AA$2&amp;$C37,Indirects,2,FALSE)</f>
        <v>0.31240000000000001</v>
      </c>
      <c r="AA37" s="394" t="e">
        <f>X37*Y37</f>
        <v>#N/A</v>
      </c>
      <c r="AB37" s="404" t="e">
        <f>AE32</f>
        <v>#N/A</v>
      </c>
      <c r="AC37" s="29" t="e">
        <f>VLOOKUP(AE$2&amp;$C37,Indirects,2,FALSE)</f>
        <v>#N/A</v>
      </c>
      <c r="AE37" s="394" t="e">
        <f>AB37*AC37</f>
        <v>#N/A</v>
      </c>
      <c r="AF37" s="404"/>
      <c r="AG37" s="29"/>
      <c r="AI37" s="394" t="e">
        <f>SUMIF($E$8:$AF$8,AI$8,$E37:$AF37)</f>
        <v>#N/A</v>
      </c>
      <c r="AN37" s="406" t="e">
        <f t="shared" si="10"/>
        <v>#N/A</v>
      </c>
    </row>
    <row r="38" spans="1:40">
      <c r="E38" s="822" t="s">
        <v>664</v>
      </c>
      <c r="F38" s="442"/>
      <c r="G38" s="442"/>
      <c r="H38" s="442"/>
      <c r="I38" s="442"/>
      <c r="J38" s="442"/>
      <c r="K38" s="442"/>
      <c r="L38" s="442"/>
      <c r="M38" s="442"/>
      <c r="N38" s="442"/>
      <c r="O38" s="824" t="e">
        <f>SUBTOTAL(9,O36:O37)</f>
        <v>#N/A</v>
      </c>
      <c r="P38" s="442"/>
      <c r="Q38" s="442"/>
      <c r="R38" s="442"/>
      <c r="S38" s="824" t="e">
        <f>SUBTOTAL(9,S36:S37)</f>
        <v>#N/A</v>
      </c>
      <c r="T38" s="442"/>
      <c r="U38" s="442"/>
      <c r="V38" s="442"/>
      <c r="W38" s="824" t="e">
        <f>SUBTOTAL(9,W36:W37)</f>
        <v>#N/A</v>
      </c>
      <c r="X38" s="442"/>
      <c r="Y38" s="442"/>
      <c r="Z38" s="442"/>
      <c r="AA38" s="824" t="e">
        <f>SUBTOTAL(9,AA36:AA37)</f>
        <v>#N/A</v>
      </c>
      <c r="AB38" s="442"/>
      <c r="AC38" s="442"/>
      <c r="AD38" s="442"/>
      <c r="AE38" s="824" t="e">
        <f>SUBTOTAL(9,AE36:AE37)</f>
        <v>#N/A</v>
      </c>
      <c r="AF38" s="442"/>
      <c r="AG38" s="442"/>
      <c r="AH38" s="442"/>
      <c r="AI38" s="824" t="e">
        <f>SUBTOTAL(9,AI36:AI37)</f>
        <v>#N/A</v>
      </c>
      <c r="AN38" s="406" t="e">
        <f t="shared" si="10"/>
        <v>#N/A</v>
      </c>
    </row>
    <row r="39" spans="1:40">
      <c r="E39" s="369"/>
      <c r="O39" s="383"/>
      <c r="S39" s="383"/>
      <c r="W39" s="383"/>
      <c r="AA39" s="383"/>
      <c r="AE39" s="383"/>
      <c r="AI39" s="383"/>
      <c r="AN39" s="406" t="str">
        <f t="shared" si="10"/>
        <v>1</v>
      </c>
    </row>
    <row r="40" spans="1:40">
      <c r="A40" s="28" t="str">
        <f>InputSheet!$C42</f>
        <v>Overhead</v>
      </c>
      <c r="B40" s="28" t="str">
        <f>InputSheet!$D42</f>
        <v>Contr</v>
      </c>
      <c r="C40" s="403" t="str">
        <f>$F$6&amp;$A40&amp;$B40</f>
        <v>ISOverheadContr</v>
      </c>
      <c r="D40" s="403"/>
      <c r="E40" s="369" t="s">
        <v>659</v>
      </c>
      <c r="H40" s="28" t="s">
        <v>622</v>
      </c>
      <c r="L40" s="404">
        <f>O31+O36</f>
        <v>0</v>
      </c>
      <c r="M40" s="29">
        <f>VLOOKUP(O$2&amp;$C40,Indirects,2,FALSE)</f>
        <v>0.1988</v>
      </c>
      <c r="O40" s="394">
        <f>L40*M40</f>
        <v>0</v>
      </c>
      <c r="P40" s="404">
        <f>S31+S36</f>
        <v>0</v>
      </c>
      <c r="Q40" s="29">
        <f>VLOOKUP(S$2&amp;$C40,Indirects,2,FALSE)</f>
        <v>0.1988</v>
      </c>
      <c r="S40" s="394">
        <f>P40*Q40</f>
        <v>0</v>
      </c>
      <c r="T40" s="404">
        <f>W31+W36</f>
        <v>0</v>
      </c>
      <c r="U40" s="29">
        <f>VLOOKUP(W$2&amp;$C40,Indirects,2,FALSE)</f>
        <v>0.1988</v>
      </c>
      <c r="W40" s="394">
        <f>T40*U40</f>
        <v>0</v>
      </c>
      <c r="X40" s="404">
        <f>AA31+AA36</f>
        <v>0</v>
      </c>
      <c r="Y40" s="29">
        <f>VLOOKUP(AA$2&amp;$C40,Indirects,2,FALSE)</f>
        <v>0.1988</v>
      </c>
      <c r="AA40" s="394">
        <f>X40*Y40</f>
        <v>0</v>
      </c>
      <c r="AB40" s="404" t="e">
        <f>AE31+AE36</f>
        <v>#N/A</v>
      </c>
      <c r="AC40" s="29" t="e">
        <f>VLOOKUP(AE$2&amp;$C40,Indirects,2,FALSE)</f>
        <v>#N/A</v>
      </c>
      <c r="AE40" s="394" t="e">
        <f>AB40*AC40</f>
        <v>#N/A</v>
      </c>
      <c r="AF40" s="404"/>
      <c r="AG40" s="29"/>
      <c r="AI40" s="394" t="e">
        <f>SUMIF($E$8:$AF$8,AI$8,$E40:$AF40)</f>
        <v>#N/A</v>
      </c>
      <c r="AN40" s="406" t="e">
        <f t="shared" si="10"/>
        <v>#N/A</v>
      </c>
    </row>
    <row r="41" spans="1:40">
      <c r="A41" s="28" t="str">
        <f>InputSheet!$C43</f>
        <v>Overhead</v>
      </c>
      <c r="B41" s="28" t="str">
        <f>InputSheet!$D43</f>
        <v>Govt</v>
      </c>
      <c r="C41" s="403" t="str">
        <f>$F$6&amp;$A41&amp;$B41</f>
        <v>ISOverheadGovt</v>
      </c>
      <c r="D41" s="403"/>
      <c r="E41" s="369" t="s">
        <v>659</v>
      </c>
      <c r="H41" s="28" t="s">
        <v>623</v>
      </c>
      <c r="L41" s="404" t="e">
        <f>O32+O37</f>
        <v>#N/A</v>
      </c>
      <c r="M41" s="29">
        <f>VLOOKUP(O$2&amp;$C41,Indirects,2,FALSE)</f>
        <v>2.23E-2</v>
      </c>
      <c r="O41" s="394" t="e">
        <f>L41*M41</f>
        <v>#N/A</v>
      </c>
      <c r="P41" s="404" t="e">
        <f>S32+S37</f>
        <v>#N/A</v>
      </c>
      <c r="Q41" s="29">
        <f>VLOOKUP(S$2&amp;$C41,Indirects,2,FALSE)</f>
        <v>2.23E-2</v>
      </c>
      <c r="S41" s="394" t="e">
        <f>P41*Q41</f>
        <v>#N/A</v>
      </c>
      <c r="T41" s="404" t="e">
        <f>W32+W37</f>
        <v>#N/A</v>
      </c>
      <c r="U41" s="29">
        <f>VLOOKUP(W$2&amp;$C41,Indirects,2,FALSE)</f>
        <v>2.23E-2</v>
      </c>
      <c r="W41" s="394" t="e">
        <f>T41*U41</f>
        <v>#N/A</v>
      </c>
      <c r="X41" s="404" t="e">
        <f>AA32+AA37</f>
        <v>#N/A</v>
      </c>
      <c r="Y41" s="29">
        <f>VLOOKUP(AA$2&amp;$C41,Indirects,2,FALSE)</f>
        <v>2.23E-2</v>
      </c>
      <c r="AA41" s="394" t="e">
        <f>X41*Y41</f>
        <v>#N/A</v>
      </c>
      <c r="AB41" s="404" t="e">
        <f>AE32+AE37</f>
        <v>#N/A</v>
      </c>
      <c r="AC41" s="29" t="e">
        <f>VLOOKUP(AE$2&amp;$C41,Indirects,2,FALSE)</f>
        <v>#N/A</v>
      </c>
      <c r="AE41" s="394" t="e">
        <f>AB41*AC41</f>
        <v>#N/A</v>
      </c>
      <c r="AF41" s="404"/>
      <c r="AG41" s="29"/>
      <c r="AI41" s="394" t="e">
        <f>SUMIF($E$8:$AF$8,AI$8,$E41:$AF41)</f>
        <v>#N/A</v>
      </c>
      <c r="AN41" s="406" t="e">
        <f t="shared" si="10"/>
        <v>#N/A</v>
      </c>
    </row>
    <row r="42" spans="1:40">
      <c r="E42" s="822" t="s">
        <v>692</v>
      </c>
      <c r="F42" s="442"/>
      <c r="G42" s="442"/>
      <c r="H42" s="442"/>
      <c r="I42" s="442"/>
      <c r="J42" s="442"/>
      <c r="K42" s="442"/>
      <c r="L42" s="442"/>
      <c r="M42" s="442"/>
      <c r="N42" s="442"/>
      <c r="O42" s="824" t="e">
        <f>SUBTOTAL(9,O40:O41)</f>
        <v>#N/A</v>
      </c>
      <c r="P42" s="442"/>
      <c r="Q42" s="442"/>
      <c r="R42" s="442"/>
      <c r="S42" s="824" t="e">
        <f>SUBTOTAL(9,S40:S41)</f>
        <v>#N/A</v>
      </c>
      <c r="T42" s="442"/>
      <c r="U42" s="442"/>
      <c r="V42" s="442"/>
      <c r="W42" s="824" t="e">
        <f>SUBTOTAL(9,W40:W41)</f>
        <v>#N/A</v>
      </c>
      <c r="X42" s="442"/>
      <c r="Y42" s="442"/>
      <c r="Z42" s="442"/>
      <c r="AA42" s="824" t="e">
        <f>SUBTOTAL(9,AA40:AA41)</f>
        <v>#N/A</v>
      </c>
      <c r="AB42" s="442"/>
      <c r="AC42" s="442"/>
      <c r="AD42" s="442"/>
      <c r="AE42" s="824" t="e">
        <f>SUBTOTAL(9,AE40:AE41)</f>
        <v>#N/A</v>
      </c>
      <c r="AF42" s="442"/>
      <c r="AG42" s="442"/>
      <c r="AH42" s="442"/>
      <c r="AI42" s="824" t="e">
        <f>SUBTOTAL(9,AI40:AI41)</f>
        <v>#N/A</v>
      </c>
      <c r="AN42" s="406" t="e">
        <f t="shared" si="10"/>
        <v>#N/A</v>
      </c>
    </row>
    <row r="43" spans="1:40">
      <c r="E43" s="369"/>
      <c r="O43" s="383"/>
      <c r="S43" s="383"/>
      <c r="W43" s="383"/>
      <c r="AA43" s="383"/>
      <c r="AE43" s="383"/>
      <c r="AI43" s="383"/>
      <c r="AN43" s="406" t="str">
        <f t="shared" si="10"/>
        <v>1</v>
      </c>
    </row>
    <row r="44" spans="1:40" ht="13.5" thickBot="1">
      <c r="E44" s="407" t="s">
        <v>693</v>
      </c>
      <c r="F44" s="408"/>
      <c r="G44" s="408"/>
      <c r="H44" s="408"/>
      <c r="I44" s="408"/>
      <c r="J44" s="408"/>
      <c r="K44" s="408"/>
      <c r="L44" s="408"/>
      <c r="M44" s="408"/>
      <c r="N44" s="409">
        <f>SUBTOTAL(9,N31:N43)</f>
        <v>2.846344827586206</v>
      </c>
      <c r="O44" s="410" t="e">
        <f>SUBTOTAL(9,O31:O42)</f>
        <v>#N/A</v>
      </c>
      <c r="P44" s="408"/>
      <c r="Q44" s="408"/>
      <c r="R44" s="409">
        <f>SUBTOTAL(9,R31:R43)</f>
        <v>2.846344827586206</v>
      </c>
      <c r="S44" s="410" t="e">
        <f>SUBTOTAL(9,S31:S42)</f>
        <v>#N/A</v>
      </c>
      <c r="T44" s="408"/>
      <c r="U44" s="408"/>
      <c r="V44" s="409">
        <f>SUBTOTAL(9,V31:V43)</f>
        <v>2.846344827586206</v>
      </c>
      <c r="W44" s="410" t="e">
        <f>SUBTOTAL(9,W31:W42)</f>
        <v>#N/A</v>
      </c>
      <c r="X44" s="408"/>
      <c r="Y44" s="408"/>
      <c r="Z44" s="409">
        <f>SUBTOTAL(9,Z31:Z43)</f>
        <v>2.846344827586206</v>
      </c>
      <c r="AA44" s="410" t="e">
        <f>SUBTOTAL(9,AA31:AA42)</f>
        <v>#N/A</v>
      </c>
      <c r="AB44" s="408"/>
      <c r="AC44" s="408"/>
      <c r="AD44" s="409">
        <f>SUBTOTAL(9,AD31:AD43)</f>
        <v>2.846344827586206</v>
      </c>
      <c r="AE44" s="410" t="e">
        <f>SUBTOTAL(9,AE31:AE42)</f>
        <v>#N/A</v>
      </c>
      <c r="AF44" s="408"/>
      <c r="AG44" s="408"/>
      <c r="AH44" s="409">
        <f>SUBTOTAL(9,AH31:AH43)</f>
        <v>14.231724137931035</v>
      </c>
      <c r="AI44" s="410" t="e">
        <f>SUBTOTAL(9,AI31:AI42)</f>
        <v>#N/A</v>
      </c>
      <c r="AN44" s="406" t="e">
        <f t="shared" si="10"/>
        <v>#N/A</v>
      </c>
    </row>
    <row r="45" spans="1:40" ht="13.5" thickTop="1">
      <c r="E45" s="369"/>
      <c r="O45" s="383"/>
      <c r="S45" s="383"/>
      <c r="W45" s="383"/>
      <c r="AA45" s="383"/>
      <c r="AE45" s="383"/>
      <c r="AI45" s="383"/>
      <c r="AN45" s="406" t="str">
        <f t="shared" si="10"/>
        <v>1</v>
      </c>
    </row>
    <row r="46" spans="1:40">
      <c r="E46" s="402" t="s">
        <v>694</v>
      </c>
      <c r="O46" s="383"/>
      <c r="S46" s="383"/>
      <c r="W46" s="383"/>
      <c r="AA46" s="383"/>
      <c r="AE46" s="383"/>
      <c r="AI46" s="411"/>
      <c r="AN46" s="406" t="str">
        <f t="shared" si="10"/>
        <v>1</v>
      </c>
    </row>
    <row r="47" spans="1:40">
      <c r="E47" s="412" t="s">
        <v>709</v>
      </c>
      <c r="M47" s="413">
        <v>0.5</v>
      </c>
      <c r="O47" s="414">
        <f>ROUND(SUMIF($J$10:$J$30,$J$8,O10:O30)*M47,2)</f>
        <v>0</v>
      </c>
      <c r="Q47" s="413">
        <v>0.5</v>
      </c>
      <c r="S47" s="414">
        <f>ROUND(SUMIF($J$10:$J$30,$J$8,S10:S30)*Q47,2)</f>
        <v>0</v>
      </c>
      <c r="U47" s="413">
        <v>0.5</v>
      </c>
      <c r="W47" s="414">
        <f>ROUND(SUMIF($J$10:$J$30,$J$8,W10:W30)*U47,2)</f>
        <v>0</v>
      </c>
      <c r="Y47" s="413">
        <v>0.5</v>
      </c>
      <c r="AA47" s="414">
        <f>ROUND(SUMIF($J$10:$J$30,$J$8,AA10:AA30)*Y47,2)</f>
        <v>0</v>
      </c>
      <c r="AC47" s="413">
        <v>0.5</v>
      </c>
      <c r="AE47" s="414">
        <f>ROUND(SUMIF($J$10:$J$30,$J$8,AE10:AE30)*AC47,2)</f>
        <v>0</v>
      </c>
      <c r="AG47" s="413"/>
      <c r="AI47" s="414">
        <f>SUMIF($E$8:$AF$8,AI$8,$E47:$AF47)</f>
        <v>0</v>
      </c>
      <c r="AN47" s="406" t="str">
        <f t="shared" si="10"/>
        <v>0</v>
      </c>
    </row>
    <row r="48" spans="1:40">
      <c r="E48" s="412" t="s">
        <v>718</v>
      </c>
      <c r="O48" s="215">
        <v>0</v>
      </c>
      <c r="S48" s="215">
        <v>0</v>
      </c>
      <c r="W48" s="215">
        <v>0</v>
      </c>
      <c r="AA48" s="215">
        <v>0</v>
      </c>
      <c r="AE48" s="215">
        <v>0</v>
      </c>
      <c r="AI48" s="394">
        <f>SUMIF($E$8:$AF$8,AI$8,$E48:$AF48)</f>
        <v>0</v>
      </c>
      <c r="AN48" s="406" t="str">
        <f t="shared" si="10"/>
        <v>0</v>
      </c>
    </row>
    <row r="49" spans="5:40">
      <c r="E49" s="412" t="s">
        <v>672</v>
      </c>
      <c r="O49" s="215">
        <v>0</v>
      </c>
      <c r="S49" s="215">
        <v>0</v>
      </c>
      <c r="W49" s="215">
        <v>0</v>
      </c>
      <c r="AA49" s="215">
        <v>0</v>
      </c>
      <c r="AE49" s="215">
        <v>0</v>
      </c>
      <c r="AI49" s="394">
        <f>SUMIF($E$8:$AF$8,AI$8,$E49:$AF49)</f>
        <v>0</v>
      </c>
      <c r="AN49" s="406" t="str">
        <f t="shared" si="10"/>
        <v>0</v>
      </c>
    </row>
    <row r="50" spans="5:40">
      <c r="E50" s="822" t="s">
        <v>663</v>
      </c>
      <c r="F50" s="442"/>
      <c r="G50" s="442"/>
      <c r="H50" s="442"/>
      <c r="I50" s="442"/>
      <c r="J50" s="442"/>
      <c r="K50" s="442"/>
      <c r="L50" s="442"/>
      <c r="M50" s="442"/>
      <c r="N50" s="442"/>
      <c r="O50" s="824">
        <f>SUBTOTAL(9,O47:O49)</f>
        <v>0</v>
      </c>
      <c r="P50" s="442"/>
      <c r="Q50" s="442"/>
      <c r="R50" s="442"/>
      <c r="S50" s="824">
        <f>SUBTOTAL(9,S47:S49)</f>
        <v>0</v>
      </c>
      <c r="T50" s="442"/>
      <c r="U50" s="442"/>
      <c r="V50" s="442"/>
      <c r="W50" s="824">
        <f>SUBTOTAL(9,W47:W49)</f>
        <v>0</v>
      </c>
      <c r="X50" s="442"/>
      <c r="Y50" s="442"/>
      <c r="Z50" s="442"/>
      <c r="AA50" s="824">
        <f>SUBTOTAL(9,AA47:AA49)</f>
        <v>0</v>
      </c>
      <c r="AB50" s="442"/>
      <c r="AC50" s="442"/>
      <c r="AD50" s="442"/>
      <c r="AE50" s="824">
        <f>SUBTOTAL(9,AE47:AE49)</f>
        <v>0</v>
      </c>
      <c r="AF50" s="442"/>
      <c r="AG50" s="442"/>
      <c r="AH50" s="442"/>
      <c r="AI50" s="824">
        <f>SUBTOTAL(9,AI47:AI49)</f>
        <v>0</v>
      </c>
      <c r="AN50" s="406" t="str">
        <f t="shared" si="10"/>
        <v>0</v>
      </c>
    </row>
    <row r="51" spans="5:40">
      <c r="E51" s="416"/>
      <c r="O51" s="383"/>
      <c r="S51" s="383"/>
      <c r="W51" s="383"/>
      <c r="AA51" s="383"/>
      <c r="AE51" s="383"/>
      <c r="AI51" s="383"/>
      <c r="AN51" s="406" t="str">
        <f t="shared" si="10"/>
        <v>1</v>
      </c>
    </row>
    <row r="52" spans="5:40">
      <c r="E52" s="417" t="s">
        <v>695</v>
      </c>
      <c r="O52" s="383"/>
      <c r="S52" s="383"/>
      <c r="W52" s="383"/>
      <c r="AA52" s="383"/>
      <c r="AE52" s="383"/>
      <c r="AI52" s="383"/>
      <c r="AN52" s="406" t="str">
        <f t="shared" si="10"/>
        <v>1</v>
      </c>
    </row>
    <row r="53" spans="5:40">
      <c r="E53" s="412" t="s">
        <v>616</v>
      </c>
      <c r="O53" s="215">
        <v>0</v>
      </c>
      <c r="S53" s="215">
        <v>0</v>
      </c>
      <c r="W53" s="215">
        <v>0</v>
      </c>
      <c r="AA53" s="215">
        <v>0</v>
      </c>
      <c r="AE53" s="215">
        <v>0</v>
      </c>
      <c r="AI53" s="394">
        <f>SUMIF($E$8:$AF$8,AI$8,$E53:$AF53)</f>
        <v>0</v>
      </c>
      <c r="AN53" s="406" t="str">
        <f t="shared" si="10"/>
        <v>0</v>
      </c>
    </row>
    <row r="54" spans="5:40">
      <c r="E54" s="412" t="s">
        <v>696</v>
      </c>
      <c r="O54" s="215">
        <v>0</v>
      </c>
      <c r="S54" s="215">
        <v>0</v>
      </c>
      <c r="W54" s="215">
        <v>0</v>
      </c>
      <c r="AA54" s="215">
        <v>0</v>
      </c>
      <c r="AE54" s="215">
        <v>0</v>
      </c>
      <c r="AI54" s="394">
        <f>SUMIF($E$8:$AF$8,AI$8,$E54:$AF54)</f>
        <v>0</v>
      </c>
      <c r="AN54" s="406" t="str">
        <f t="shared" si="10"/>
        <v>0</v>
      </c>
    </row>
    <row r="55" spans="5:40">
      <c r="E55" s="412" t="s">
        <v>697</v>
      </c>
      <c r="O55" s="215">
        <v>0</v>
      </c>
      <c r="S55" s="215">
        <v>0</v>
      </c>
      <c r="W55" s="215">
        <v>0</v>
      </c>
      <c r="AA55" s="215">
        <v>0</v>
      </c>
      <c r="AE55" s="215">
        <v>0</v>
      </c>
      <c r="AI55" s="394">
        <f>SUMIF($E$8:$AF$8,AI$8,$E55:$AF55)</f>
        <v>0</v>
      </c>
      <c r="AN55" s="406" t="str">
        <f t="shared" si="10"/>
        <v>0</v>
      </c>
    </row>
    <row r="56" spans="5:40">
      <c r="E56" s="822" t="s">
        <v>698</v>
      </c>
      <c r="F56" s="442"/>
      <c r="G56" s="442"/>
      <c r="H56" s="442"/>
      <c r="I56" s="442"/>
      <c r="J56" s="442"/>
      <c r="K56" s="442"/>
      <c r="L56" s="442"/>
      <c r="M56" s="442"/>
      <c r="N56" s="442"/>
      <c r="O56" s="824">
        <f>SUBTOTAL(9,O53:O55)</f>
        <v>0</v>
      </c>
      <c r="P56" s="442"/>
      <c r="Q56" s="442"/>
      <c r="R56" s="442"/>
      <c r="S56" s="824">
        <f>SUBTOTAL(9,S53:S55)</f>
        <v>0</v>
      </c>
      <c r="T56" s="442"/>
      <c r="U56" s="442"/>
      <c r="V56" s="442"/>
      <c r="W56" s="824">
        <f>SUBTOTAL(9,W53:W55)</f>
        <v>0</v>
      </c>
      <c r="X56" s="442"/>
      <c r="Y56" s="442"/>
      <c r="Z56" s="442"/>
      <c r="AA56" s="824">
        <f>SUBTOTAL(9,AA53:AA55)</f>
        <v>0</v>
      </c>
      <c r="AB56" s="442"/>
      <c r="AC56" s="442"/>
      <c r="AD56" s="442"/>
      <c r="AE56" s="824">
        <f>SUBTOTAL(9,AE53:AE55)</f>
        <v>0</v>
      </c>
      <c r="AF56" s="442"/>
      <c r="AG56" s="442"/>
      <c r="AH56" s="442"/>
      <c r="AI56" s="824">
        <f>SUBTOTAL(9,AI53:AI55)</f>
        <v>0</v>
      </c>
      <c r="AN56" s="406" t="str">
        <f t="shared" si="10"/>
        <v>0</v>
      </c>
    </row>
    <row r="57" spans="5:40">
      <c r="E57" s="369"/>
      <c r="O57" s="383"/>
      <c r="S57" s="383"/>
      <c r="W57" s="383"/>
      <c r="AA57" s="383"/>
      <c r="AE57" s="383"/>
      <c r="AI57" s="383"/>
      <c r="AN57" s="406" t="str">
        <f t="shared" si="10"/>
        <v>1</v>
      </c>
    </row>
    <row r="58" spans="5:40">
      <c r="E58" s="417" t="s">
        <v>660</v>
      </c>
      <c r="N58" s="377" t="s">
        <v>602</v>
      </c>
      <c r="O58" s="386" t="s">
        <v>638</v>
      </c>
      <c r="R58" s="377" t="s">
        <v>602</v>
      </c>
      <c r="S58" s="386" t="s">
        <v>638</v>
      </c>
      <c r="V58" s="377" t="s">
        <v>602</v>
      </c>
      <c r="W58" s="386" t="s">
        <v>638</v>
      </c>
      <c r="Z58" s="377" t="s">
        <v>602</v>
      </c>
      <c r="AA58" s="386" t="s">
        <v>638</v>
      </c>
      <c r="AD58" s="377" t="s">
        <v>602</v>
      </c>
      <c r="AE58" s="386" t="s">
        <v>638</v>
      </c>
      <c r="AH58" s="377" t="s">
        <v>602</v>
      </c>
      <c r="AI58" s="386" t="s">
        <v>638</v>
      </c>
      <c r="AN58" s="406" t="str">
        <f t="shared" si="10"/>
        <v>1</v>
      </c>
    </row>
    <row r="59" spans="5:40">
      <c r="E59" s="412" t="str">
        <f>InputSheet!$C149</f>
        <v>Segovia, Inc.</v>
      </c>
      <c r="N59" s="393">
        <f>VLOOKUP($E59,'Year 1'!$R$70:$AJ$90,8,FALSE)</f>
        <v>0</v>
      </c>
      <c r="O59" s="411">
        <f ca="1">VLOOKUP($E59,'Year 1'!$R$70:$AJ$90,12,FALSE)</f>
        <v>0.99626704740164862</v>
      </c>
      <c r="R59" s="393">
        <f>N59</f>
        <v>0</v>
      </c>
      <c r="S59" s="411">
        <v>0</v>
      </c>
      <c r="V59" s="393">
        <f>R59</f>
        <v>0</v>
      </c>
      <c r="W59" s="411">
        <v>0</v>
      </c>
      <c r="Z59" s="393">
        <f>V59</f>
        <v>0</v>
      </c>
      <c r="AA59" s="411">
        <v>0</v>
      </c>
      <c r="AD59" s="393">
        <f>Z59</f>
        <v>0</v>
      </c>
      <c r="AE59" s="411">
        <v>0</v>
      </c>
      <c r="AH59" s="393">
        <f t="shared" ref="AH59:AI63" si="41">SUMIF($E$8:$AF$8,AH$8,$E59:$AF59)</f>
        <v>0</v>
      </c>
      <c r="AI59" s="411">
        <f t="shared" ca="1" si="41"/>
        <v>0.99626704740164862</v>
      </c>
      <c r="AN59" s="406" t="str">
        <f t="shared" ca="1" si="10"/>
        <v>1</v>
      </c>
    </row>
    <row r="60" spans="5:40">
      <c r="E60" s="412" t="str">
        <f>InputSheet!$C150</f>
        <v>Briggs and Sons</v>
      </c>
      <c r="N60" s="393">
        <f>VLOOKUP($E60,'Year 1'!$R$70:$AJ$90,8,FALSE)</f>
        <v>0</v>
      </c>
      <c r="O60" s="411">
        <f>VLOOKUP($E60,'Year 1'!$R$70:$AJ$90,12,FALSE)</f>
        <v>0</v>
      </c>
      <c r="R60" s="393">
        <f>N60</f>
        <v>0</v>
      </c>
      <c r="S60" s="411">
        <v>0</v>
      </c>
      <c r="V60" s="393">
        <f>R60</f>
        <v>0</v>
      </c>
      <c r="W60" s="411">
        <v>0</v>
      </c>
      <c r="Z60" s="393">
        <f>V60</f>
        <v>0</v>
      </c>
      <c r="AA60" s="411">
        <v>0</v>
      </c>
      <c r="AD60" s="393">
        <f>Z60</f>
        <v>0</v>
      </c>
      <c r="AE60" s="411">
        <v>0</v>
      </c>
      <c r="AH60" s="393">
        <f t="shared" si="41"/>
        <v>0</v>
      </c>
      <c r="AI60" s="411">
        <f t="shared" si="41"/>
        <v>0</v>
      </c>
      <c r="AN60" s="406" t="str">
        <f t="shared" si="10"/>
        <v>0</v>
      </c>
    </row>
    <row r="61" spans="5:40">
      <c r="E61" s="412" t="str">
        <f>InputSheet!$C151</f>
        <v>Yvan</v>
      </c>
      <c r="N61" s="393">
        <f>VLOOKUP($E61,'Year 1'!$R$70:$AJ$90,8,FALSE)</f>
        <v>0</v>
      </c>
      <c r="O61" s="411">
        <f ca="1">VLOOKUP($E61,'Year 1'!$R$70:$AJ$90,12,FALSE)</f>
        <v>3.7329525983510145E-3</v>
      </c>
      <c r="R61" s="393">
        <f>N61</f>
        <v>0</v>
      </c>
      <c r="S61" s="411">
        <v>0</v>
      </c>
      <c r="V61" s="393">
        <f>R61</f>
        <v>0</v>
      </c>
      <c r="W61" s="411">
        <v>0</v>
      </c>
      <c r="Z61" s="393">
        <f>V61</f>
        <v>0</v>
      </c>
      <c r="AA61" s="411">
        <v>0</v>
      </c>
      <c r="AD61" s="393">
        <f>Z61</f>
        <v>0</v>
      </c>
      <c r="AE61" s="411">
        <v>0</v>
      </c>
      <c r="AH61" s="393">
        <f t="shared" si="41"/>
        <v>0</v>
      </c>
      <c r="AI61" s="411">
        <f t="shared" ca="1" si="41"/>
        <v>3.7329525983510145E-3</v>
      </c>
      <c r="AN61" s="406" t="str">
        <f t="shared" ca="1" si="10"/>
        <v>1</v>
      </c>
    </row>
    <row r="62" spans="5:40">
      <c r="E62" s="412" t="str">
        <f>InputSheet!$C152</f>
        <v>Sub 4</v>
      </c>
      <c r="N62" s="393">
        <f>VLOOKUP($E62,'Year 1'!$R$70:$AJ$90,8,FALSE)</f>
        <v>0</v>
      </c>
      <c r="O62" s="411">
        <f>VLOOKUP($E62,'Year 1'!$R$70:$AJ$90,12,FALSE)</f>
        <v>0</v>
      </c>
      <c r="R62" s="393">
        <f>N62</f>
        <v>0</v>
      </c>
      <c r="S62" s="411">
        <v>0</v>
      </c>
      <c r="V62" s="393">
        <f>R62</f>
        <v>0</v>
      </c>
      <c r="W62" s="411">
        <v>0</v>
      </c>
      <c r="Z62" s="393">
        <f>V62</f>
        <v>0</v>
      </c>
      <c r="AA62" s="411">
        <v>0</v>
      </c>
      <c r="AD62" s="393">
        <f>Z62</f>
        <v>0</v>
      </c>
      <c r="AE62" s="411">
        <v>0</v>
      </c>
      <c r="AH62" s="393">
        <f t="shared" si="41"/>
        <v>0</v>
      </c>
      <c r="AI62" s="411">
        <f t="shared" si="41"/>
        <v>0</v>
      </c>
      <c r="AN62" s="406" t="str">
        <f t="shared" si="10"/>
        <v>0</v>
      </c>
    </row>
    <row r="63" spans="5:40">
      <c r="E63" s="412" t="str">
        <f>InputSheet!$C153</f>
        <v>Sub 5</v>
      </c>
      <c r="N63" s="393">
        <f>VLOOKUP($E63,'Year 1'!$R$70:$AJ$90,8,FALSE)</f>
        <v>0</v>
      </c>
      <c r="O63" s="411">
        <f>VLOOKUP($E63,'Year 1'!$R$70:$AJ$90,12,FALSE)</f>
        <v>0</v>
      </c>
      <c r="R63" s="393">
        <f>N63</f>
        <v>0</v>
      </c>
      <c r="S63" s="411">
        <v>0</v>
      </c>
      <c r="V63" s="393">
        <f>R63</f>
        <v>0</v>
      </c>
      <c r="W63" s="411">
        <v>0</v>
      </c>
      <c r="Z63" s="393">
        <f>V63</f>
        <v>0</v>
      </c>
      <c r="AA63" s="411">
        <v>0</v>
      </c>
      <c r="AD63" s="393">
        <f>Z63</f>
        <v>0</v>
      </c>
      <c r="AE63" s="411">
        <v>0</v>
      </c>
      <c r="AH63" s="393">
        <f t="shared" si="41"/>
        <v>0</v>
      </c>
      <c r="AI63" s="411">
        <f t="shared" si="41"/>
        <v>0</v>
      </c>
      <c r="AN63" s="406" t="str">
        <f t="shared" si="10"/>
        <v>0</v>
      </c>
    </row>
    <row r="64" spans="5:40">
      <c r="E64" s="822" t="s">
        <v>699</v>
      </c>
      <c r="F64" s="442"/>
      <c r="G64" s="442"/>
      <c r="H64" s="442"/>
      <c r="I64" s="442"/>
      <c r="J64" s="442"/>
      <c r="K64" s="442"/>
      <c r="L64" s="442"/>
      <c r="M64" s="442"/>
      <c r="N64" s="823">
        <f>SUBTOTAL(9,N59:N63)</f>
        <v>0</v>
      </c>
      <c r="O64" s="824">
        <f ca="1">SUBTOTAL(9,O59:O63)</f>
        <v>0.99999999999999967</v>
      </c>
      <c r="P64" s="442"/>
      <c r="Q64" s="442"/>
      <c r="R64" s="823">
        <f>SUBTOTAL(9,R59:R63)</f>
        <v>0</v>
      </c>
      <c r="S64" s="824">
        <f>SUBTOTAL(9,S59:S63)</f>
        <v>0</v>
      </c>
      <c r="T64" s="442"/>
      <c r="U64" s="442"/>
      <c r="V64" s="823">
        <f>SUBTOTAL(9,V59:V63)</f>
        <v>0</v>
      </c>
      <c r="W64" s="824">
        <f>SUBTOTAL(9,W59:W63)</f>
        <v>0</v>
      </c>
      <c r="X64" s="442"/>
      <c r="Y64" s="442"/>
      <c r="Z64" s="823">
        <f>SUBTOTAL(9,Z59:Z63)</f>
        <v>0</v>
      </c>
      <c r="AA64" s="824">
        <f>SUBTOTAL(9,AA59:AA63)</f>
        <v>0</v>
      </c>
      <c r="AB64" s="442"/>
      <c r="AC64" s="442"/>
      <c r="AD64" s="823">
        <f>SUBTOTAL(9,AD59:AD63)</f>
        <v>0</v>
      </c>
      <c r="AE64" s="824">
        <f>SUBTOTAL(9,AE59:AE63)</f>
        <v>0</v>
      </c>
      <c r="AF64" s="442"/>
      <c r="AG64" s="442"/>
      <c r="AH64" s="823">
        <f>SUBTOTAL(9,AH59:AH63)</f>
        <v>0</v>
      </c>
      <c r="AI64" s="824">
        <f ca="1">SUBTOTAL(9,AI59:AI63)</f>
        <v>0.99999999999999967</v>
      </c>
      <c r="AN64" s="406" t="str">
        <f t="shared" ca="1" si="10"/>
        <v>1</v>
      </c>
    </row>
    <row r="65" spans="1:40">
      <c r="E65" s="369"/>
      <c r="O65" s="394"/>
      <c r="S65" s="394"/>
      <c r="W65" s="394"/>
      <c r="AA65" s="394"/>
      <c r="AE65" s="394"/>
      <c r="AI65" s="394"/>
      <c r="AN65" s="406" t="str">
        <f t="shared" si="10"/>
        <v>1</v>
      </c>
    </row>
    <row r="66" spans="1:40">
      <c r="A66" s="28" t="str">
        <f>InputSheet!$C$44</f>
        <v>MH</v>
      </c>
      <c r="B66" s="28" t="str">
        <f>InputSheet!$D$44</f>
        <v>Contr/Govt</v>
      </c>
      <c r="C66" s="403" t="str">
        <f>$F$6&amp;$A66&amp;$B66</f>
        <v>ISMHContr/Govt</v>
      </c>
      <c r="D66" s="403"/>
      <c r="E66" s="416" t="s">
        <v>700</v>
      </c>
      <c r="L66" s="404">
        <f>O56</f>
        <v>0</v>
      </c>
      <c r="M66" s="29">
        <f>VLOOKUP(O$2&amp;$C66,Indirects,2,FALSE)</f>
        <v>3.0700000000000002E-2</v>
      </c>
      <c r="O66" s="394">
        <f>L66*M66</f>
        <v>0</v>
      </c>
      <c r="P66" s="404">
        <f>S56</f>
        <v>0</v>
      </c>
      <c r="Q66" s="29">
        <f>VLOOKUP(S$2&amp;$C66,Indirects,2,FALSE)</f>
        <v>2.9700000000000001E-2</v>
      </c>
      <c r="S66" s="394">
        <f>P66*Q66</f>
        <v>0</v>
      </c>
      <c r="T66" s="404">
        <f>W56</f>
        <v>0</v>
      </c>
      <c r="U66" s="29">
        <f>VLOOKUP(W$2&amp;$C66,Indirects,2,FALSE)</f>
        <v>2.8799999999999999E-2</v>
      </c>
      <c r="W66" s="394">
        <f>T66*U66</f>
        <v>0</v>
      </c>
      <c r="X66" s="404">
        <f>AA56</f>
        <v>0</v>
      </c>
      <c r="Y66" s="29">
        <f>VLOOKUP(AA$2&amp;$C66,Indirects,2,FALSE)</f>
        <v>2.9899999999999999E-2</v>
      </c>
      <c r="AA66" s="394">
        <f>X66*Y66</f>
        <v>0</v>
      </c>
      <c r="AB66" s="404">
        <f>AE56</f>
        <v>0</v>
      </c>
      <c r="AC66" s="29" t="e">
        <f>VLOOKUP(AE$2&amp;$C66,Indirects,2,FALSE)</f>
        <v>#N/A</v>
      </c>
      <c r="AE66" s="394" t="e">
        <f>AB66*AC66</f>
        <v>#N/A</v>
      </c>
      <c r="AF66" s="404"/>
      <c r="AG66" s="29"/>
      <c r="AI66" s="394" t="e">
        <f>SUMIF($E$8:$AF$8,AI$8,$E66:$AF66)</f>
        <v>#N/A</v>
      </c>
      <c r="AN66" s="406" t="e">
        <f t="shared" si="10"/>
        <v>#N/A</v>
      </c>
    </row>
    <row r="67" spans="1:40">
      <c r="A67" s="28" t="str">
        <f>InputSheet!$C$44</f>
        <v>MH</v>
      </c>
      <c r="B67" s="28" t="str">
        <f>InputSheet!$D$44</f>
        <v>Contr/Govt</v>
      </c>
      <c r="C67" s="403" t="str">
        <f>$F$6&amp;$A67&amp;$B67</f>
        <v>ISMHContr/Govt</v>
      </c>
      <c r="D67" s="403"/>
      <c r="E67" s="416" t="s">
        <v>701</v>
      </c>
      <c r="L67" s="404">
        <f ca="1">O64</f>
        <v>0.99999999999999967</v>
      </c>
      <c r="M67" s="29">
        <f>VLOOKUP(O$2&amp;$C67,Indirects,2,FALSE)</f>
        <v>3.0700000000000002E-2</v>
      </c>
      <c r="O67" s="394">
        <f ca="1">L67*M67</f>
        <v>3.0699999999999991E-2</v>
      </c>
      <c r="P67" s="404">
        <f>S64</f>
        <v>0</v>
      </c>
      <c r="Q67" s="29">
        <f>VLOOKUP(S$2&amp;$C67,Indirects,2,FALSE)</f>
        <v>2.9700000000000001E-2</v>
      </c>
      <c r="S67" s="394">
        <f>P67*Q67</f>
        <v>0</v>
      </c>
      <c r="T67" s="404">
        <f>W64</f>
        <v>0</v>
      </c>
      <c r="U67" s="29">
        <f>VLOOKUP(W$2&amp;$C67,Indirects,2,FALSE)</f>
        <v>2.8799999999999999E-2</v>
      </c>
      <c r="W67" s="394">
        <f>T67*U67</f>
        <v>0</v>
      </c>
      <c r="X67" s="404">
        <f>AA64</f>
        <v>0</v>
      </c>
      <c r="Y67" s="29">
        <f>VLOOKUP(AA$2&amp;$C67,Indirects,2,FALSE)</f>
        <v>2.9899999999999999E-2</v>
      </c>
      <c r="AA67" s="394">
        <f>X67*Y67</f>
        <v>0</v>
      </c>
      <c r="AB67" s="404">
        <f>AE64</f>
        <v>0</v>
      </c>
      <c r="AC67" s="29" t="e">
        <f>VLOOKUP(AE$2&amp;$C67,Indirects,2,FALSE)</f>
        <v>#N/A</v>
      </c>
      <c r="AE67" s="394" t="e">
        <f>AB67*AC67</f>
        <v>#N/A</v>
      </c>
      <c r="AF67" s="404"/>
      <c r="AG67" s="29"/>
      <c r="AI67" s="394" t="e">
        <f ca="1">SUMIF($E$8:$AF$8,AI$8,$E67:$AF67)</f>
        <v>#N/A</v>
      </c>
      <c r="AN67" s="406" t="e">
        <f t="shared" ca="1" si="10"/>
        <v>#N/A</v>
      </c>
    </row>
    <row r="68" spans="1:40">
      <c r="E68" s="822" t="s">
        <v>662</v>
      </c>
      <c r="F68" s="442"/>
      <c r="G68" s="442"/>
      <c r="H68" s="442"/>
      <c r="I68" s="442"/>
      <c r="J68" s="442"/>
      <c r="K68" s="442"/>
      <c r="L68" s="442"/>
      <c r="M68" s="442"/>
      <c r="N68" s="442"/>
      <c r="O68" s="824">
        <f ca="1">SUBTOTAL(9,O66:O67)</f>
        <v>3.0699999999999991E-2</v>
      </c>
      <c r="P68" s="442"/>
      <c r="Q68" s="442"/>
      <c r="R68" s="442"/>
      <c r="S68" s="824">
        <f>SUBTOTAL(9,S66:S67)</f>
        <v>0</v>
      </c>
      <c r="T68" s="442"/>
      <c r="U68" s="442"/>
      <c r="V68" s="442"/>
      <c r="W68" s="824">
        <f>SUBTOTAL(9,W66:W67)</f>
        <v>0</v>
      </c>
      <c r="X68" s="442"/>
      <c r="Y68" s="442"/>
      <c r="Z68" s="442"/>
      <c r="AA68" s="824">
        <f>SUBTOTAL(9,AA66:AA67)</f>
        <v>0</v>
      </c>
      <c r="AB68" s="442"/>
      <c r="AC68" s="442"/>
      <c r="AD68" s="442"/>
      <c r="AE68" s="824" t="e">
        <f>SUBTOTAL(9,AE66:AE67)</f>
        <v>#N/A</v>
      </c>
      <c r="AF68" s="442"/>
      <c r="AG68" s="442"/>
      <c r="AH68" s="442"/>
      <c r="AI68" s="824" t="e">
        <f>SUBTOTAL(9,AI66:AI67)</f>
        <v>#N/A</v>
      </c>
      <c r="AN68" s="406" t="e">
        <f t="shared" si="10"/>
        <v>#N/A</v>
      </c>
    </row>
    <row r="69" spans="1:40">
      <c r="E69" s="369"/>
      <c r="O69" s="394"/>
      <c r="S69" s="394"/>
      <c r="W69" s="394"/>
      <c r="AA69" s="394"/>
      <c r="AE69" s="394"/>
      <c r="AI69" s="394"/>
      <c r="AN69" s="406" t="str">
        <f t="shared" si="10"/>
        <v>1</v>
      </c>
    </row>
    <row r="70" spans="1:40">
      <c r="A70" s="28" t="str">
        <f>InputSheet!$C$45</f>
        <v>G&amp;A</v>
      </c>
      <c r="B70" s="28" t="str">
        <f>InputSheet!$D$45</f>
        <v>Contr/Govt</v>
      </c>
      <c r="C70" s="403" t="str">
        <f>$F$6&amp;$A70&amp;$B70</f>
        <v>ISG&amp;AContr/Govt</v>
      </c>
      <c r="D70" s="403"/>
      <c r="E70" s="369" t="s">
        <v>702</v>
      </c>
      <c r="L70" s="404" t="e">
        <f>O44</f>
        <v>#N/A</v>
      </c>
      <c r="M70" s="29">
        <f>VLOOKUP(O$2&amp;$C70,Indirects,2,FALSE)</f>
        <v>9.4700000000000006E-2</v>
      </c>
      <c r="O70" s="394" t="e">
        <f>L70*M70</f>
        <v>#N/A</v>
      </c>
      <c r="P70" s="404" t="e">
        <f>S44</f>
        <v>#N/A</v>
      </c>
      <c r="Q70" s="29">
        <f>VLOOKUP(S$2&amp;$C70,Indirects,2,FALSE)</f>
        <v>9.1999999999999998E-2</v>
      </c>
      <c r="S70" s="394" t="e">
        <f>P70*Q70</f>
        <v>#N/A</v>
      </c>
      <c r="T70" s="404" t="e">
        <f>W44</f>
        <v>#N/A</v>
      </c>
      <c r="U70" s="29">
        <f>VLOOKUP(W$2&amp;$C70,Indirects,2,FALSE)</f>
        <v>8.9499999999999996E-2</v>
      </c>
      <c r="W70" s="394" t="e">
        <f>T70*U70</f>
        <v>#N/A</v>
      </c>
      <c r="X70" s="404" t="e">
        <f>AA44</f>
        <v>#N/A</v>
      </c>
      <c r="Y70" s="29">
        <f>VLOOKUP(AA$2&amp;$C70,Indirects,2,FALSE)</f>
        <v>9.2399999999999996E-2</v>
      </c>
      <c r="AA70" s="394" t="e">
        <f>X70*Y70</f>
        <v>#N/A</v>
      </c>
      <c r="AB70" s="404" t="e">
        <f>AE44</f>
        <v>#N/A</v>
      </c>
      <c r="AC70" s="29" t="e">
        <f>VLOOKUP(AE$2&amp;$C70,Indirects,2,FALSE)</f>
        <v>#N/A</v>
      </c>
      <c r="AE70" s="394" t="e">
        <f>AB70*AC70</f>
        <v>#N/A</v>
      </c>
      <c r="AF70" s="404"/>
      <c r="AG70" s="29"/>
      <c r="AI70" s="394" t="e">
        <f>SUMIF($E$8:$AF$8,AI$8,$E70:$AF70)</f>
        <v>#N/A</v>
      </c>
      <c r="AN70" s="406" t="e">
        <f t="shared" si="10"/>
        <v>#N/A</v>
      </c>
    </row>
    <row r="71" spans="1:40">
      <c r="A71" s="28" t="str">
        <f>InputSheet!$C$45</f>
        <v>G&amp;A</v>
      </c>
      <c r="B71" s="28" t="str">
        <f>InputSheet!$D$45</f>
        <v>Contr/Govt</v>
      </c>
      <c r="C71" s="403" t="str">
        <f>$F$6&amp;$A71&amp;$B71</f>
        <v>ISG&amp;AContr/Govt</v>
      </c>
      <c r="D71" s="403"/>
      <c r="E71" s="369" t="s">
        <v>726</v>
      </c>
      <c r="L71" s="404">
        <f>O50</f>
        <v>0</v>
      </c>
      <c r="M71" s="29">
        <f>VLOOKUP(O$2&amp;$C71,Indirects,2,FALSE)</f>
        <v>9.4700000000000006E-2</v>
      </c>
      <c r="O71" s="394">
        <f>L71*M71</f>
        <v>0</v>
      </c>
      <c r="P71" s="404">
        <f>S50</f>
        <v>0</v>
      </c>
      <c r="Q71" s="29">
        <f>VLOOKUP(S$2&amp;$C71,Indirects,2,FALSE)</f>
        <v>9.1999999999999998E-2</v>
      </c>
      <c r="S71" s="394">
        <f>P71*Q71</f>
        <v>0</v>
      </c>
      <c r="T71" s="404">
        <f>W50</f>
        <v>0</v>
      </c>
      <c r="U71" s="29">
        <f>VLOOKUP(W$2&amp;$C71,Indirects,2,FALSE)</f>
        <v>8.9499999999999996E-2</v>
      </c>
      <c r="W71" s="394">
        <f>T71*U71</f>
        <v>0</v>
      </c>
      <c r="X71" s="404">
        <f>AA50</f>
        <v>0</v>
      </c>
      <c r="Y71" s="29">
        <f>VLOOKUP(AA$2&amp;$C71,Indirects,2,FALSE)</f>
        <v>9.2399999999999996E-2</v>
      </c>
      <c r="AA71" s="394">
        <f>X71*Y71</f>
        <v>0</v>
      </c>
      <c r="AB71" s="404">
        <f>AE50</f>
        <v>0</v>
      </c>
      <c r="AC71" s="29" t="e">
        <f>VLOOKUP(AE$2&amp;$C71,Indirects,2,FALSE)</f>
        <v>#N/A</v>
      </c>
      <c r="AE71" s="394" t="e">
        <f>AB71*AC71</f>
        <v>#N/A</v>
      </c>
      <c r="AF71" s="404"/>
      <c r="AG71" s="29"/>
      <c r="AI71" s="394" t="e">
        <f>SUMIF($E$8:$AF$8,AI$8,$E71:$AF71)</f>
        <v>#N/A</v>
      </c>
      <c r="AN71" s="406" t="e">
        <f t="shared" si="10"/>
        <v>#N/A</v>
      </c>
    </row>
    <row r="72" spans="1:40">
      <c r="A72" s="28" t="str">
        <f>InputSheet!$C$45</f>
        <v>G&amp;A</v>
      </c>
      <c r="B72" s="28" t="str">
        <f>InputSheet!$D$45</f>
        <v>Contr/Govt</v>
      </c>
      <c r="C72" s="403" t="str">
        <f>$F$6&amp;$A72&amp;$B72</f>
        <v>ISG&amp;AContr/Govt</v>
      </c>
      <c r="D72" s="403"/>
      <c r="E72" s="369" t="s">
        <v>727</v>
      </c>
      <c r="L72" s="404">
        <f>O66</f>
        <v>0</v>
      </c>
      <c r="M72" s="29">
        <f>VLOOKUP(O$2&amp;$C72,Indirects,2,FALSE)</f>
        <v>9.4700000000000006E-2</v>
      </c>
      <c r="O72" s="394">
        <f>L72*M72</f>
        <v>0</v>
      </c>
      <c r="P72" s="404">
        <f>S66</f>
        <v>0</v>
      </c>
      <c r="Q72" s="29">
        <f>VLOOKUP(S$2&amp;$C72,Indirects,2,FALSE)</f>
        <v>9.1999999999999998E-2</v>
      </c>
      <c r="S72" s="394">
        <f>P72*Q72</f>
        <v>0</v>
      </c>
      <c r="T72" s="404">
        <f>W66</f>
        <v>0</v>
      </c>
      <c r="U72" s="29">
        <f>VLOOKUP(W$2&amp;$C72,Indirects,2,FALSE)</f>
        <v>8.9499999999999996E-2</v>
      </c>
      <c r="W72" s="394">
        <f>T72*U72</f>
        <v>0</v>
      </c>
      <c r="X72" s="404">
        <f>AA66</f>
        <v>0</v>
      </c>
      <c r="Y72" s="29">
        <f>VLOOKUP(AA$2&amp;$C72,Indirects,2,FALSE)</f>
        <v>9.2399999999999996E-2</v>
      </c>
      <c r="AA72" s="394">
        <f>X72*Y72</f>
        <v>0</v>
      </c>
      <c r="AB72" s="404" t="e">
        <f>AE66</f>
        <v>#N/A</v>
      </c>
      <c r="AC72" s="29" t="e">
        <f>VLOOKUP(AE$2&amp;$C72,Indirects,2,FALSE)</f>
        <v>#N/A</v>
      </c>
      <c r="AE72" s="394" t="e">
        <f>AB72*AC72</f>
        <v>#N/A</v>
      </c>
      <c r="AF72" s="404"/>
      <c r="AG72" s="29"/>
      <c r="AI72" s="394" t="e">
        <f>SUMIF($E$8:$AF$8,AI$8,$E72:$AF72)</f>
        <v>#N/A</v>
      </c>
      <c r="AN72" s="406" t="e">
        <f t="shared" si="10"/>
        <v>#N/A</v>
      </c>
    </row>
    <row r="73" spans="1:40">
      <c r="A73" s="28" t="str">
        <f>InputSheet!$C$45</f>
        <v>G&amp;A</v>
      </c>
      <c r="B73" s="28" t="str">
        <f>InputSheet!$D$45</f>
        <v>Contr/Govt</v>
      </c>
      <c r="C73" s="403" t="str">
        <f>$F$6&amp;$A73&amp;$B73</f>
        <v>ISG&amp;AContr/Govt</v>
      </c>
      <c r="D73" s="403"/>
      <c r="E73" s="369" t="s">
        <v>703</v>
      </c>
      <c r="L73" s="404">
        <f ca="1">O67</f>
        <v>3.0699999999999991E-2</v>
      </c>
      <c r="M73" s="29">
        <f>VLOOKUP(O$2&amp;$C73,Indirects,2,FALSE)</f>
        <v>9.4700000000000006E-2</v>
      </c>
      <c r="O73" s="394">
        <f ca="1">L73*M73</f>
        <v>2.9072899999999994E-3</v>
      </c>
      <c r="P73" s="404">
        <f>S67</f>
        <v>0</v>
      </c>
      <c r="Q73" s="29">
        <f>VLOOKUP(S$2&amp;$C73,Indirects,2,FALSE)</f>
        <v>9.1999999999999998E-2</v>
      </c>
      <c r="S73" s="394">
        <f>P73*Q73</f>
        <v>0</v>
      </c>
      <c r="T73" s="404">
        <f>W67</f>
        <v>0</v>
      </c>
      <c r="U73" s="29">
        <f>VLOOKUP(W$2&amp;$C73,Indirects,2,FALSE)</f>
        <v>8.9499999999999996E-2</v>
      </c>
      <c r="W73" s="394">
        <f>T73*U73</f>
        <v>0</v>
      </c>
      <c r="X73" s="404">
        <f>AA67</f>
        <v>0</v>
      </c>
      <c r="Y73" s="29">
        <f>VLOOKUP(AA$2&amp;$C73,Indirects,2,FALSE)</f>
        <v>9.2399999999999996E-2</v>
      </c>
      <c r="AA73" s="394">
        <f>X73*Y73</f>
        <v>0</v>
      </c>
      <c r="AB73" s="404" t="e">
        <f>AE67</f>
        <v>#N/A</v>
      </c>
      <c r="AC73" s="29" t="e">
        <f>VLOOKUP(AE$2&amp;$C73,Indirects,2,FALSE)</f>
        <v>#N/A</v>
      </c>
      <c r="AE73" s="394" t="e">
        <f>AB73*AC73</f>
        <v>#N/A</v>
      </c>
      <c r="AF73" s="404"/>
      <c r="AG73" s="29"/>
      <c r="AI73" s="394" t="e">
        <f ca="1">SUMIF($E$8:$AF$8,AI$8,$E73:$AF73)</f>
        <v>#N/A</v>
      </c>
      <c r="AN73" s="406" t="e">
        <f t="shared" ca="1" si="10"/>
        <v>#N/A</v>
      </c>
    </row>
    <row r="74" spans="1:40">
      <c r="E74" s="822" t="s">
        <v>661</v>
      </c>
      <c r="F74" s="442"/>
      <c r="G74" s="442"/>
      <c r="H74" s="442"/>
      <c r="I74" s="442"/>
      <c r="J74" s="442"/>
      <c r="K74" s="442"/>
      <c r="L74" s="442"/>
      <c r="M74" s="442"/>
      <c r="N74" s="442"/>
      <c r="O74" s="824" t="e">
        <f>SUBTOTAL(9,O70:O73)</f>
        <v>#N/A</v>
      </c>
      <c r="P74" s="442"/>
      <c r="Q74" s="442"/>
      <c r="R74" s="442"/>
      <c r="S74" s="824" t="e">
        <f>SUBTOTAL(9,S70:S73)</f>
        <v>#N/A</v>
      </c>
      <c r="T74" s="442"/>
      <c r="U74" s="442"/>
      <c r="V74" s="442"/>
      <c r="W74" s="824" t="e">
        <f>SUBTOTAL(9,W70:W73)</f>
        <v>#N/A</v>
      </c>
      <c r="X74" s="442"/>
      <c r="Y74" s="442"/>
      <c r="Z74" s="442"/>
      <c r="AA74" s="824" t="e">
        <f>SUBTOTAL(9,AA70:AA73)</f>
        <v>#N/A</v>
      </c>
      <c r="AB74" s="442"/>
      <c r="AC74" s="442"/>
      <c r="AD74" s="442"/>
      <c r="AE74" s="824" t="e">
        <f>SUBTOTAL(9,AE70:AE73)</f>
        <v>#N/A</v>
      </c>
      <c r="AF74" s="442"/>
      <c r="AG74" s="442"/>
      <c r="AH74" s="442"/>
      <c r="AI74" s="824" t="e">
        <f>SUBTOTAL(9,AI70:AI73)</f>
        <v>#N/A</v>
      </c>
      <c r="AN74" s="406" t="e">
        <f t="shared" si="10"/>
        <v>#N/A</v>
      </c>
    </row>
    <row r="75" spans="1:40">
      <c r="E75" s="369"/>
      <c r="O75" s="394"/>
      <c r="S75" s="394"/>
      <c r="W75" s="394"/>
      <c r="AA75" s="394"/>
      <c r="AE75" s="394"/>
      <c r="AI75" s="394"/>
      <c r="AN75" s="406" t="str">
        <f t="shared" si="10"/>
        <v>1</v>
      </c>
    </row>
    <row r="76" spans="1:40" ht="13.5" thickBot="1">
      <c r="E76" s="407" t="s">
        <v>656</v>
      </c>
      <c r="F76" s="408"/>
      <c r="G76" s="408"/>
      <c r="H76" s="408"/>
      <c r="I76" s="408"/>
      <c r="J76" s="408"/>
      <c r="K76" s="408"/>
      <c r="L76" s="408"/>
      <c r="M76" s="408"/>
      <c r="N76" s="409">
        <f>SUBTOTAL(9,N31:N75)</f>
        <v>2.846344827586206</v>
      </c>
      <c r="O76" s="410" t="e">
        <f>SUBTOTAL(9,O31:O75)</f>
        <v>#N/A</v>
      </c>
      <c r="P76" s="408"/>
      <c r="Q76" s="408"/>
      <c r="R76" s="409">
        <f>SUBTOTAL(9,R31:R75)</f>
        <v>2.846344827586206</v>
      </c>
      <c r="S76" s="410" t="e">
        <f>SUBTOTAL(9,S31:S75)</f>
        <v>#N/A</v>
      </c>
      <c r="T76" s="408"/>
      <c r="U76" s="408"/>
      <c r="V76" s="409">
        <f>SUBTOTAL(9,V31:V75)</f>
        <v>2.846344827586206</v>
      </c>
      <c r="W76" s="410" t="e">
        <f>SUBTOTAL(9,W31:W75)</f>
        <v>#N/A</v>
      </c>
      <c r="X76" s="408"/>
      <c r="Y76" s="408"/>
      <c r="Z76" s="409">
        <f>SUBTOTAL(9,Z31:Z75)</f>
        <v>2.846344827586206</v>
      </c>
      <c r="AA76" s="410" t="e">
        <f>SUBTOTAL(9,AA31:AA75)</f>
        <v>#N/A</v>
      </c>
      <c r="AB76" s="408"/>
      <c r="AC76" s="408"/>
      <c r="AD76" s="409">
        <f>SUBTOTAL(9,AD31:AD75)</f>
        <v>2.846344827586206</v>
      </c>
      <c r="AE76" s="410" t="e">
        <f>SUBTOTAL(9,AE31:AE75)</f>
        <v>#N/A</v>
      </c>
      <c r="AF76" s="408"/>
      <c r="AG76" s="408"/>
      <c r="AH76" s="409">
        <f>SUBTOTAL(9,AH31:AH75)</f>
        <v>14.231724137931035</v>
      </c>
      <c r="AI76" s="410" t="e">
        <f>SUBTOTAL(9,AI31:AI75)</f>
        <v>#N/A</v>
      </c>
      <c r="AN76" s="406" t="e">
        <f t="shared" si="10"/>
        <v>#N/A</v>
      </c>
    </row>
    <row r="77" spans="1:40" ht="13.5" thickTop="1">
      <c r="E77" s="369"/>
      <c r="O77" s="394"/>
      <c r="S77" s="394"/>
      <c r="W77" s="394"/>
      <c r="AA77" s="394"/>
      <c r="AE77" s="394"/>
      <c r="AI77" s="394"/>
      <c r="AN77" s="406" t="str">
        <f t="shared" si="10"/>
        <v>1</v>
      </c>
    </row>
    <row r="78" spans="1:40">
      <c r="E78" s="402" t="s">
        <v>720</v>
      </c>
      <c r="O78" s="394"/>
      <c r="S78" s="394"/>
      <c r="W78" s="394"/>
      <c r="AA78" s="394"/>
      <c r="AE78" s="394"/>
      <c r="AI78" s="394"/>
      <c r="AN78" s="406" t="str">
        <f t="shared" si="10"/>
        <v>1</v>
      </c>
    </row>
    <row r="79" spans="1:40">
      <c r="E79" s="369" t="s">
        <v>704</v>
      </c>
      <c r="L79" s="404" t="e">
        <f>O44+O70</f>
        <v>#N/A</v>
      </c>
      <c r="M79" s="29">
        <f>'Year 1'!$AB$9</f>
        <v>0.15</v>
      </c>
      <c r="O79" s="394" t="e">
        <f>L79*M79</f>
        <v>#N/A</v>
      </c>
      <c r="P79" s="404" t="e">
        <f>S44+S70</f>
        <v>#N/A</v>
      </c>
      <c r="Q79" s="29">
        <f>M79</f>
        <v>0.15</v>
      </c>
      <c r="S79" s="394" t="e">
        <f>P79*Q79</f>
        <v>#N/A</v>
      </c>
      <c r="T79" s="404" t="e">
        <f>W44+W70</f>
        <v>#N/A</v>
      </c>
      <c r="U79" s="29">
        <f>Q79</f>
        <v>0.15</v>
      </c>
      <c r="W79" s="394" t="e">
        <f>T79*U79</f>
        <v>#N/A</v>
      </c>
      <c r="X79" s="404" t="e">
        <f>AA44+AA70</f>
        <v>#N/A</v>
      </c>
      <c r="Y79" s="29">
        <f>U79</f>
        <v>0.15</v>
      </c>
      <c r="AA79" s="394" t="e">
        <f>X79*Y79</f>
        <v>#N/A</v>
      </c>
      <c r="AB79" s="404" t="e">
        <f>AE44+AE70</f>
        <v>#N/A</v>
      </c>
      <c r="AC79" s="29">
        <f>Y79</f>
        <v>0.15</v>
      </c>
      <c r="AE79" s="394" t="e">
        <f>AB79*AC79</f>
        <v>#N/A</v>
      </c>
      <c r="AF79" s="404"/>
      <c r="AG79" s="29"/>
      <c r="AI79" s="394" t="e">
        <f>SUMIF($E$8:$AF$8,AI$8,$E79:$AF79)</f>
        <v>#N/A</v>
      </c>
      <c r="AN79" s="406" t="e">
        <f t="shared" si="10"/>
        <v>#N/A</v>
      </c>
    </row>
    <row r="80" spans="1:40">
      <c r="E80" s="369" t="s">
        <v>728</v>
      </c>
      <c r="L80" s="404">
        <f>O50+O71</f>
        <v>0</v>
      </c>
      <c r="M80" s="29">
        <f>'Year 1'!$AB$24</f>
        <v>0.08</v>
      </c>
      <c r="O80" s="394">
        <f>L80*M80</f>
        <v>0</v>
      </c>
      <c r="P80" s="404">
        <f>S50+S71</f>
        <v>0</v>
      </c>
      <c r="Q80" s="29">
        <f>M80</f>
        <v>0.08</v>
      </c>
      <c r="S80" s="394">
        <f>P80*Q80</f>
        <v>0</v>
      </c>
      <c r="T80" s="404">
        <f>W50+W71</f>
        <v>0</v>
      </c>
      <c r="U80" s="29">
        <f>Q80</f>
        <v>0.08</v>
      </c>
      <c r="W80" s="394">
        <f>T80*U80</f>
        <v>0</v>
      </c>
      <c r="X80" s="404">
        <f>AA50+AA71</f>
        <v>0</v>
      </c>
      <c r="Y80" s="29">
        <f>U80</f>
        <v>0.08</v>
      </c>
      <c r="AA80" s="394">
        <f>X80*Y80</f>
        <v>0</v>
      </c>
      <c r="AB80" s="404" t="e">
        <f>AE50+AE71</f>
        <v>#N/A</v>
      </c>
      <c r="AC80" s="29">
        <f>Y80</f>
        <v>0.08</v>
      </c>
      <c r="AE80" s="394" t="e">
        <f>AB80*AC80</f>
        <v>#N/A</v>
      </c>
      <c r="AF80" s="404"/>
      <c r="AG80" s="29"/>
      <c r="AI80" s="394" t="e">
        <f>SUMIF($E$8:$AF$8,AI$8,$E80:$AF80)</f>
        <v>#N/A</v>
      </c>
      <c r="AN80" s="406" t="e">
        <f t="shared" ref="AN80:AN85" si="42">IF((OR((AI80=""),(AI80&gt;0))),"1","0")</f>
        <v>#N/A</v>
      </c>
    </row>
    <row r="81" spans="5:40">
      <c r="E81" s="369" t="s">
        <v>729</v>
      </c>
      <c r="L81" s="404">
        <f>O56+O66+O72</f>
        <v>0</v>
      </c>
      <c r="M81" s="29">
        <f>'Year 1'!$AB$23</f>
        <v>0</v>
      </c>
      <c r="O81" s="394">
        <f>L81*M81</f>
        <v>0</v>
      </c>
      <c r="P81" s="404">
        <f>S56+S66+S72</f>
        <v>0</v>
      </c>
      <c r="Q81" s="29">
        <f>M81</f>
        <v>0</v>
      </c>
      <c r="S81" s="394">
        <f>P81*Q81</f>
        <v>0</v>
      </c>
      <c r="T81" s="404">
        <f>W56+W66+W72</f>
        <v>0</v>
      </c>
      <c r="U81" s="29">
        <f>Q81</f>
        <v>0</v>
      </c>
      <c r="W81" s="394">
        <f>T81*U81</f>
        <v>0</v>
      </c>
      <c r="X81" s="404">
        <f>AA56+AA66+AA72</f>
        <v>0</v>
      </c>
      <c r="Y81" s="29">
        <f>U81</f>
        <v>0</v>
      </c>
      <c r="AA81" s="394">
        <f>X81*Y81</f>
        <v>0</v>
      </c>
      <c r="AB81" s="404" t="e">
        <f>AE56+AE66+AE72</f>
        <v>#N/A</v>
      </c>
      <c r="AC81" s="29">
        <f>Y81</f>
        <v>0</v>
      </c>
      <c r="AE81" s="394" t="e">
        <f>AB81*AC81</f>
        <v>#N/A</v>
      </c>
      <c r="AF81" s="404"/>
      <c r="AG81" s="29"/>
      <c r="AI81" s="394" t="e">
        <f>SUMIF($E$8:$AF$8,AI$8,$E81:$AF81)</f>
        <v>#N/A</v>
      </c>
      <c r="AN81" s="406" t="e">
        <f t="shared" si="42"/>
        <v>#N/A</v>
      </c>
    </row>
    <row r="82" spans="5:40">
      <c r="E82" s="369" t="s">
        <v>705</v>
      </c>
      <c r="L82" s="404">
        <f ca="1">O64+O67+O73</f>
        <v>1.0336072899999997</v>
      </c>
      <c r="M82" s="29">
        <f>'Year 1'!$AB$21</f>
        <v>0.08</v>
      </c>
      <c r="O82" s="394">
        <f ca="1">L82*M82</f>
        <v>8.2688583199999985E-2</v>
      </c>
      <c r="P82" s="404">
        <f>S64+S67+S73</f>
        <v>0</v>
      </c>
      <c r="Q82" s="29">
        <f>M82</f>
        <v>0.08</v>
      </c>
      <c r="S82" s="394">
        <f>P82*Q82</f>
        <v>0</v>
      </c>
      <c r="T82" s="404">
        <f>W64+W67+W73</f>
        <v>0</v>
      </c>
      <c r="U82" s="29">
        <f>Q82</f>
        <v>0.08</v>
      </c>
      <c r="W82" s="394">
        <f>T82*U82</f>
        <v>0</v>
      </c>
      <c r="X82" s="404">
        <f>AA64+AA67+AA73</f>
        <v>0</v>
      </c>
      <c r="Y82" s="29">
        <f>U82</f>
        <v>0.08</v>
      </c>
      <c r="AA82" s="394">
        <f>X82*Y82</f>
        <v>0</v>
      </c>
      <c r="AB82" s="404" t="e">
        <f>AE64+AE67+AE73</f>
        <v>#N/A</v>
      </c>
      <c r="AC82" s="29">
        <f>Y82</f>
        <v>0.08</v>
      </c>
      <c r="AE82" s="394" t="e">
        <f>AB82*AC82</f>
        <v>#N/A</v>
      </c>
      <c r="AF82" s="404"/>
      <c r="AG82" s="29"/>
      <c r="AI82" s="394" t="e">
        <f ca="1">SUMIF($E$8:$AF$8,AI$8,$E82:$AF82)</f>
        <v>#N/A</v>
      </c>
      <c r="AN82" s="406" t="e">
        <f t="shared" ca="1" si="42"/>
        <v>#N/A</v>
      </c>
    </row>
    <row r="83" spans="5:40">
      <c r="E83" s="822" t="s">
        <v>721</v>
      </c>
      <c r="F83" s="442"/>
      <c r="G83" s="442"/>
      <c r="H83" s="442"/>
      <c r="I83" s="442"/>
      <c r="J83" s="442"/>
      <c r="K83" s="442"/>
      <c r="L83" s="442"/>
      <c r="M83" s="442"/>
      <c r="N83" s="442"/>
      <c r="O83" s="824" t="e">
        <f>SUBTOTAL(9,O79:O82)</f>
        <v>#N/A</v>
      </c>
      <c r="P83" s="442"/>
      <c r="Q83" s="442"/>
      <c r="R83" s="442"/>
      <c r="S83" s="824" t="e">
        <f>SUBTOTAL(9,S79:S82)</f>
        <v>#N/A</v>
      </c>
      <c r="T83" s="442"/>
      <c r="U83" s="442"/>
      <c r="V83" s="442"/>
      <c r="W83" s="824" t="e">
        <f>SUBTOTAL(9,W79:W82)</f>
        <v>#N/A</v>
      </c>
      <c r="X83" s="442"/>
      <c r="Y83" s="442"/>
      <c r="Z83" s="442"/>
      <c r="AA83" s="824" t="e">
        <f>SUBTOTAL(9,AA79:AA82)</f>
        <v>#N/A</v>
      </c>
      <c r="AB83" s="442"/>
      <c r="AC83" s="442"/>
      <c r="AD83" s="442"/>
      <c r="AE83" s="824" t="e">
        <f>SUBTOTAL(9,AE79:AE82)</f>
        <v>#N/A</v>
      </c>
      <c r="AF83" s="442"/>
      <c r="AG83" s="442"/>
      <c r="AH83" s="442"/>
      <c r="AI83" s="824" t="e">
        <f>SUBTOTAL(9,AI79:AI82)</f>
        <v>#N/A</v>
      </c>
      <c r="AN83" s="406" t="e">
        <f t="shared" si="42"/>
        <v>#N/A</v>
      </c>
    </row>
    <row r="84" spans="5:40">
      <c r="E84" s="369"/>
      <c r="O84" s="383"/>
      <c r="S84" s="383"/>
      <c r="W84" s="383"/>
      <c r="AA84" s="383"/>
      <c r="AE84" s="383"/>
      <c r="AI84" s="383"/>
      <c r="AN84" s="406" t="str">
        <f t="shared" si="42"/>
        <v>1</v>
      </c>
    </row>
    <row r="85" spans="5:40" ht="13.5" thickBot="1">
      <c r="E85" s="825" t="s">
        <v>706</v>
      </c>
      <c r="F85" s="826"/>
      <c r="G85" s="826"/>
      <c r="H85" s="826"/>
      <c r="I85" s="826"/>
      <c r="J85" s="826"/>
      <c r="K85" s="826"/>
      <c r="L85" s="826"/>
      <c r="M85" s="826"/>
      <c r="N85" s="827">
        <f>SUBTOTAL(9,N31:N84)</f>
        <v>2.846344827586206</v>
      </c>
      <c r="O85" s="828" t="e">
        <f>SUBTOTAL(9,O31:O84)</f>
        <v>#N/A</v>
      </c>
      <c r="P85" s="826"/>
      <c r="Q85" s="826"/>
      <c r="R85" s="827">
        <f>SUBTOTAL(9,R31:R84)</f>
        <v>2.846344827586206</v>
      </c>
      <c r="S85" s="828" t="e">
        <f>SUBTOTAL(9,S31:S84)</f>
        <v>#N/A</v>
      </c>
      <c r="T85" s="826"/>
      <c r="U85" s="826"/>
      <c r="V85" s="827">
        <f>SUBTOTAL(9,V31:V84)</f>
        <v>2.846344827586206</v>
      </c>
      <c r="W85" s="828" t="e">
        <f>SUBTOTAL(9,W31:W84)</f>
        <v>#N/A</v>
      </c>
      <c r="X85" s="826"/>
      <c r="Y85" s="826"/>
      <c r="Z85" s="827">
        <f>SUBTOTAL(9,Z31:Z84)</f>
        <v>2.846344827586206</v>
      </c>
      <c r="AA85" s="828" t="e">
        <f>SUBTOTAL(9,AA31:AA84)</f>
        <v>#N/A</v>
      </c>
      <c r="AB85" s="826"/>
      <c r="AC85" s="826"/>
      <c r="AD85" s="827">
        <f>SUBTOTAL(9,AD31:AD84)</f>
        <v>2.846344827586206</v>
      </c>
      <c r="AE85" s="828" t="e">
        <f>SUBTOTAL(9,AE31:AE84)</f>
        <v>#N/A</v>
      </c>
      <c r="AF85" s="826"/>
      <c r="AG85" s="826"/>
      <c r="AH85" s="827">
        <f>SUBTOTAL(9,AH31:AH84)</f>
        <v>14.231724137931035</v>
      </c>
      <c r="AI85" s="828" t="e">
        <f>SUBTOTAL(9,AI31:AI84)</f>
        <v>#N/A</v>
      </c>
      <c r="AN85" s="406" t="e">
        <f t="shared" si="42"/>
        <v>#N/A</v>
      </c>
    </row>
    <row r="87" spans="5:40">
      <c r="O87" s="404"/>
      <c r="S87" s="404"/>
      <c r="W87" s="404"/>
      <c r="AA87" s="404"/>
      <c r="AE87" s="404"/>
      <c r="AI87" s="404"/>
    </row>
    <row r="88" spans="5:40">
      <c r="AG88" s="370"/>
    </row>
    <row r="89" spans="5:40">
      <c r="AG89" s="24"/>
    </row>
    <row r="90" spans="5:40">
      <c r="AG90" s="370"/>
    </row>
  </sheetData>
  <autoFilter ref="AN8:AN85"/>
  <mergeCells count="2">
    <mergeCell ref="F1:H1"/>
    <mergeCell ref="F3:H3"/>
  </mergeCells>
  <phoneticPr fontId="0" type="noConversion"/>
  <printOptions horizontalCentered="1"/>
  <pageMargins left="1" right="1" top="1" bottom="1" header="0.5" footer="0.5"/>
  <pageSetup scale="60" fitToWidth="30" orientation="portrait" r:id="rId1"/>
  <headerFooter alignWithMargins="0"/>
  <colBreaks count="5" manualBreakCount="5">
    <brk id="15" max="78" man="1"/>
    <brk id="19" max="84" man="1"/>
    <brk id="23" max="1048575" man="1"/>
    <brk id="27" max="1048575" man="1"/>
    <brk id="31" max="1048575" man="1"/>
  </colBreaks>
</worksheet>
</file>

<file path=xl/worksheets/sheet19.xml><?xml version="1.0" encoding="utf-8"?>
<worksheet xmlns="http://schemas.openxmlformats.org/spreadsheetml/2006/main" xmlns:r="http://schemas.openxmlformats.org/officeDocument/2006/relationships">
  <sheetPr codeName="Sheet12" enableFormatConditionsCalculation="0">
    <tabColor indexed="10"/>
    <pageSetUpPr fitToPage="1"/>
  </sheetPr>
  <dimension ref="A1:AJ95"/>
  <sheetViews>
    <sheetView showGridLines="0" view="pageBreakPreview" zoomScale="85" zoomScaleNormal="85" zoomScaleSheetLayoutView="85" workbookViewId="0">
      <pane xSplit="7" ySplit="15" topLeftCell="H16" activePane="bottomRight" state="frozen"/>
      <selection activeCell="F47" sqref="F47"/>
      <selection pane="topRight" activeCell="F47" sqref="F47"/>
      <selection pane="bottomLeft" activeCell="F47" sqref="F47"/>
      <selection pane="bottomRight" activeCell="G18" sqref="G18"/>
    </sheetView>
  </sheetViews>
  <sheetFormatPr defaultRowHeight="12.75" outlineLevelCol="1"/>
  <cols>
    <col min="1" max="1" width="5.85546875" style="28" hidden="1" customWidth="1" outlineLevel="1"/>
    <col min="2" max="2" width="9.5703125" style="28" hidden="1" customWidth="1" outlineLevel="1"/>
    <col min="3" max="3" width="4.7109375" style="28" hidden="1" customWidth="1" outlineLevel="1"/>
    <col min="4" max="4" width="3.42578125" style="28" bestFit="1" customWidth="1" collapsed="1"/>
    <col min="5" max="5" width="20.7109375" style="4" customWidth="1"/>
    <col min="6" max="6" width="13.28515625" style="4" customWidth="1"/>
    <col min="7" max="7" width="9.5703125" style="4" customWidth="1"/>
    <col min="8" max="9" width="4.140625" style="4" hidden="1" customWidth="1" outlineLevel="1"/>
    <col min="10" max="10" width="4.42578125" style="4" hidden="1" customWidth="1" outlineLevel="1"/>
    <col min="11" max="11" width="11.28515625" style="4" bestFit="1" customWidth="1" collapsed="1"/>
    <col min="12" max="12" width="11.28515625" style="4" customWidth="1"/>
    <col min="13" max="13" width="9.140625" style="486" customWidth="1"/>
    <col min="14" max="14" width="9.140625" style="487" customWidth="1"/>
    <col min="15" max="15" width="9.140625" style="486" customWidth="1"/>
    <col min="16" max="16" width="9.140625" style="487" customWidth="1"/>
    <col min="17" max="17" width="9.140625" style="486" customWidth="1"/>
    <col min="18" max="18" width="9.140625" style="487" customWidth="1"/>
    <col min="19" max="19" width="9.140625" style="486" customWidth="1"/>
    <col min="20" max="20" width="9.140625" style="487" customWidth="1"/>
    <col min="21" max="21" width="9.140625" style="486" customWidth="1"/>
    <col min="22" max="22" width="9.140625" style="487" customWidth="1"/>
    <col min="23" max="23" width="9.140625" style="486" customWidth="1"/>
    <col min="24" max="24" width="9.140625" style="487" customWidth="1"/>
    <col min="25" max="25" width="9.140625" style="486" customWidth="1"/>
    <col min="26" max="26" width="9.140625" style="487" customWidth="1"/>
    <col min="27" max="27" width="9.140625" style="486" customWidth="1"/>
    <col min="28" max="28" width="9.140625" style="487" customWidth="1"/>
    <col min="29" max="29" width="9.140625" style="486" customWidth="1"/>
    <col min="30" max="30" width="9.140625" style="487" customWidth="1"/>
    <col min="31" max="31" width="9.140625" style="486" customWidth="1"/>
    <col min="32" max="32" width="9.140625" style="487" customWidth="1"/>
    <col min="33" max="33" width="9.140625" style="486" customWidth="1"/>
    <col min="34" max="34" width="9.140625" style="487" customWidth="1"/>
    <col min="35" max="35" width="9.140625" style="4" customWidth="1"/>
    <col min="36" max="36" width="9.140625" style="50" customWidth="1"/>
    <col min="37" max="16384" width="9.140625" style="4"/>
  </cols>
  <sheetData>
    <row r="1" spans="1:36">
      <c r="E1" s="365" t="s">
        <v>612</v>
      </c>
      <c r="F1" s="421" t="str">
        <f>InputSheet!D2</f>
        <v>CIS Consultant Services</v>
      </c>
      <c r="G1" s="366"/>
      <c r="H1" s="366"/>
      <c r="I1" s="366"/>
      <c r="J1" s="366"/>
      <c r="K1" s="367"/>
      <c r="L1" s="367"/>
      <c r="M1" s="422"/>
      <c r="N1" s="423"/>
      <c r="O1" s="422"/>
      <c r="P1" s="423"/>
      <c r="Q1" s="422"/>
      <c r="R1" s="423"/>
      <c r="S1" s="422"/>
      <c r="T1" s="423"/>
      <c r="U1" s="422"/>
      <c r="V1" s="423"/>
      <c r="W1" s="422"/>
      <c r="X1" s="423"/>
      <c r="Y1" s="422"/>
      <c r="Z1" s="423"/>
      <c r="AA1" s="422"/>
      <c r="AB1" s="423"/>
      <c r="AC1" s="422"/>
      <c r="AD1" s="423"/>
      <c r="AE1" s="422"/>
      <c r="AF1" s="423"/>
      <c r="AG1" s="422"/>
      <c r="AH1" s="424"/>
    </row>
    <row r="2" spans="1:36">
      <c r="E2" s="369" t="s">
        <v>666</v>
      </c>
      <c r="F2" s="51" t="str">
        <f>InputSheet!D1</f>
        <v>NCSA HQ 7010</v>
      </c>
      <c r="G2" s="28"/>
      <c r="H2" s="28"/>
      <c r="I2" s="28"/>
      <c r="J2" s="28"/>
      <c r="K2" s="28"/>
      <c r="L2" s="28"/>
      <c r="M2" s="392"/>
      <c r="N2" s="425"/>
      <c r="O2" s="392"/>
      <c r="P2" s="425"/>
      <c r="Q2" s="392"/>
      <c r="R2" s="425"/>
      <c r="S2" s="392"/>
      <c r="T2" s="425"/>
      <c r="U2" s="392"/>
      <c r="V2" s="425"/>
      <c r="W2" s="392"/>
      <c r="X2" s="425"/>
      <c r="Y2" s="392"/>
      <c r="Z2" s="425"/>
      <c r="AA2" s="392"/>
      <c r="AB2" s="425"/>
      <c r="AC2" s="392"/>
      <c r="AD2" s="425"/>
      <c r="AE2" s="392"/>
      <c r="AF2" s="425"/>
      <c r="AG2" s="392"/>
      <c r="AH2" s="411"/>
    </row>
    <row r="3" spans="1:36">
      <c r="E3" s="372" t="s">
        <v>611</v>
      </c>
      <c r="F3" s="426" t="str">
        <f>InputSheet!D3</f>
        <v>ManTech Telecommunications and Information Systems Corporation</v>
      </c>
      <c r="G3" s="373"/>
      <c r="H3" s="374"/>
      <c r="I3" s="374"/>
      <c r="J3" s="374"/>
      <c r="K3" s="28"/>
      <c r="L3" s="28"/>
      <c r="M3" s="392"/>
      <c r="N3" s="425"/>
      <c r="O3" s="392"/>
      <c r="P3" s="425"/>
      <c r="Q3" s="392"/>
      <c r="R3" s="425"/>
      <c r="S3" s="392"/>
      <c r="T3" s="425"/>
      <c r="U3" s="392"/>
      <c r="V3" s="425"/>
      <c r="W3" s="392"/>
      <c r="X3" s="425"/>
      <c r="Y3" s="392"/>
      <c r="Z3" s="425"/>
      <c r="AA3" s="392"/>
      <c r="AB3" s="425"/>
      <c r="AC3" s="392"/>
      <c r="AD3" s="425"/>
      <c r="AE3" s="392"/>
      <c r="AF3" s="425"/>
      <c r="AG3" s="392"/>
      <c r="AH3" s="411"/>
    </row>
    <row r="4" spans="1:36">
      <c r="E4" s="369" t="s">
        <v>610</v>
      </c>
      <c r="F4" s="376" t="str">
        <f>InputSheet!D4</f>
        <v>P-12246</v>
      </c>
      <c r="G4" s="28"/>
      <c r="H4" s="28"/>
      <c r="I4" s="28"/>
      <c r="J4" s="28"/>
      <c r="K4" s="28"/>
      <c r="L4" s="28"/>
      <c r="M4" s="392"/>
      <c r="N4" s="425"/>
      <c r="O4" s="392"/>
      <c r="P4" s="425"/>
      <c r="Q4" s="392"/>
      <c r="R4" s="425"/>
      <c r="S4" s="392"/>
      <c r="T4" s="425"/>
      <c r="U4" s="392"/>
      <c r="V4" s="425"/>
      <c r="W4" s="392"/>
      <c r="X4" s="425"/>
      <c r="Y4" s="392"/>
      <c r="Z4" s="425"/>
      <c r="AA4" s="392"/>
      <c r="AB4" s="425"/>
      <c r="AC4" s="392"/>
      <c r="AD4" s="425"/>
      <c r="AE4" s="392"/>
      <c r="AF4" s="425"/>
      <c r="AG4" s="392"/>
      <c r="AH4" s="411"/>
    </row>
    <row r="5" spans="1:36">
      <c r="E5" s="369" t="s">
        <v>613</v>
      </c>
      <c r="F5" s="51" t="s">
        <v>94</v>
      </c>
      <c r="G5" s="28"/>
      <c r="H5" s="28"/>
      <c r="I5" s="28"/>
      <c r="J5" s="28"/>
      <c r="K5" s="28"/>
      <c r="L5" s="28"/>
      <c r="M5" s="392"/>
      <c r="N5" s="425"/>
      <c r="O5" s="392"/>
      <c r="P5" s="425"/>
      <c r="Q5" s="392"/>
      <c r="R5" s="425"/>
      <c r="S5" s="392"/>
      <c r="T5" s="425"/>
      <c r="U5" s="392"/>
      <c r="V5" s="425"/>
      <c r="W5" s="392"/>
      <c r="X5" s="425"/>
      <c r="Y5" s="392"/>
      <c r="Z5" s="425"/>
      <c r="AA5" s="392"/>
      <c r="AB5" s="425"/>
      <c r="AC5" s="392"/>
      <c r="AD5" s="425"/>
      <c r="AE5" s="392"/>
      <c r="AF5" s="425"/>
      <c r="AG5" s="392"/>
      <c r="AH5" s="411"/>
    </row>
    <row r="6" spans="1:36" s="379" customFormat="1" ht="13.5" thickBot="1">
      <c r="E6" s="380" t="s">
        <v>614</v>
      </c>
      <c r="F6" s="219" t="str">
        <f>InputSheet!I40</f>
        <v>IS</v>
      </c>
      <c r="M6" s="427"/>
      <c r="N6" s="428"/>
      <c r="O6" s="427"/>
      <c r="P6" s="428"/>
      <c r="Q6" s="427"/>
      <c r="R6" s="428"/>
      <c r="S6" s="427"/>
      <c r="T6" s="428"/>
      <c r="U6" s="427"/>
      <c r="V6" s="428"/>
      <c r="W6" s="427"/>
      <c r="X6" s="428"/>
      <c r="Y6" s="427"/>
      <c r="Z6" s="428"/>
      <c r="AA6" s="427"/>
      <c r="AB6" s="428"/>
      <c r="AC6" s="427"/>
      <c r="AD6" s="428"/>
      <c r="AE6" s="427"/>
      <c r="AF6" s="428"/>
      <c r="AG6" s="427"/>
      <c r="AH6" s="429"/>
      <c r="AJ6" s="430"/>
    </row>
    <row r="7" spans="1:36">
      <c r="E7" s="369"/>
      <c r="F7" s="28"/>
      <c r="G7" s="28"/>
      <c r="H7" s="28"/>
      <c r="I7" s="28"/>
      <c r="J7" s="28"/>
      <c r="K7" s="28"/>
      <c r="L7" s="28"/>
      <c r="M7" s="392"/>
      <c r="N7" s="425"/>
      <c r="O7" s="392"/>
      <c r="P7" s="425"/>
      <c r="Q7" s="392"/>
      <c r="R7" s="425"/>
      <c r="S7" s="392"/>
      <c r="T7" s="425"/>
      <c r="U7" s="392"/>
      <c r="V7" s="425"/>
      <c r="W7" s="392"/>
      <c r="X7" s="425"/>
      <c r="Y7" s="392"/>
      <c r="Z7" s="425"/>
      <c r="AA7" s="392"/>
      <c r="AB7" s="425"/>
      <c r="AC7" s="392"/>
      <c r="AD7" s="425"/>
      <c r="AE7" s="392"/>
      <c r="AF7" s="425"/>
      <c r="AG7" s="392"/>
      <c r="AH7" s="411"/>
    </row>
    <row r="8" spans="1:36">
      <c r="E8" s="369" t="s">
        <v>585</v>
      </c>
      <c r="F8" s="182" t="str">
        <f>InputSheet!$C$22</f>
        <v>Base Year</v>
      </c>
      <c r="G8" s="28"/>
      <c r="H8" s="28"/>
      <c r="I8" s="28"/>
      <c r="J8" s="28"/>
      <c r="K8" s="28"/>
      <c r="L8" s="28"/>
      <c r="M8" s="392"/>
      <c r="N8" s="425"/>
      <c r="O8" s="392"/>
      <c r="P8" s="425"/>
      <c r="Q8" s="392"/>
      <c r="R8" s="425"/>
      <c r="S8" s="392"/>
      <c r="T8" s="425"/>
      <c r="U8" s="392"/>
      <c r="V8" s="425"/>
      <c r="W8" s="392"/>
      <c r="X8" s="425"/>
      <c r="Y8" s="392"/>
      <c r="Z8" s="425"/>
      <c r="AA8" s="392"/>
      <c r="AB8" s="425"/>
      <c r="AC8" s="392"/>
      <c r="AD8" s="425"/>
      <c r="AE8" s="392"/>
      <c r="AF8" s="425"/>
      <c r="AG8" s="392"/>
      <c r="AH8" s="411"/>
    </row>
    <row r="9" spans="1:36">
      <c r="E9" s="369"/>
      <c r="F9" s="28"/>
      <c r="G9" s="28"/>
      <c r="H9" s="28"/>
      <c r="I9" s="28"/>
      <c r="J9" s="28"/>
      <c r="K9" s="28"/>
      <c r="L9" s="28"/>
      <c r="M9" s="392"/>
      <c r="N9" s="425"/>
      <c r="O9" s="392"/>
      <c r="P9" s="425"/>
      <c r="Q9" s="392"/>
      <c r="R9" s="425"/>
      <c r="S9" s="392"/>
      <c r="T9" s="425"/>
      <c r="U9" s="392"/>
      <c r="V9" s="425"/>
      <c r="W9" s="392"/>
      <c r="X9" s="425"/>
      <c r="Y9" s="392"/>
      <c r="Z9" s="425"/>
      <c r="AA9" s="392"/>
      <c r="AB9" s="425"/>
      <c r="AC9" s="392"/>
      <c r="AD9" s="425"/>
      <c r="AE9" s="392"/>
      <c r="AF9" s="425"/>
      <c r="AG9" s="392"/>
      <c r="AH9" s="411"/>
    </row>
    <row r="10" spans="1:36">
      <c r="E10" s="432" t="s">
        <v>64</v>
      </c>
      <c r="F10" s="433">
        <f>VLOOKUP($F6,'Year 1'!$J$9:$AB$24,4,FALSE)</f>
        <v>3.3000000000000002E-2</v>
      </c>
      <c r="G10" s="28"/>
      <c r="H10" s="28"/>
      <c r="I10" s="28"/>
      <c r="J10" s="28"/>
      <c r="K10" s="28"/>
      <c r="L10" s="28"/>
      <c r="M10" s="392"/>
      <c r="N10" s="425"/>
      <c r="O10" s="392"/>
      <c r="P10" s="425"/>
      <c r="Q10" s="392"/>
      <c r="R10" s="425"/>
      <c r="S10" s="392"/>
      <c r="T10" s="425"/>
      <c r="U10" s="392"/>
      <c r="V10" s="425"/>
      <c r="W10" s="392"/>
      <c r="X10" s="425"/>
      <c r="Y10" s="392"/>
      <c r="Z10" s="425"/>
      <c r="AA10" s="392"/>
      <c r="AB10" s="425"/>
      <c r="AC10" s="392"/>
      <c r="AD10" s="425"/>
      <c r="AE10" s="392"/>
      <c r="AF10" s="425"/>
      <c r="AG10" s="392"/>
      <c r="AH10" s="411"/>
    </row>
    <row r="11" spans="1:36" s="3" customFormat="1">
      <c r="A11" s="24"/>
      <c r="B11" s="24"/>
      <c r="C11" s="24"/>
      <c r="D11" s="24"/>
      <c r="E11" s="434" t="s">
        <v>620</v>
      </c>
      <c r="F11" s="435">
        <f>VLOOKUP(($F$8&amp;$F$6),InputSheet!$A$22:$G$147,7,FALSE)</f>
        <v>1.0247499999999998</v>
      </c>
      <c r="G11" s="24"/>
      <c r="H11" s="24"/>
      <c r="I11" s="24"/>
      <c r="J11" s="24"/>
      <c r="K11" s="24"/>
      <c r="L11" s="24"/>
      <c r="M11" s="436"/>
      <c r="N11" s="437"/>
      <c r="O11" s="438"/>
      <c r="P11" s="439">
        <v>1</v>
      </c>
      <c r="Q11" s="438"/>
      <c r="R11" s="439">
        <f>P11+1</f>
        <v>2</v>
      </c>
      <c r="S11" s="438"/>
      <c r="T11" s="439">
        <f>R11+1</f>
        <v>3</v>
      </c>
      <c r="U11" s="438"/>
      <c r="V11" s="439">
        <f>T11+1</f>
        <v>4</v>
      </c>
      <c r="W11" s="438"/>
      <c r="X11" s="439">
        <f>V11+1</f>
        <v>5</v>
      </c>
      <c r="Y11" s="438"/>
      <c r="Z11" s="439">
        <f>X11+1</f>
        <v>6</v>
      </c>
      <c r="AA11" s="438"/>
      <c r="AB11" s="439">
        <f>Z11+1</f>
        <v>7</v>
      </c>
      <c r="AC11" s="438"/>
      <c r="AD11" s="439">
        <f>AB11+1</f>
        <v>8</v>
      </c>
      <c r="AE11" s="438"/>
      <c r="AF11" s="439">
        <f>AD11+1</f>
        <v>9</v>
      </c>
      <c r="AG11" s="438"/>
      <c r="AH11" s="440">
        <f>AF11+1</f>
        <v>10</v>
      </c>
      <c r="AJ11" s="387"/>
    </row>
    <row r="12" spans="1:36">
      <c r="E12" s="441"/>
      <c r="F12" s="442"/>
      <c r="G12" s="442"/>
      <c r="H12" s="442"/>
      <c r="I12" s="442"/>
      <c r="J12" s="442"/>
      <c r="K12" s="442"/>
      <c r="L12" s="443"/>
      <c r="M12" s="1205" t="s">
        <v>65</v>
      </c>
      <c r="N12" s="1206"/>
      <c r="O12" s="1205" t="str">
        <f>HLOOKUP(P$11,'WBS Staffing1'!$A$6:$P$57,2,FALSE)</f>
        <v>0101</v>
      </c>
      <c r="P12" s="1206"/>
      <c r="Q12" s="1205" t="str">
        <f>HLOOKUP(R$11,'WBS Staffing1'!$A$6:$P$57,2,FALSE)</f>
        <v>0102</v>
      </c>
      <c r="R12" s="1206"/>
      <c r="S12" s="1205" t="str">
        <f>HLOOKUP(T$11,'WBS Staffing1'!$A$6:$P$57,2,FALSE)</f>
        <v>0103</v>
      </c>
      <c r="T12" s="1206"/>
      <c r="U12" s="1205" t="str">
        <f>HLOOKUP(V$11,'WBS Staffing1'!$A$6:$P$57,2,FALSE)</f>
        <v>0104</v>
      </c>
      <c r="V12" s="1206"/>
      <c r="W12" s="1205" t="str">
        <f>HLOOKUP(X$11,'WBS Staffing1'!$A$6:$P$57,2,FALSE)</f>
        <v>0105</v>
      </c>
      <c r="X12" s="1206"/>
      <c r="Y12" s="1205" t="str">
        <f>HLOOKUP(Z$11,'WBS Staffing1'!$A$6:$P$57,2,FALSE)</f>
        <v>0106</v>
      </c>
      <c r="Z12" s="1206"/>
      <c r="AA12" s="1205" t="str">
        <f>HLOOKUP(AB$11,'WBS Staffing1'!$A$6:$P$57,2,FALSE)</f>
        <v>0107</v>
      </c>
      <c r="AB12" s="1206"/>
      <c r="AC12" s="1205" t="str">
        <f>HLOOKUP(AD$11,'WBS Staffing1'!$A$6:$P$57,2,FALSE)</f>
        <v>0108</v>
      </c>
      <c r="AD12" s="1206"/>
      <c r="AE12" s="1205" t="str">
        <f>HLOOKUP(AF$11,'WBS Staffing1'!$A$6:$P$57,2,FALSE)</f>
        <v>0109</v>
      </c>
      <c r="AF12" s="1206"/>
      <c r="AG12" s="1205" t="str">
        <f>HLOOKUP(AH$11,'WBS Staffing1'!$A$6:$P$57,2,FALSE)</f>
        <v>0110</v>
      </c>
      <c r="AH12" s="1207"/>
      <c r="AJ12" s="444" t="s">
        <v>54</v>
      </c>
    </row>
    <row r="13" spans="1:36">
      <c r="E13" s="369"/>
      <c r="F13" s="28"/>
      <c r="G13" s="28"/>
      <c r="H13" s="28"/>
      <c r="I13" s="28"/>
      <c r="J13" s="28"/>
      <c r="K13" s="28"/>
      <c r="L13" s="445"/>
      <c r="M13" s="446"/>
      <c r="N13" s="447"/>
      <c r="O13" s="1205" t="str">
        <f>HLOOKUP(P$11,'WBS Staffing1'!$A$6:$P$57,3,FALSE)</f>
        <v>WBS Description #1</v>
      </c>
      <c r="P13" s="1206"/>
      <c r="Q13" s="1205" t="str">
        <f>HLOOKUP(R$11,'WBS Staffing1'!$A$6:$P$57,3,FALSE)</f>
        <v>WBS Description #2</v>
      </c>
      <c r="R13" s="1206"/>
      <c r="S13" s="1205" t="str">
        <f>HLOOKUP(T$11,'WBS Staffing1'!$A$6:$P$57,3,FALSE)</f>
        <v>WBS Description #3</v>
      </c>
      <c r="T13" s="1206"/>
      <c r="U13" s="1205" t="str">
        <f>HLOOKUP(V$11,'WBS Staffing1'!$A$6:$P$57,3,FALSE)</f>
        <v>WBS Description #4</v>
      </c>
      <c r="V13" s="1206"/>
      <c r="W13" s="1205" t="str">
        <f>HLOOKUP(X$11,'WBS Staffing1'!$A$6:$P$57,3,FALSE)</f>
        <v>WBS Description #5</v>
      </c>
      <c r="X13" s="1206"/>
      <c r="Y13" s="1205" t="str">
        <f>HLOOKUP(Z$11,'WBS Staffing1'!$A$6:$P$57,3,FALSE)</f>
        <v>WBS Description #6</v>
      </c>
      <c r="Z13" s="1206"/>
      <c r="AA13" s="1205" t="str">
        <f>HLOOKUP(AB$11,'WBS Staffing1'!$A$6:$P$57,3,FALSE)</f>
        <v>WBS Description #7</v>
      </c>
      <c r="AB13" s="1206"/>
      <c r="AC13" s="1205" t="str">
        <f>HLOOKUP(AD$11,'WBS Staffing1'!$A$6:$P$57,3,FALSE)</f>
        <v>WBS Description #8</v>
      </c>
      <c r="AD13" s="1206"/>
      <c r="AE13" s="1205" t="str">
        <f>HLOOKUP(AF$11,'WBS Staffing1'!$A$6:$P$57,3,FALSE)</f>
        <v>WBS Description #9</v>
      </c>
      <c r="AF13" s="1206"/>
      <c r="AG13" s="1205" t="str">
        <f>HLOOKUP(AH$11,'WBS Staffing1'!$A$6:$P$57,3,FALSE)</f>
        <v>WBS Description #10</v>
      </c>
      <c r="AH13" s="1207"/>
      <c r="AJ13" s="444" t="str">
        <f>IF((OR((N13=""),(N13&gt;0))),"1","0")</f>
        <v>1</v>
      </c>
    </row>
    <row r="14" spans="1:36">
      <c r="E14" s="384" t="s">
        <v>632</v>
      </c>
      <c r="F14" s="385" t="s">
        <v>634</v>
      </c>
      <c r="G14" s="385" t="s">
        <v>627</v>
      </c>
      <c r="H14" s="34" t="s">
        <v>707</v>
      </c>
      <c r="I14" s="385" t="s">
        <v>708</v>
      </c>
      <c r="J14" s="34" t="s">
        <v>722</v>
      </c>
      <c r="K14" s="377" t="s">
        <v>635</v>
      </c>
      <c r="L14" s="448" t="s">
        <v>58</v>
      </c>
      <c r="M14" s="449" t="s">
        <v>602</v>
      </c>
      <c r="N14" s="450" t="s">
        <v>638</v>
      </c>
      <c r="O14" s="449" t="s">
        <v>602</v>
      </c>
      <c r="P14" s="450" t="s">
        <v>638</v>
      </c>
      <c r="Q14" s="449" t="s">
        <v>602</v>
      </c>
      <c r="R14" s="450" t="s">
        <v>638</v>
      </c>
      <c r="S14" s="449" t="s">
        <v>602</v>
      </c>
      <c r="T14" s="450" t="s">
        <v>638</v>
      </c>
      <c r="U14" s="449" t="s">
        <v>602</v>
      </c>
      <c r="V14" s="450" t="s">
        <v>638</v>
      </c>
      <c r="W14" s="449" t="s">
        <v>602</v>
      </c>
      <c r="X14" s="450" t="s">
        <v>638</v>
      </c>
      <c r="Y14" s="449" t="s">
        <v>602</v>
      </c>
      <c r="Z14" s="450" t="s">
        <v>638</v>
      </c>
      <c r="AA14" s="449" t="s">
        <v>602</v>
      </c>
      <c r="AB14" s="450" t="s">
        <v>638</v>
      </c>
      <c r="AC14" s="449" t="s">
        <v>602</v>
      </c>
      <c r="AD14" s="450" t="s">
        <v>638</v>
      </c>
      <c r="AE14" s="449" t="s">
        <v>602</v>
      </c>
      <c r="AF14" s="450" t="s">
        <v>638</v>
      </c>
      <c r="AG14" s="449" t="s">
        <v>602</v>
      </c>
      <c r="AH14" s="451" t="s">
        <v>638</v>
      </c>
      <c r="AJ14" s="444" t="str">
        <f t="shared" ref="AJ14:AJ83" si="0">IF((OR((N14=""),(N14&gt;0))),"1","0")</f>
        <v>1</v>
      </c>
    </row>
    <row r="15" spans="1:36">
      <c r="E15" s="384"/>
      <c r="F15" s="28"/>
      <c r="G15" s="28"/>
      <c r="H15" s="28"/>
      <c r="I15" s="28"/>
      <c r="J15" s="28"/>
      <c r="K15" s="28"/>
      <c r="L15" s="445"/>
      <c r="M15" s="452"/>
      <c r="N15" s="453"/>
      <c r="O15" s="452"/>
      <c r="P15" s="453"/>
      <c r="Q15" s="452"/>
      <c r="R15" s="453"/>
      <c r="S15" s="452"/>
      <c r="T15" s="453"/>
      <c r="U15" s="452"/>
      <c r="V15" s="453"/>
      <c r="W15" s="452"/>
      <c r="X15" s="453"/>
      <c r="Y15" s="452"/>
      <c r="Z15" s="453"/>
      <c r="AA15" s="452"/>
      <c r="AB15" s="453"/>
      <c r="AC15" s="452"/>
      <c r="AD15" s="453"/>
      <c r="AE15" s="452"/>
      <c r="AF15" s="453"/>
      <c r="AG15" s="452"/>
      <c r="AH15" s="411"/>
      <c r="AJ15" s="444" t="str">
        <f t="shared" si="0"/>
        <v>1</v>
      </c>
    </row>
    <row r="16" spans="1:36">
      <c r="D16" s="28">
        <f t="shared" ref="D16:D25" si="1">D15+1</f>
        <v>1</v>
      </c>
      <c r="E16" s="454" t="str">
        <f t="shared" ref="E16:E35" si="2">VLOOKUP($D16,DL,2,FALSE)</f>
        <v xml:space="preserve">LAN/Wan Engineer </v>
      </c>
      <c r="F16" s="392">
        <f t="shared" ref="F16:F35" si="3">VLOOKUP($D16,DL,5,FALSE)</f>
        <v>0</v>
      </c>
      <c r="G16" s="28" t="str">
        <f>VLOOKUP($D16,'WBS Staffing1'!$A$6:$P$57,4,FALSE)</f>
        <v>Govt</v>
      </c>
      <c r="H16" s="28"/>
      <c r="I16" s="28"/>
      <c r="J16" s="47"/>
      <c r="K16" s="49">
        <f t="shared" ref="K16:K35" si="4">VLOOKUP(D16,DL,6,FALSE)</f>
        <v>29</v>
      </c>
      <c r="L16" s="455">
        <f t="shared" ref="L16:L35" si="5">IF($H16="",(ROUND($K16*$F$11,2)))</f>
        <v>29.72</v>
      </c>
      <c r="M16" s="452">
        <f>SUMIF($O$14:$AJ$14,M$14,$O16:$AJ16)</f>
        <v>0</v>
      </c>
      <c r="N16" s="453">
        <f>SUMIF($O$14:$AJ$14,N$14,$O16:$AJ16)</f>
        <v>0</v>
      </c>
      <c r="O16" s="452">
        <f>INDEX('WBS Staffing1'!$B$7:$P$57,MATCH($D16,'WBS Staffing1'!$A$7:$A$57,0),MATCH(P$11,'WBS Staffing1'!$B$6:$P$6,0))</f>
        <v>0</v>
      </c>
      <c r="P16" s="453">
        <f t="shared" ref="P16:P35" si="6">ROUND($L16*O16,0)</f>
        <v>0</v>
      </c>
      <c r="Q16" s="452">
        <f>INDEX('WBS Staffing1'!$B$7:$P$57,MATCH($D16,'WBS Staffing1'!$A$7:$A$57,0),MATCH(R$11,'WBS Staffing1'!$B$6:$P$6,0))</f>
        <v>0</v>
      </c>
      <c r="R16" s="453">
        <f t="shared" ref="R16:R35" si="7">ROUND($L16*Q16,0)</f>
        <v>0</v>
      </c>
      <c r="S16" s="452">
        <f>INDEX('WBS Staffing1'!$B$7:$P$57,MATCH($D16,'WBS Staffing1'!$A$7:$A$57,0),MATCH(T$11,'WBS Staffing1'!$B$6:$P$6,0))</f>
        <v>0</v>
      </c>
      <c r="T16" s="453">
        <f t="shared" ref="T16:T35" si="8">ROUND($L16*S16,0)</f>
        <v>0</v>
      </c>
      <c r="U16" s="452">
        <f>INDEX('WBS Staffing1'!$B$7:$P$57,MATCH($D16,'WBS Staffing1'!$A$7:$A$57,0),MATCH(V$11,'WBS Staffing1'!$B$6:$P$6,0))</f>
        <v>0</v>
      </c>
      <c r="V16" s="453">
        <f t="shared" ref="V16:V35" si="9">ROUND($L16*U16,0)</f>
        <v>0</v>
      </c>
      <c r="W16" s="452">
        <f>INDEX('WBS Staffing1'!$B$7:$P$57,MATCH($D16,'WBS Staffing1'!$A$7:$A$57,0),MATCH(X$11,'WBS Staffing1'!$B$6:$P$6,0))</f>
        <v>0</v>
      </c>
      <c r="X16" s="453">
        <f t="shared" ref="X16:X35" si="10">ROUND($L16*W16,0)</f>
        <v>0</v>
      </c>
      <c r="Y16" s="452">
        <f>INDEX('WBS Staffing1'!$B$7:$P$57,MATCH($D16,'WBS Staffing1'!$A$7:$A$57,0),MATCH(Z$11,'WBS Staffing1'!$B$6:$P$6,0))</f>
        <v>0</v>
      </c>
      <c r="Z16" s="453">
        <f t="shared" ref="Z16:Z35" si="11">ROUND($L16*Y16,0)</f>
        <v>0</v>
      </c>
      <c r="AA16" s="452">
        <f>INDEX('WBS Staffing1'!$B$7:$P$57,MATCH($D16,'WBS Staffing1'!$A$7:$A$57,0),MATCH(AB$11,'WBS Staffing1'!$B$6:$P$6,0))</f>
        <v>0</v>
      </c>
      <c r="AB16" s="453">
        <f t="shared" ref="AB16:AB35" si="12">ROUND($L16*AA16,0)</f>
        <v>0</v>
      </c>
      <c r="AC16" s="452">
        <f>INDEX('WBS Staffing1'!$B$7:$P$57,MATCH($D16,'WBS Staffing1'!$A$7:$A$57,0),MATCH(AD$11,'WBS Staffing1'!$B$6:$P$6,0))</f>
        <v>0</v>
      </c>
      <c r="AD16" s="453">
        <f t="shared" ref="AD16:AD35" si="13">ROUND($L16*AC16,0)</f>
        <v>0</v>
      </c>
      <c r="AE16" s="452">
        <f>INDEX('WBS Staffing1'!$B$7:$P$57,MATCH($D16,'WBS Staffing1'!$A$7:$A$57,0),MATCH(AF$11,'WBS Staffing1'!$B$6:$P$6,0))</f>
        <v>0</v>
      </c>
      <c r="AF16" s="453">
        <f t="shared" ref="AF16:AF35" si="14">ROUND($L16*AE16,0)</f>
        <v>0</v>
      </c>
      <c r="AG16" s="452">
        <f>INDEX('WBS Staffing1'!$B$7:$P$57,MATCH($D16,'WBS Staffing1'!$A$7:$A$57,0),MATCH(AH$11,'WBS Staffing1'!$B$6:$P$6,0))</f>
        <v>0</v>
      </c>
      <c r="AH16" s="411">
        <f t="shared" ref="AH16:AH35" si="15">ROUND($L16*AG16,0)</f>
        <v>0</v>
      </c>
      <c r="AJ16" s="444" t="str">
        <f t="shared" si="0"/>
        <v>0</v>
      </c>
    </row>
    <row r="17" spans="4:36">
      <c r="D17" s="28">
        <f t="shared" si="1"/>
        <v>2</v>
      </c>
      <c r="E17" s="454" t="str">
        <f t="shared" si="2"/>
        <v>Functional Services Administrator</v>
      </c>
      <c r="F17" s="392">
        <f t="shared" si="3"/>
        <v>0</v>
      </c>
      <c r="G17" s="28" t="str">
        <f>VLOOKUP($D17,'WBS Staffing1'!$A$6:$P$57,4,FALSE)</f>
        <v>Govt</v>
      </c>
      <c r="H17" s="28"/>
      <c r="I17" s="28"/>
      <c r="J17" s="47"/>
      <c r="K17" s="49">
        <f t="shared" si="4"/>
        <v>33.81</v>
      </c>
      <c r="L17" s="455">
        <f t="shared" si="5"/>
        <v>34.65</v>
      </c>
      <c r="M17" s="452">
        <f t="shared" ref="M17:N35" si="16">SUMIF($O$14:$AJ$14,M$14,$O17:$AJ17)</f>
        <v>0</v>
      </c>
      <c r="N17" s="453">
        <f t="shared" si="16"/>
        <v>0</v>
      </c>
      <c r="O17" s="452">
        <f>INDEX('WBS Staffing1'!$B$7:$P$57,MATCH($D17,'WBS Staffing1'!$A$7:$A$57,0),MATCH(P$11,'WBS Staffing1'!$B$6:$P$6,0))</f>
        <v>0</v>
      </c>
      <c r="P17" s="453">
        <f t="shared" si="6"/>
        <v>0</v>
      </c>
      <c r="Q17" s="452">
        <f>INDEX('WBS Staffing1'!$B$7:$P$57,MATCH($D17,'WBS Staffing1'!$A$7:$A$57,0),MATCH(R$11,'WBS Staffing1'!$B$6:$P$6,0))</f>
        <v>0</v>
      </c>
      <c r="R17" s="453">
        <f t="shared" si="7"/>
        <v>0</v>
      </c>
      <c r="S17" s="452">
        <f>INDEX('WBS Staffing1'!$B$7:$P$57,MATCH($D17,'WBS Staffing1'!$A$7:$A$57,0),MATCH(T$11,'WBS Staffing1'!$B$6:$P$6,0))</f>
        <v>0</v>
      </c>
      <c r="T17" s="453">
        <f t="shared" si="8"/>
        <v>0</v>
      </c>
      <c r="U17" s="452">
        <f>INDEX('WBS Staffing1'!$B$7:$P$57,MATCH($D17,'WBS Staffing1'!$A$7:$A$57,0),MATCH(V$11,'WBS Staffing1'!$B$6:$P$6,0))</f>
        <v>0</v>
      </c>
      <c r="V17" s="453">
        <f t="shared" si="9"/>
        <v>0</v>
      </c>
      <c r="W17" s="452">
        <f>INDEX('WBS Staffing1'!$B$7:$P$57,MATCH($D17,'WBS Staffing1'!$A$7:$A$57,0),MATCH(X$11,'WBS Staffing1'!$B$6:$P$6,0))</f>
        <v>0</v>
      </c>
      <c r="X17" s="453">
        <f t="shared" si="10"/>
        <v>0</v>
      </c>
      <c r="Y17" s="452">
        <f>INDEX('WBS Staffing1'!$B$7:$P$57,MATCH($D17,'WBS Staffing1'!$A$7:$A$57,0),MATCH(Z$11,'WBS Staffing1'!$B$6:$P$6,0))</f>
        <v>0</v>
      </c>
      <c r="Z17" s="453">
        <f t="shared" si="11"/>
        <v>0</v>
      </c>
      <c r="AA17" s="452">
        <f>INDEX('WBS Staffing1'!$B$7:$P$57,MATCH($D17,'WBS Staffing1'!$A$7:$A$57,0),MATCH(AB$11,'WBS Staffing1'!$B$6:$P$6,0))</f>
        <v>0</v>
      </c>
      <c r="AB17" s="453">
        <f t="shared" si="12"/>
        <v>0</v>
      </c>
      <c r="AC17" s="452">
        <f>INDEX('WBS Staffing1'!$B$7:$P$57,MATCH($D17,'WBS Staffing1'!$A$7:$A$57,0),MATCH(AD$11,'WBS Staffing1'!$B$6:$P$6,0))</f>
        <v>0</v>
      </c>
      <c r="AD17" s="453">
        <f t="shared" si="13"/>
        <v>0</v>
      </c>
      <c r="AE17" s="452">
        <f>INDEX('WBS Staffing1'!$B$7:$P$57,MATCH($D17,'WBS Staffing1'!$A$7:$A$57,0),MATCH(AF$11,'WBS Staffing1'!$B$6:$P$6,0))</f>
        <v>0</v>
      </c>
      <c r="AF17" s="453">
        <f t="shared" si="14"/>
        <v>0</v>
      </c>
      <c r="AG17" s="452">
        <f>INDEX('WBS Staffing1'!$B$7:$P$57,MATCH($D17,'WBS Staffing1'!$A$7:$A$57,0),MATCH(AH$11,'WBS Staffing1'!$B$6:$P$6,0))</f>
        <v>0</v>
      </c>
      <c r="AH17" s="411">
        <f t="shared" si="15"/>
        <v>0</v>
      </c>
      <c r="AJ17" s="444" t="str">
        <f t="shared" si="0"/>
        <v>0</v>
      </c>
    </row>
    <row r="18" spans="4:36">
      <c r="D18" s="28">
        <f t="shared" si="1"/>
        <v>3</v>
      </c>
      <c r="E18" s="454" t="str">
        <f t="shared" si="2"/>
        <v>Functional Services Administrator</v>
      </c>
      <c r="F18" s="392">
        <f t="shared" si="3"/>
        <v>0</v>
      </c>
      <c r="G18" s="28" t="str">
        <f>VLOOKUP($D18,'WBS Staffing1'!$A$6:$P$57,4,FALSE)</f>
        <v>Govt</v>
      </c>
      <c r="H18" s="28"/>
      <c r="I18" s="28"/>
      <c r="J18" s="47"/>
      <c r="K18" s="49">
        <f t="shared" si="4"/>
        <v>33.81</v>
      </c>
      <c r="L18" s="455">
        <f t="shared" si="5"/>
        <v>34.65</v>
      </c>
      <c r="M18" s="452">
        <f t="shared" si="16"/>
        <v>0</v>
      </c>
      <c r="N18" s="453">
        <f t="shared" si="16"/>
        <v>0</v>
      </c>
      <c r="O18" s="452">
        <f>INDEX('WBS Staffing1'!$B$7:$P$57,MATCH($D18,'WBS Staffing1'!$A$7:$A$57,0),MATCH(P$11,'WBS Staffing1'!$B$6:$P$6,0))</f>
        <v>0</v>
      </c>
      <c r="P18" s="453">
        <f t="shared" si="6"/>
        <v>0</v>
      </c>
      <c r="Q18" s="452">
        <f>INDEX('WBS Staffing1'!$B$7:$P$57,MATCH($D18,'WBS Staffing1'!$A$7:$A$57,0),MATCH(R$11,'WBS Staffing1'!$B$6:$P$6,0))</f>
        <v>0</v>
      </c>
      <c r="R18" s="453">
        <f t="shared" si="7"/>
        <v>0</v>
      </c>
      <c r="S18" s="452">
        <f>INDEX('WBS Staffing1'!$B$7:$P$57,MATCH($D18,'WBS Staffing1'!$A$7:$A$57,0),MATCH(T$11,'WBS Staffing1'!$B$6:$P$6,0))</f>
        <v>0</v>
      </c>
      <c r="T18" s="453">
        <f t="shared" si="8"/>
        <v>0</v>
      </c>
      <c r="U18" s="452">
        <f>INDEX('WBS Staffing1'!$B$7:$P$57,MATCH($D18,'WBS Staffing1'!$A$7:$A$57,0),MATCH(V$11,'WBS Staffing1'!$B$6:$P$6,0))</f>
        <v>0</v>
      </c>
      <c r="V18" s="453">
        <f t="shared" si="9"/>
        <v>0</v>
      </c>
      <c r="W18" s="452">
        <f>INDEX('WBS Staffing1'!$B$7:$P$57,MATCH($D18,'WBS Staffing1'!$A$7:$A$57,0),MATCH(X$11,'WBS Staffing1'!$B$6:$P$6,0))</f>
        <v>0</v>
      </c>
      <c r="X18" s="453">
        <f t="shared" si="10"/>
        <v>0</v>
      </c>
      <c r="Y18" s="452">
        <f>INDEX('WBS Staffing1'!$B$7:$P$57,MATCH($D18,'WBS Staffing1'!$A$7:$A$57,0),MATCH(Z$11,'WBS Staffing1'!$B$6:$P$6,0))</f>
        <v>0</v>
      </c>
      <c r="Z18" s="453">
        <f t="shared" si="11"/>
        <v>0</v>
      </c>
      <c r="AA18" s="452">
        <f>INDEX('WBS Staffing1'!$B$7:$P$57,MATCH($D18,'WBS Staffing1'!$A$7:$A$57,0),MATCH(AB$11,'WBS Staffing1'!$B$6:$P$6,0))</f>
        <v>0</v>
      </c>
      <c r="AB18" s="453">
        <f t="shared" si="12"/>
        <v>0</v>
      </c>
      <c r="AC18" s="452">
        <f>INDEX('WBS Staffing1'!$B$7:$P$57,MATCH($D18,'WBS Staffing1'!$A$7:$A$57,0),MATCH(AD$11,'WBS Staffing1'!$B$6:$P$6,0))</f>
        <v>0</v>
      </c>
      <c r="AD18" s="453">
        <f t="shared" si="13"/>
        <v>0</v>
      </c>
      <c r="AE18" s="452">
        <f>INDEX('WBS Staffing1'!$B$7:$P$57,MATCH($D18,'WBS Staffing1'!$A$7:$A$57,0),MATCH(AF$11,'WBS Staffing1'!$B$6:$P$6,0))</f>
        <v>0</v>
      </c>
      <c r="AF18" s="453">
        <f t="shared" si="14"/>
        <v>0</v>
      </c>
      <c r="AG18" s="452">
        <f>INDEX('WBS Staffing1'!$B$7:$P$57,MATCH($D18,'WBS Staffing1'!$A$7:$A$57,0),MATCH(AH$11,'WBS Staffing1'!$B$6:$P$6,0))</f>
        <v>0</v>
      </c>
      <c r="AH18" s="411">
        <f t="shared" si="15"/>
        <v>0</v>
      </c>
      <c r="AJ18" s="444" t="str">
        <f t="shared" si="0"/>
        <v>0</v>
      </c>
    </row>
    <row r="19" spans="4:36">
      <c r="D19" s="28">
        <f t="shared" si="1"/>
        <v>4</v>
      </c>
      <c r="E19" s="454" t="str">
        <f t="shared" si="2"/>
        <v>Functional Services Administrator</v>
      </c>
      <c r="F19" s="392">
        <f t="shared" si="3"/>
        <v>0</v>
      </c>
      <c r="G19" s="28" t="str">
        <f>VLOOKUP($D19,'WBS Staffing1'!$A$6:$P$57,4,FALSE)</f>
        <v>Govt</v>
      </c>
      <c r="H19" s="28"/>
      <c r="I19" s="28"/>
      <c r="J19" s="47"/>
      <c r="K19" s="49">
        <f t="shared" si="4"/>
        <v>33.81</v>
      </c>
      <c r="L19" s="455">
        <f t="shared" si="5"/>
        <v>34.65</v>
      </c>
      <c r="M19" s="452">
        <f t="shared" si="16"/>
        <v>0</v>
      </c>
      <c r="N19" s="453">
        <f t="shared" si="16"/>
        <v>0</v>
      </c>
      <c r="O19" s="452">
        <f>INDEX('WBS Staffing1'!$B$7:$P$57,MATCH($D19,'WBS Staffing1'!$A$7:$A$57,0),MATCH(P$11,'WBS Staffing1'!$B$6:$P$6,0))</f>
        <v>0</v>
      </c>
      <c r="P19" s="453">
        <f t="shared" si="6"/>
        <v>0</v>
      </c>
      <c r="Q19" s="452">
        <f>INDEX('WBS Staffing1'!$B$7:$P$57,MATCH($D19,'WBS Staffing1'!$A$7:$A$57,0),MATCH(R$11,'WBS Staffing1'!$B$6:$P$6,0))</f>
        <v>0</v>
      </c>
      <c r="R19" s="453">
        <f t="shared" si="7"/>
        <v>0</v>
      </c>
      <c r="S19" s="452">
        <f>INDEX('WBS Staffing1'!$B$7:$P$57,MATCH($D19,'WBS Staffing1'!$A$7:$A$57,0),MATCH(T$11,'WBS Staffing1'!$B$6:$P$6,0))</f>
        <v>0</v>
      </c>
      <c r="T19" s="453">
        <f t="shared" si="8"/>
        <v>0</v>
      </c>
      <c r="U19" s="452">
        <f>INDEX('WBS Staffing1'!$B$7:$P$57,MATCH($D19,'WBS Staffing1'!$A$7:$A$57,0),MATCH(V$11,'WBS Staffing1'!$B$6:$P$6,0))</f>
        <v>0</v>
      </c>
      <c r="V19" s="453">
        <f t="shared" si="9"/>
        <v>0</v>
      </c>
      <c r="W19" s="452">
        <f>INDEX('WBS Staffing1'!$B$7:$P$57,MATCH($D19,'WBS Staffing1'!$A$7:$A$57,0),MATCH(X$11,'WBS Staffing1'!$B$6:$P$6,0))</f>
        <v>0</v>
      </c>
      <c r="X19" s="453">
        <f t="shared" si="10"/>
        <v>0</v>
      </c>
      <c r="Y19" s="452">
        <f>INDEX('WBS Staffing1'!$B$7:$P$57,MATCH($D19,'WBS Staffing1'!$A$7:$A$57,0),MATCH(Z$11,'WBS Staffing1'!$B$6:$P$6,0))</f>
        <v>0</v>
      </c>
      <c r="Z19" s="453">
        <f t="shared" si="11"/>
        <v>0</v>
      </c>
      <c r="AA19" s="452">
        <f>INDEX('WBS Staffing1'!$B$7:$P$57,MATCH($D19,'WBS Staffing1'!$A$7:$A$57,0),MATCH(AB$11,'WBS Staffing1'!$B$6:$P$6,0))</f>
        <v>0</v>
      </c>
      <c r="AB19" s="453">
        <f t="shared" si="12"/>
        <v>0</v>
      </c>
      <c r="AC19" s="452">
        <f>INDEX('WBS Staffing1'!$B$7:$P$57,MATCH($D19,'WBS Staffing1'!$A$7:$A$57,0),MATCH(AD$11,'WBS Staffing1'!$B$6:$P$6,0))</f>
        <v>0</v>
      </c>
      <c r="AD19" s="453">
        <f t="shared" si="13"/>
        <v>0</v>
      </c>
      <c r="AE19" s="452">
        <f>INDEX('WBS Staffing1'!$B$7:$P$57,MATCH($D19,'WBS Staffing1'!$A$7:$A$57,0),MATCH(AF$11,'WBS Staffing1'!$B$6:$P$6,0))</f>
        <v>0</v>
      </c>
      <c r="AF19" s="453">
        <f t="shared" si="14"/>
        <v>0</v>
      </c>
      <c r="AG19" s="452">
        <f>INDEX('WBS Staffing1'!$B$7:$P$57,MATCH($D19,'WBS Staffing1'!$A$7:$A$57,0),MATCH(AH$11,'WBS Staffing1'!$B$6:$P$6,0))</f>
        <v>0</v>
      </c>
      <c r="AH19" s="411">
        <f t="shared" si="15"/>
        <v>0</v>
      </c>
      <c r="AJ19" s="444" t="str">
        <f t="shared" si="0"/>
        <v>0</v>
      </c>
    </row>
    <row r="20" spans="4:36">
      <c r="D20" s="28">
        <f t="shared" si="1"/>
        <v>5</v>
      </c>
      <c r="E20" s="454" t="str">
        <f t="shared" si="2"/>
        <v>Service Desk</v>
      </c>
      <c r="F20" s="392">
        <f t="shared" si="3"/>
        <v>0</v>
      </c>
      <c r="G20" s="28" t="str">
        <f>VLOOKUP($D20,'WBS Staffing1'!$A$6:$P$57,4,FALSE)</f>
        <v>Govt</v>
      </c>
      <c r="H20" s="28"/>
      <c r="I20" s="28"/>
      <c r="J20" s="47"/>
      <c r="K20" s="49">
        <f t="shared" si="4"/>
        <v>26</v>
      </c>
      <c r="L20" s="455">
        <f t="shared" si="5"/>
        <v>26.64</v>
      </c>
      <c r="M20" s="452">
        <f t="shared" si="16"/>
        <v>0</v>
      </c>
      <c r="N20" s="453">
        <f t="shared" si="16"/>
        <v>0</v>
      </c>
      <c r="O20" s="452">
        <f>INDEX('WBS Staffing1'!$B$7:$P$57,MATCH($D20,'WBS Staffing1'!$A$7:$A$57,0),MATCH(P$11,'WBS Staffing1'!$B$6:$P$6,0))</f>
        <v>0</v>
      </c>
      <c r="P20" s="453">
        <f t="shared" si="6"/>
        <v>0</v>
      </c>
      <c r="Q20" s="452">
        <f>INDEX('WBS Staffing1'!$B$7:$P$57,MATCH($D20,'WBS Staffing1'!$A$7:$A$57,0),MATCH(R$11,'WBS Staffing1'!$B$6:$P$6,0))</f>
        <v>0</v>
      </c>
      <c r="R20" s="453">
        <f t="shared" si="7"/>
        <v>0</v>
      </c>
      <c r="S20" s="452">
        <f>INDEX('WBS Staffing1'!$B$7:$P$57,MATCH($D20,'WBS Staffing1'!$A$7:$A$57,0),MATCH(T$11,'WBS Staffing1'!$B$6:$P$6,0))</f>
        <v>0</v>
      </c>
      <c r="T20" s="453">
        <f t="shared" si="8"/>
        <v>0</v>
      </c>
      <c r="U20" s="452">
        <f>INDEX('WBS Staffing1'!$B$7:$P$57,MATCH($D20,'WBS Staffing1'!$A$7:$A$57,0),MATCH(V$11,'WBS Staffing1'!$B$6:$P$6,0))</f>
        <v>0</v>
      </c>
      <c r="V20" s="453">
        <f t="shared" si="9"/>
        <v>0</v>
      </c>
      <c r="W20" s="452">
        <f>INDEX('WBS Staffing1'!$B$7:$P$57,MATCH($D20,'WBS Staffing1'!$A$7:$A$57,0),MATCH(X$11,'WBS Staffing1'!$B$6:$P$6,0))</f>
        <v>0</v>
      </c>
      <c r="X20" s="453">
        <f t="shared" si="10"/>
        <v>0</v>
      </c>
      <c r="Y20" s="452">
        <f>INDEX('WBS Staffing1'!$B$7:$P$57,MATCH($D20,'WBS Staffing1'!$A$7:$A$57,0),MATCH(Z$11,'WBS Staffing1'!$B$6:$P$6,0))</f>
        <v>0</v>
      </c>
      <c r="Z20" s="453">
        <f t="shared" si="11"/>
        <v>0</v>
      </c>
      <c r="AA20" s="452">
        <f>INDEX('WBS Staffing1'!$B$7:$P$57,MATCH($D20,'WBS Staffing1'!$A$7:$A$57,0),MATCH(AB$11,'WBS Staffing1'!$B$6:$P$6,0))</f>
        <v>0</v>
      </c>
      <c r="AB20" s="453">
        <f t="shared" si="12"/>
        <v>0</v>
      </c>
      <c r="AC20" s="452">
        <f>INDEX('WBS Staffing1'!$B$7:$P$57,MATCH($D20,'WBS Staffing1'!$A$7:$A$57,0),MATCH(AD$11,'WBS Staffing1'!$B$6:$P$6,0))</f>
        <v>0</v>
      </c>
      <c r="AD20" s="453">
        <f t="shared" si="13"/>
        <v>0</v>
      </c>
      <c r="AE20" s="452">
        <f>INDEX('WBS Staffing1'!$B$7:$P$57,MATCH($D20,'WBS Staffing1'!$A$7:$A$57,0),MATCH(AF$11,'WBS Staffing1'!$B$6:$P$6,0))</f>
        <v>0</v>
      </c>
      <c r="AF20" s="453">
        <f t="shared" si="14"/>
        <v>0</v>
      </c>
      <c r="AG20" s="452">
        <f>INDEX('WBS Staffing1'!$B$7:$P$57,MATCH($D20,'WBS Staffing1'!$A$7:$A$57,0),MATCH(AH$11,'WBS Staffing1'!$B$6:$P$6,0))</f>
        <v>0</v>
      </c>
      <c r="AH20" s="411">
        <f t="shared" si="15"/>
        <v>0</v>
      </c>
      <c r="AJ20" s="444" t="str">
        <f t="shared" si="0"/>
        <v>0</v>
      </c>
    </row>
    <row r="21" spans="4:36">
      <c r="D21" s="28">
        <f t="shared" si="1"/>
        <v>6</v>
      </c>
      <c r="E21" s="454" t="str">
        <f t="shared" si="2"/>
        <v>Service Desk</v>
      </c>
      <c r="F21" s="392">
        <f t="shared" si="3"/>
        <v>0</v>
      </c>
      <c r="G21" s="28" t="str">
        <f>VLOOKUP($D21,'WBS Staffing1'!$A$6:$P$57,4,FALSE)</f>
        <v>Govt</v>
      </c>
      <c r="H21" s="28"/>
      <c r="I21" s="28"/>
      <c r="J21" s="47"/>
      <c r="K21" s="49">
        <f t="shared" si="4"/>
        <v>26</v>
      </c>
      <c r="L21" s="455">
        <f t="shared" si="5"/>
        <v>26.64</v>
      </c>
      <c r="M21" s="452">
        <f t="shared" si="16"/>
        <v>0</v>
      </c>
      <c r="N21" s="453">
        <f t="shared" si="16"/>
        <v>0</v>
      </c>
      <c r="O21" s="452">
        <f>INDEX('WBS Staffing1'!$B$7:$P$57,MATCH($D21,'WBS Staffing1'!$A$7:$A$57,0),MATCH(P$11,'WBS Staffing1'!$B$6:$P$6,0))</f>
        <v>0</v>
      </c>
      <c r="P21" s="453">
        <f t="shared" si="6"/>
        <v>0</v>
      </c>
      <c r="Q21" s="452">
        <f>INDEX('WBS Staffing1'!$B$7:$P$57,MATCH($D21,'WBS Staffing1'!$A$7:$A$57,0),MATCH(R$11,'WBS Staffing1'!$B$6:$P$6,0))</f>
        <v>0</v>
      </c>
      <c r="R21" s="453">
        <f t="shared" si="7"/>
        <v>0</v>
      </c>
      <c r="S21" s="452">
        <f>INDEX('WBS Staffing1'!$B$7:$P$57,MATCH($D21,'WBS Staffing1'!$A$7:$A$57,0),MATCH(T$11,'WBS Staffing1'!$B$6:$P$6,0))</f>
        <v>0</v>
      </c>
      <c r="T21" s="453">
        <f t="shared" si="8"/>
        <v>0</v>
      </c>
      <c r="U21" s="452">
        <f>INDEX('WBS Staffing1'!$B$7:$P$57,MATCH($D21,'WBS Staffing1'!$A$7:$A$57,0),MATCH(V$11,'WBS Staffing1'!$B$6:$P$6,0))</f>
        <v>0</v>
      </c>
      <c r="V21" s="453">
        <f t="shared" si="9"/>
        <v>0</v>
      </c>
      <c r="W21" s="452">
        <f>INDEX('WBS Staffing1'!$B$7:$P$57,MATCH($D21,'WBS Staffing1'!$A$7:$A$57,0),MATCH(X$11,'WBS Staffing1'!$B$6:$P$6,0))</f>
        <v>0</v>
      </c>
      <c r="X21" s="453">
        <f t="shared" si="10"/>
        <v>0</v>
      </c>
      <c r="Y21" s="452">
        <f>INDEX('WBS Staffing1'!$B$7:$P$57,MATCH($D21,'WBS Staffing1'!$A$7:$A$57,0),MATCH(Z$11,'WBS Staffing1'!$B$6:$P$6,0))</f>
        <v>0</v>
      </c>
      <c r="Z21" s="453">
        <f t="shared" si="11"/>
        <v>0</v>
      </c>
      <c r="AA21" s="452">
        <f>INDEX('WBS Staffing1'!$B$7:$P$57,MATCH($D21,'WBS Staffing1'!$A$7:$A$57,0),MATCH(AB$11,'WBS Staffing1'!$B$6:$P$6,0))</f>
        <v>0</v>
      </c>
      <c r="AB21" s="453">
        <f t="shared" si="12"/>
        <v>0</v>
      </c>
      <c r="AC21" s="452">
        <f>INDEX('WBS Staffing1'!$B$7:$P$57,MATCH($D21,'WBS Staffing1'!$A$7:$A$57,0),MATCH(AD$11,'WBS Staffing1'!$B$6:$P$6,0))</f>
        <v>0</v>
      </c>
      <c r="AD21" s="453">
        <f t="shared" si="13"/>
        <v>0</v>
      </c>
      <c r="AE21" s="452">
        <f>INDEX('WBS Staffing1'!$B$7:$P$57,MATCH($D21,'WBS Staffing1'!$A$7:$A$57,0),MATCH(AF$11,'WBS Staffing1'!$B$6:$P$6,0))</f>
        <v>0</v>
      </c>
      <c r="AF21" s="453">
        <f t="shared" si="14"/>
        <v>0</v>
      </c>
      <c r="AG21" s="452">
        <f>INDEX('WBS Staffing1'!$B$7:$P$57,MATCH($D21,'WBS Staffing1'!$A$7:$A$57,0),MATCH(AH$11,'WBS Staffing1'!$B$6:$P$6,0))</f>
        <v>0</v>
      </c>
      <c r="AH21" s="411">
        <f t="shared" si="15"/>
        <v>0</v>
      </c>
      <c r="AJ21" s="444" t="str">
        <f t="shared" si="0"/>
        <v>0</v>
      </c>
    </row>
    <row r="22" spans="4:36">
      <c r="D22" s="28">
        <f t="shared" si="1"/>
        <v>7</v>
      </c>
      <c r="E22" s="454" t="str">
        <f t="shared" si="2"/>
        <v>CIS Training Supervisor</v>
      </c>
      <c r="F22" s="392">
        <f t="shared" si="3"/>
        <v>0</v>
      </c>
      <c r="G22" s="28" t="str">
        <f>VLOOKUP($D22,'WBS Staffing1'!$A$6:$P$57,4,FALSE)</f>
        <v>Govt</v>
      </c>
      <c r="H22" s="28"/>
      <c r="I22" s="28"/>
      <c r="J22" s="47"/>
      <c r="K22" s="49">
        <f t="shared" si="4"/>
        <v>0</v>
      </c>
      <c r="L22" s="455">
        <f t="shared" si="5"/>
        <v>0</v>
      </c>
      <c r="M22" s="452">
        <f t="shared" si="16"/>
        <v>0</v>
      </c>
      <c r="N22" s="453">
        <f t="shared" si="16"/>
        <v>0</v>
      </c>
      <c r="O22" s="452">
        <f>INDEX('WBS Staffing1'!$B$7:$P$57,MATCH($D22,'WBS Staffing1'!$A$7:$A$57,0),MATCH(P$11,'WBS Staffing1'!$B$6:$P$6,0))</f>
        <v>0</v>
      </c>
      <c r="P22" s="453">
        <f t="shared" si="6"/>
        <v>0</v>
      </c>
      <c r="Q22" s="452">
        <f>INDEX('WBS Staffing1'!$B$7:$P$57,MATCH($D22,'WBS Staffing1'!$A$7:$A$57,0),MATCH(R$11,'WBS Staffing1'!$B$6:$P$6,0))</f>
        <v>0</v>
      </c>
      <c r="R22" s="453">
        <f t="shared" si="7"/>
        <v>0</v>
      </c>
      <c r="S22" s="452">
        <f>INDEX('WBS Staffing1'!$B$7:$P$57,MATCH($D22,'WBS Staffing1'!$A$7:$A$57,0),MATCH(T$11,'WBS Staffing1'!$B$6:$P$6,0))</f>
        <v>0</v>
      </c>
      <c r="T22" s="453">
        <f t="shared" si="8"/>
        <v>0</v>
      </c>
      <c r="U22" s="452">
        <f>INDEX('WBS Staffing1'!$B$7:$P$57,MATCH($D22,'WBS Staffing1'!$A$7:$A$57,0),MATCH(V$11,'WBS Staffing1'!$B$6:$P$6,0))</f>
        <v>0</v>
      </c>
      <c r="V22" s="453">
        <f t="shared" si="9"/>
        <v>0</v>
      </c>
      <c r="W22" s="452">
        <f>INDEX('WBS Staffing1'!$B$7:$P$57,MATCH($D22,'WBS Staffing1'!$A$7:$A$57,0),MATCH(X$11,'WBS Staffing1'!$B$6:$P$6,0))</f>
        <v>0</v>
      </c>
      <c r="X22" s="453">
        <f t="shared" si="10"/>
        <v>0</v>
      </c>
      <c r="Y22" s="452">
        <f>INDEX('WBS Staffing1'!$B$7:$P$57,MATCH($D22,'WBS Staffing1'!$A$7:$A$57,0),MATCH(Z$11,'WBS Staffing1'!$B$6:$P$6,0))</f>
        <v>0</v>
      </c>
      <c r="Z22" s="453">
        <f t="shared" si="11"/>
        <v>0</v>
      </c>
      <c r="AA22" s="452">
        <f>INDEX('WBS Staffing1'!$B$7:$P$57,MATCH($D22,'WBS Staffing1'!$A$7:$A$57,0),MATCH(AB$11,'WBS Staffing1'!$B$6:$P$6,0))</f>
        <v>0</v>
      </c>
      <c r="AB22" s="453">
        <f t="shared" si="12"/>
        <v>0</v>
      </c>
      <c r="AC22" s="452">
        <f>INDEX('WBS Staffing1'!$B$7:$P$57,MATCH($D22,'WBS Staffing1'!$A$7:$A$57,0),MATCH(AD$11,'WBS Staffing1'!$B$6:$P$6,0))</f>
        <v>0</v>
      </c>
      <c r="AD22" s="453">
        <f t="shared" si="13"/>
        <v>0</v>
      </c>
      <c r="AE22" s="452">
        <f>INDEX('WBS Staffing1'!$B$7:$P$57,MATCH($D22,'WBS Staffing1'!$A$7:$A$57,0),MATCH(AF$11,'WBS Staffing1'!$B$6:$P$6,0))</f>
        <v>0</v>
      </c>
      <c r="AF22" s="453">
        <f t="shared" si="14"/>
        <v>0</v>
      </c>
      <c r="AG22" s="452">
        <f>INDEX('WBS Staffing1'!$B$7:$P$57,MATCH($D22,'WBS Staffing1'!$A$7:$A$57,0),MATCH(AH$11,'WBS Staffing1'!$B$6:$P$6,0))</f>
        <v>0</v>
      </c>
      <c r="AH22" s="411">
        <f t="shared" si="15"/>
        <v>0</v>
      </c>
      <c r="AJ22" s="444" t="str">
        <f t="shared" si="0"/>
        <v>0</v>
      </c>
    </row>
    <row r="23" spans="4:36">
      <c r="D23" s="28">
        <f t="shared" si="1"/>
        <v>8</v>
      </c>
      <c r="E23" s="454" t="str">
        <f t="shared" si="2"/>
        <v>CIS Trainer</v>
      </c>
      <c r="F23" s="392">
        <f t="shared" si="3"/>
        <v>0</v>
      </c>
      <c r="G23" s="28" t="str">
        <f>VLOOKUP($D23,'WBS Staffing1'!$A$6:$P$57,4,FALSE)</f>
        <v>Govt</v>
      </c>
      <c r="H23" s="28"/>
      <c r="I23" s="28"/>
      <c r="J23" s="47"/>
      <c r="K23" s="49">
        <f t="shared" si="4"/>
        <v>0</v>
      </c>
      <c r="L23" s="455">
        <f t="shared" si="5"/>
        <v>0</v>
      </c>
      <c r="M23" s="452">
        <f t="shared" si="16"/>
        <v>0</v>
      </c>
      <c r="N23" s="453">
        <f>SUMIF($O$14:$AJ$14,N$14,$O23:$AJ23)</f>
        <v>0</v>
      </c>
      <c r="O23" s="452">
        <f>INDEX('WBS Staffing1'!$B$7:$P$57,MATCH($D23,'WBS Staffing1'!$A$7:$A$57,0),MATCH(P$11,'WBS Staffing1'!$B$6:$P$6,0))</f>
        <v>0</v>
      </c>
      <c r="P23" s="453">
        <f t="shared" si="6"/>
        <v>0</v>
      </c>
      <c r="Q23" s="452">
        <f>INDEX('WBS Staffing1'!$B$7:$P$57,MATCH($D23,'WBS Staffing1'!$A$7:$A$57,0),MATCH(R$11,'WBS Staffing1'!$B$6:$P$6,0))</f>
        <v>0</v>
      </c>
      <c r="R23" s="453">
        <f t="shared" si="7"/>
        <v>0</v>
      </c>
      <c r="S23" s="452">
        <f>INDEX('WBS Staffing1'!$B$7:$P$57,MATCH($D23,'WBS Staffing1'!$A$7:$A$57,0),MATCH(T$11,'WBS Staffing1'!$B$6:$P$6,0))</f>
        <v>0</v>
      </c>
      <c r="T23" s="453">
        <f t="shared" si="8"/>
        <v>0</v>
      </c>
      <c r="U23" s="452">
        <f>INDEX('WBS Staffing1'!$B$7:$P$57,MATCH($D23,'WBS Staffing1'!$A$7:$A$57,0),MATCH(V$11,'WBS Staffing1'!$B$6:$P$6,0))</f>
        <v>0</v>
      </c>
      <c r="V23" s="453">
        <f t="shared" si="9"/>
        <v>0</v>
      </c>
      <c r="W23" s="452">
        <f>INDEX('WBS Staffing1'!$B$7:$P$57,MATCH($D23,'WBS Staffing1'!$A$7:$A$57,0),MATCH(X$11,'WBS Staffing1'!$B$6:$P$6,0))</f>
        <v>0</v>
      </c>
      <c r="X23" s="453">
        <f t="shared" si="10"/>
        <v>0</v>
      </c>
      <c r="Y23" s="452">
        <f>INDEX('WBS Staffing1'!$B$7:$P$57,MATCH($D23,'WBS Staffing1'!$A$7:$A$57,0),MATCH(Z$11,'WBS Staffing1'!$B$6:$P$6,0))</f>
        <v>0</v>
      </c>
      <c r="Z23" s="453">
        <f t="shared" si="11"/>
        <v>0</v>
      </c>
      <c r="AA23" s="452">
        <f>INDEX('WBS Staffing1'!$B$7:$P$57,MATCH($D23,'WBS Staffing1'!$A$7:$A$57,0),MATCH(AB$11,'WBS Staffing1'!$B$6:$P$6,0))</f>
        <v>0</v>
      </c>
      <c r="AB23" s="453">
        <f t="shared" si="12"/>
        <v>0</v>
      </c>
      <c r="AC23" s="452">
        <f>INDEX('WBS Staffing1'!$B$7:$P$57,MATCH($D23,'WBS Staffing1'!$A$7:$A$57,0),MATCH(AD$11,'WBS Staffing1'!$B$6:$P$6,0))</f>
        <v>0</v>
      </c>
      <c r="AD23" s="453">
        <f t="shared" si="13"/>
        <v>0</v>
      </c>
      <c r="AE23" s="452">
        <f>INDEX('WBS Staffing1'!$B$7:$P$57,MATCH($D23,'WBS Staffing1'!$A$7:$A$57,0),MATCH(AF$11,'WBS Staffing1'!$B$6:$P$6,0))</f>
        <v>0</v>
      </c>
      <c r="AF23" s="453">
        <f t="shared" si="14"/>
        <v>0</v>
      </c>
      <c r="AG23" s="452">
        <f>INDEX('WBS Staffing1'!$B$7:$P$57,MATCH($D23,'WBS Staffing1'!$A$7:$A$57,0),MATCH(AH$11,'WBS Staffing1'!$B$6:$P$6,0))</f>
        <v>0</v>
      </c>
      <c r="AH23" s="411">
        <f t="shared" si="15"/>
        <v>0</v>
      </c>
      <c r="AJ23" s="444" t="str">
        <f t="shared" si="0"/>
        <v>0</v>
      </c>
    </row>
    <row r="24" spans="4:36">
      <c r="D24" s="28">
        <f t="shared" si="1"/>
        <v>9</v>
      </c>
      <c r="E24" s="454" t="str">
        <f t="shared" si="2"/>
        <v>Radio Technician</v>
      </c>
      <c r="F24" s="392">
        <f t="shared" si="3"/>
        <v>0</v>
      </c>
      <c r="G24" s="28" t="str">
        <f>VLOOKUP($D24,'WBS Staffing1'!$A$6:$P$57,4,FALSE)</f>
        <v>Govt</v>
      </c>
      <c r="H24" s="28"/>
      <c r="I24" s="28"/>
      <c r="J24" s="47"/>
      <c r="K24" s="49">
        <f t="shared" si="4"/>
        <v>0</v>
      </c>
      <c r="L24" s="455">
        <f t="shared" si="5"/>
        <v>0</v>
      </c>
      <c r="M24" s="452">
        <f t="shared" si="16"/>
        <v>0</v>
      </c>
      <c r="N24" s="453">
        <f t="shared" si="16"/>
        <v>0</v>
      </c>
      <c r="O24" s="452">
        <f>INDEX('WBS Staffing1'!$B$7:$P$57,MATCH($D24,'WBS Staffing1'!$A$7:$A$57,0),MATCH(P$11,'WBS Staffing1'!$B$6:$P$6,0))</f>
        <v>0</v>
      </c>
      <c r="P24" s="453">
        <f t="shared" si="6"/>
        <v>0</v>
      </c>
      <c r="Q24" s="452">
        <f>INDEX('WBS Staffing1'!$B$7:$P$57,MATCH($D24,'WBS Staffing1'!$A$7:$A$57,0),MATCH(R$11,'WBS Staffing1'!$B$6:$P$6,0))</f>
        <v>0</v>
      </c>
      <c r="R24" s="453">
        <f t="shared" si="7"/>
        <v>0</v>
      </c>
      <c r="S24" s="452">
        <f>INDEX('WBS Staffing1'!$B$7:$P$57,MATCH($D24,'WBS Staffing1'!$A$7:$A$57,0),MATCH(T$11,'WBS Staffing1'!$B$6:$P$6,0))</f>
        <v>0</v>
      </c>
      <c r="T24" s="453">
        <f t="shared" si="8"/>
        <v>0</v>
      </c>
      <c r="U24" s="452">
        <f>INDEX('WBS Staffing1'!$B$7:$P$57,MATCH($D24,'WBS Staffing1'!$A$7:$A$57,0),MATCH(V$11,'WBS Staffing1'!$B$6:$P$6,0))</f>
        <v>0</v>
      </c>
      <c r="V24" s="453">
        <f t="shared" si="9"/>
        <v>0</v>
      </c>
      <c r="W24" s="452">
        <f>INDEX('WBS Staffing1'!$B$7:$P$57,MATCH($D24,'WBS Staffing1'!$A$7:$A$57,0),MATCH(X$11,'WBS Staffing1'!$B$6:$P$6,0))</f>
        <v>0</v>
      </c>
      <c r="X24" s="453">
        <f t="shared" si="10"/>
        <v>0</v>
      </c>
      <c r="Y24" s="452">
        <f>INDEX('WBS Staffing1'!$B$7:$P$57,MATCH($D24,'WBS Staffing1'!$A$7:$A$57,0),MATCH(Z$11,'WBS Staffing1'!$B$6:$P$6,0))</f>
        <v>0</v>
      </c>
      <c r="Z24" s="453">
        <f t="shared" si="11"/>
        <v>0</v>
      </c>
      <c r="AA24" s="452">
        <f>INDEX('WBS Staffing1'!$B$7:$P$57,MATCH($D24,'WBS Staffing1'!$A$7:$A$57,0),MATCH(AB$11,'WBS Staffing1'!$B$6:$P$6,0))</f>
        <v>0</v>
      </c>
      <c r="AB24" s="453">
        <f t="shared" si="12"/>
        <v>0</v>
      </c>
      <c r="AC24" s="452">
        <f>INDEX('WBS Staffing1'!$B$7:$P$57,MATCH($D24,'WBS Staffing1'!$A$7:$A$57,0),MATCH(AD$11,'WBS Staffing1'!$B$6:$P$6,0))</f>
        <v>0</v>
      </c>
      <c r="AD24" s="453">
        <f t="shared" si="13"/>
        <v>0</v>
      </c>
      <c r="AE24" s="452">
        <f>INDEX('WBS Staffing1'!$B$7:$P$57,MATCH($D24,'WBS Staffing1'!$A$7:$A$57,0),MATCH(AF$11,'WBS Staffing1'!$B$6:$P$6,0))</f>
        <v>0</v>
      </c>
      <c r="AF24" s="453">
        <f t="shared" si="14"/>
        <v>0</v>
      </c>
      <c r="AG24" s="452">
        <f>INDEX('WBS Staffing1'!$B$7:$P$57,MATCH($D24,'WBS Staffing1'!$A$7:$A$57,0),MATCH(AH$11,'WBS Staffing1'!$B$6:$P$6,0))</f>
        <v>0</v>
      </c>
      <c r="AH24" s="411">
        <f t="shared" si="15"/>
        <v>0</v>
      </c>
      <c r="AJ24" s="444" t="str">
        <f t="shared" si="0"/>
        <v>0</v>
      </c>
    </row>
    <row r="25" spans="4:36">
      <c r="D25" s="28">
        <f t="shared" si="1"/>
        <v>10</v>
      </c>
      <c r="E25" s="454" t="str">
        <f t="shared" si="2"/>
        <v>Radio Technician</v>
      </c>
      <c r="F25" s="392">
        <f t="shared" si="3"/>
        <v>0</v>
      </c>
      <c r="G25" s="28" t="str">
        <f>VLOOKUP($D25,'WBS Staffing1'!$A$6:$P$57,4,FALSE)</f>
        <v>Govt</v>
      </c>
      <c r="H25" s="28"/>
      <c r="I25" s="28"/>
      <c r="J25" s="47"/>
      <c r="K25" s="49">
        <f t="shared" si="4"/>
        <v>0</v>
      </c>
      <c r="L25" s="455">
        <f t="shared" si="5"/>
        <v>0</v>
      </c>
      <c r="M25" s="452">
        <f t="shared" si="16"/>
        <v>0</v>
      </c>
      <c r="N25" s="453">
        <f t="shared" si="16"/>
        <v>0</v>
      </c>
      <c r="O25" s="452">
        <f>INDEX('WBS Staffing1'!$B$7:$P$57,MATCH($D25,'WBS Staffing1'!$A$7:$A$57,0),MATCH(P$11,'WBS Staffing1'!$B$6:$P$6,0))</f>
        <v>0</v>
      </c>
      <c r="P25" s="453">
        <f t="shared" si="6"/>
        <v>0</v>
      </c>
      <c r="Q25" s="452">
        <f>INDEX('WBS Staffing1'!$B$7:$P$57,MATCH($D25,'WBS Staffing1'!$A$7:$A$57,0),MATCH(R$11,'WBS Staffing1'!$B$6:$P$6,0))</f>
        <v>0</v>
      </c>
      <c r="R25" s="453">
        <f t="shared" si="7"/>
        <v>0</v>
      </c>
      <c r="S25" s="452">
        <f>INDEX('WBS Staffing1'!$B$7:$P$57,MATCH($D25,'WBS Staffing1'!$A$7:$A$57,0),MATCH(T$11,'WBS Staffing1'!$B$6:$P$6,0))</f>
        <v>0</v>
      </c>
      <c r="T25" s="453">
        <f t="shared" si="8"/>
        <v>0</v>
      </c>
      <c r="U25" s="452">
        <f>INDEX('WBS Staffing1'!$B$7:$P$57,MATCH($D25,'WBS Staffing1'!$A$7:$A$57,0),MATCH(V$11,'WBS Staffing1'!$B$6:$P$6,0))</f>
        <v>0</v>
      </c>
      <c r="V25" s="453">
        <f t="shared" si="9"/>
        <v>0</v>
      </c>
      <c r="W25" s="452">
        <f>INDEX('WBS Staffing1'!$B$7:$P$57,MATCH($D25,'WBS Staffing1'!$A$7:$A$57,0),MATCH(X$11,'WBS Staffing1'!$B$6:$P$6,0))</f>
        <v>0</v>
      </c>
      <c r="X25" s="453">
        <f t="shared" si="10"/>
        <v>0</v>
      </c>
      <c r="Y25" s="452">
        <f>INDEX('WBS Staffing1'!$B$7:$P$57,MATCH($D25,'WBS Staffing1'!$A$7:$A$57,0),MATCH(Z$11,'WBS Staffing1'!$B$6:$P$6,0))</f>
        <v>0</v>
      </c>
      <c r="Z25" s="453">
        <f t="shared" si="11"/>
        <v>0</v>
      </c>
      <c r="AA25" s="452">
        <f>INDEX('WBS Staffing1'!$B$7:$P$57,MATCH($D25,'WBS Staffing1'!$A$7:$A$57,0),MATCH(AB$11,'WBS Staffing1'!$B$6:$P$6,0))</f>
        <v>0</v>
      </c>
      <c r="AB25" s="453">
        <f t="shared" si="12"/>
        <v>0</v>
      </c>
      <c r="AC25" s="452">
        <f>INDEX('WBS Staffing1'!$B$7:$P$57,MATCH($D25,'WBS Staffing1'!$A$7:$A$57,0),MATCH(AD$11,'WBS Staffing1'!$B$6:$P$6,0))</f>
        <v>0</v>
      </c>
      <c r="AD25" s="453">
        <f t="shared" si="13"/>
        <v>0</v>
      </c>
      <c r="AE25" s="452">
        <f>INDEX('WBS Staffing1'!$B$7:$P$57,MATCH($D25,'WBS Staffing1'!$A$7:$A$57,0),MATCH(AF$11,'WBS Staffing1'!$B$6:$P$6,0))</f>
        <v>0</v>
      </c>
      <c r="AF25" s="453">
        <f t="shared" si="14"/>
        <v>0</v>
      </c>
      <c r="AG25" s="452">
        <f>INDEX('WBS Staffing1'!$B$7:$P$57,MATCH($D25,'WBS Staffing1'!$A$7:$A$57,0),MATCH(AH$11,'WBS Staffing1'!$B$6:$P$6,0))</f>
        <v>0</v>
      </c>
      <c r="AH25" s="411">
        <f t="shared" si="15"/>
        <v>0</v>
      </c>
      <c r="AJ25" s="444" t="str">
        <f t="shared" si="0"/>
        <v>0</v>
      </c>
    </row>
    <row r="26" spans="4:36">
      <c r="D26" s="28">
        <f t="shared" ref="D26:D35" si="17">D25+1</f>
        <v>11</v>
      </c>
      <c r="E26" s="454" t="str">
        <f t="shared" si="2"/>
        <v>Network Administrator</v>
      </c>
      <c r="F26" s="392">
        <f t="shared" si="3"/>
        <v>0</v>
      </c>
      <c r="G26" s="28" t="str">
        <f>VLOOKUP($D26,'WBS Staffing1'!$A$6:$P$57,4,FALSE)</f>
        <v>Govt</v>
      </c>
      <c r="H26" s="28"/>
      <c r="I26" s="28"/>
      <c r="J26" s="47"/>
      <c r="K26" s="49">
        <f t="shared" si="4"/>
        <v>27.5</v>
      </c>
      <c r="L26" s="455">
        <f t="shared" si="5"/>
        <v>28.18</v>
      </c>
      <c r="M26" s="452">
        <f t="shared" si="16"/>
        <v>0</v>
      </c>
      <c r="N26" s="453">
        <f t="shared" si="16"/>
        <v>0</v>
      </c>
      <c r="O26" s="452">
        <f>INDEX('WBS Staffing1'!$B$7:$P$57,MATCH($D26,'WBS Staffing1'!$A$7:$A$57,0),MATCH(P$11,'WBS Staffing1'!$B$6:$P$6,0))</f>
        <v>0</v>
      </c>
      <c r="P26" s="453">
        <f t="shared" si="6"/>
        <v>0</v>
      </c>
      <c r="Q26" s="452">
        <f>INDEX('WBS Staffing1'!$B$7:$P$57,MATCH($D26,'WBS Staffing1'!$A$7:$A$57,0),MATCH(R$11,'WBS Staffing1'!$B$6:$P$6,0))</f>
        <v>0</v>
      </c>
      <c r="R26" s="453">
        <f t="shared" si="7"/>
        <v>0</v>
      </c>
      <c r="S26" s="452">
        <f>INDEX('WBS Staffing1'!$B$7:$P$57,MATCH($D26,'WBS Staffing1'!$A$7:$A$57,0),MATCH(T$11,'WBS Staffing1'!$B$6:$P$6,0))</f>
        <v>0</v>
      </c>
      <c r="T26" s="453">
        <f t="shared" si="8"/>
        <v>0</v>
      </c>
      <c r="U26" s="452">
        <f>INDEX('WBS Staffing1'!$B$7:$P$57,MATCH($D26,'WBS Staffing1'!$A$7:$A$57,0),MATCH(V$11,'WBS Staffing1'!$B$6:$P$6,0))</f>
        <v>0</v>
      </c>
      <c r="V26" s="453">
        <f t="shared" si="9"/>
        <v>0</v>
      </c>
      <c r="W26" s="452">
        <f>INDEX('WBS Staffing1'!$B$7:$P$57,MATCH($D26,'WBS Staffing1'!$A$7:$A$57,0),MATCH(X$11,'WBS Staffing1'!$B$6:$P$6,0))</f>
        <v>0</v>
      </c>
      <c r="X26" s="453">
        <f t="shared" si="10"/>
        <v>0</v>
      </c>
      <c r="Y26" s="452">
        <f>INDEX('WBS Staffing1'!$B$7:$P$57,MATCH($D26,'WBS Staffing1'!$A$7:$A$57,0),MATCH(Z$11,'WBS Staffing1'!$B$6:$P$6,0))</f>
        <v>0</v>
      </c>
      <c r="Z26" s="453">
        <f t="shared" si="11"/>
        <v>0</v>
      </c>
      <c r="AA26" s="452">
        <f>INDEX('WBS Staffing1'!$B$7:$P$57,MATCH($D26,'WBS Staffing1'!$A$7:$A$57,0),MATCH(AB$11,'WBS Staffing1'!$B$6:$P$6,0))</f>
        <v>0</v>
      </c>
      <c r="AB26" s="453">
        <f t="shared" si="12"/>
        <v>0</v>
      </c>
      <c r="AC26" s="452">
        <f>INDEX('WBS Staffing1'!$B$7:$P$57,MATCH($D26,'WBS Staffing1'!$A$7:$A$57,0),MATCH(AD$11,'WBS Staffing1'!$B$6:$P$6,0))</f>
        <v>0</v>
      </c>
      <c r="AD26" s="453">
        <f t="shared" si="13"/>
        <v>0</v>
      </c>
      <c r="AE26" s="452">
        <f>INDEX('WBS Staffing1'!$B$7:$P$57,MATCH($D26,'WBS Staffing1'!$A$7:$A$57,0),MATCH(AF$11,'WBS Staffing1'!$B$6:$P$6,0))</f>
        <v>0</v>
      </c>
      <c r="AF26" s="453">
        <f t="shared" si="14"/>
        <v>0</v>
      </c>
      <c r="AG26" s="452">
        <f>INDEX('WBS Staffing1'!$B$7:$P$57,MATCH($D26,'WBS Staffing1'!$A$7:$A$57,0),MATCH(AH$11,'WBS Staffing1'!$B$6:$P$6,0))</f>
        <v>0</v>
      </c>
      <c r="AH26" s="411">
        <f t="shared" si="15"/>
        <v>0</v>
      </c>
      <c r="AJ26" s="444" t="str">
        <f t="shared" ref="AJ26:AJ35" si="18">IF((OR((N26=""),(N26&gt;0))),"1","0")</f>
        <v>0</v>
      </c>
    </row>
    <row r="27" spans="4:36">
      <c r="D27" s="28">
        <f t="shared" si="17"/>
        <v>12</v>
      </c>
      <c r="E27" s="454" t="str">
        <f t="shared" si="2"/>
        <v>System Administrator</v>
      </c>
      <c r="F27" s="392">
        <f t="shared" si="3"/>
        <v>0</v>
      </c>
      <c r="G27" s="28" t="str">
        <f>VLOOKUP($D27,'WBS Staffing1'!$A$6:$P$57,4,FALSE)</f>
        <v>Govt</v>
      </c>
      <c r="H27" s="28"/>
      <c r="I27" s="28"/>
      <c r="J27" s="47"/>
      <c r="K27" s="49">
        <f t="shared" si="4"/>
        <v>28</v>
      </c>
      <c r="L27" s="455">
        <f t="shared" si="5"/>
        <v>28.69</v>
      </c>
      <c r="M27" s="452">
        <f t="shared" si="16"/>
        <v>0</v>
      </c>
      <c r="N27" s="453">
        <f t="shared" si="16"/>
        <v>0</v>
      </c>
      <c r="O27" s="452">
        <f>INDEX('WBS Staffing1'!$B$7:$P$57,MATCH($D27,'WBS Staffing1'!$A$7:$A$57,0),MATCH(P$11,'WBS Staffing1'!$B$6:$P$6,0))</f>
        <v>0</v>
      </c>
      <c r="P27" s="453">
        <f t="shared" si="6"/>
        <v>0</v>
      </c>
      <c r="Q27" s="452">
        <f>INDEX('WBS Staffing1'!$B$7:$P$57,MATCH($D27,'WBS Staffing1'!$A$7:$A$57,0),MATCH(R$11,'WBS Staffing1'!$B$6:$P$6,0))</f>
        <v>0</v>
      </c>
      <c r="R27" s="453">
        <f t="shared" si="7"/>
        <v>0</v>
      </c>
      <c r="S27" s="452">
        <f>INDEX('WBS Staffing1'!$B$7:$P$57,MATCH($D27,'WBS Staffing1'!$A$7:$A$57,0),MATCH(T$11,'WBS Staffing1'!$B$6:$P$6,0))</f>
        <v>0</v>
      </c>
      <c r="T27" s="453">
        <f t="shared" si="8"/>
        <v>0</v>
      </c>
      <c r="U27" s="452">
        <f>INDEX('WBS Staffing1'!$B$7:$P$57,MATCH($D27,'WBS Staffing1'!$A$7:$A$57,0),MATCH(V$11,'WBS Staffing1'!$B$6:$P$6,0))</f>
        <v>0</v>
      </c>
      <c r="V27" s="453">
        <f t="shared" si="9"/>
        <v>0</v>
      </c>
      <c r="W27" s="452">
        <f>INDEX('WBS Staffing1'!$B$7:$P$57,MATCH($D27,'WBS Staffing1'!$A$7:$A$57,0),MATCH(X$11,'WBS Staffing1'!$B$6:$P$6,0))</f>
        <v>0</v>
      </c>
      <c r="X27" s="453">
        <f t="shared" si="10"/>
        <v>0</v>
      </c>
      <c r="Y27" s="452">
        <f>INDEX('WBS Staffing1'!$B$7:$P$57,MATCH($D27,'WBS Staffing1'!$A$7:$A$57,0),MATCH(Z$11,'WBS Staffing1'!$B$6:$P$6,0))</f>
        <v>0</v>
      </c>
      <c r="Z27" s="453">
        <f t="shared" si="11"/>
        <v>0</v>
      </c>
      <c r="AA27" s="452">
        <f>INDEX('WBS Staffing1'!$B$7:$P$57,MATCH($D27,'WBS Staffing1'!$A$7:$A$57,0),MATCH(AB$11,'WBS Staffing1'!$B$6:$P$6,0))</f>
        <v>0</v>
      </c>
      <c r="AB27" s="453">
        <f t="shared" si="12"/>
        <v>0</v>
      </c>
      <c r="AC27" s="452">
        <f>INDEX('WBS Staffing1'!$B$7:$P$57,MATCH($D27,'WBS Staffing1'!$A$7:$A$57,0),MATCH(AD$11,'WBS Staffing1'!$B$6:$P$6,0))</f>
        <v>0</v>
      </c>
      <c r="AD27" s="453">
        <f t="shared" si="13"/>
        <v>0</v>
      </c>
      <c r="AE27" s="452">
        <f>INDEX('WBS Staffing1'!$B$7:$P$57,MATCH($D27,'WBS Staffing1'!$A$7:$A$57,0),MATCH(AF$11,'WBS Staffing1'!$B$6:$P$6,0))</f>
        <v>0</v>
      </c>
      <c r="AF27" s="453">
        <f t="shared" si="14"/>
        <v>0</v>
      </c>
      <c r="AG27" s="452">
        <f>INDEX('WBS Staffing1'!$B$7:$P$57,MATCH($D27,'WBS Staffing1'!$A$7:$A$57,0),MATCH(AH$11,'WBS Staffing1'!$B$6:$P$6,0))</f>
        <v>0</v>
      </c>
      <c r="AH27" s="411">
        <f t="shared" si="15"/>
        <v>0</v>
      </c>
      <c r="AJ27" s="444" t="str">
        <f t="shared" si="18"/>
        <v>0</v>
      </c>
    </row>
    <row r="28" spans="4:36">
      <c r="D28" s="28">
        <f t="shared" si="17"/>
        <v>13</v>
      </c>
      <c r="E28" s="454" t="str">
        <f t="shared" si="2"/>
        <v>Configuration Manager</v>
      </c>
      <c r="F28" s="392">
        <f t="shared" si="3"/>
        <v>0</v>
      </c>
      <c r="G28" s="28" t="str">
        <f>VLOOKUP($D28,'WBS Staffing1'!$A$6:$P$57,4,FALSE)</f>
        <v>Govt</v>
      </c>
      <c r="H28" s="28"/>
      <c r="I28" s="28"/>
      <c r="J28" s="47"/>
      <c r="K28" s="49">
        <f t="shared" si="4"/>
        <v>26</v>
      </c>
      <c r="L28" s="455">
        <f t="shared" si="5"/>
        <v>26.64</v>
      </c>
      <c r="M28" s="452">
        <f t="shared" si="16"/>
        <v>0</v>
      </c>
      <c r="N28" s="453">
        <f t="shared" si="16"/>
        <v>0</v>
      </c>
      <c r="O28" s="452">
        <f>INDEX('WBS Staffing1'!$B$7:$P$57,MATCH($D28,'WBS Staffing1'!$A$7:$A$57,0),MATCH(P$11,'WBS Staffing1'!$B$6:$P$6,0))</f>
        <v>0</v>
      </c>
      <c r="P28" s="453">
        <f t="shared" si="6"/>
        <v>0</v>
      </c>
      <c r="Q28" s="452">
        <f>INDEX('WBS Staffing1'!$B$7:$P$57,MATCH($D28,'WBS Staffing1'!$A$7:$A$57,0),MATCH(R$11,'WBS Staffing1'!$B$6:$P$6,0))</f>
        <v>0</v>
      </c>
      <c r="R28" s="453">
        <f t="shared" si="7"/>
        <v>0</v>
      </c>
      <c r="S28" s="452">
        <f>INDEX('WBS Staffing1'!$B$7:$P$57,MATCH($D28,'WBS Staffing1'!$A$7:$A$57,0),MATCH(T$11,'WBS Staffing1'!$B$6:$P$6,0))</f>
        <v>0</v>
      </c>
      <c r="T28" s="453">
        <f t="shared" si="8"/>
        <v>0</v>
      </c>
      <c r="U28" s="452">
        <f>INDEX('WBS Staffing1'!$B$7:$P$57,MATCH($D28,'WBS Staffing1'!$A$7:$A$57,0),MATCH(V$11,'WBS Staffing1'!$B$6:$P$6,0))</f>
        <v>0</v>
      </c>
      <c r="V28" s="453">
        <f t="shared" si="9"/>
        <v>0</v>
      </c>
      <c r="W28" s="452">
        <f>INDEX('WBS Staffing1'!$B$7:$P$57,MATCH($D28,'WBS Staffing1'!$A$7:$A$57,0),MATCH(X$11,'WBS Staffing1'!$B$6:$P$6,0))</f>
        <v>0</v>
      </c>
      <c r="X28" s="453">
        <f t="shared" si="10"/>
        <v>0</v>
      </c>
      <c r="Y28" s="452">
        <f>INDEX('WBS Staffing1'!$B$7:$P$57,MATCH($D28,'WBS Staffing1'!$A$7:$A$57,0),MATCH(Z$11,'WBS Staffing1'!$B$6:$P$6,0))</f>
        <v>0</v>
      </c>
      <c r="Z28" s="453">
        <f t="shared" si="11"/>
        <v>0</v>
      </c>
      <c r="AA28" s="452">
        <f>INDEX('WBS Staffing1'!$B$7:$P$57,MATCH($D28,'WBS Staffing1'!$A$7:$A$57,0),MATCH(AB$11,'WBS Staffing1'!$B$6:$P$6,0))</f>
        <v>0</v>
      </c>
      <c r="AB28" s="453">
        <f t="shared" si="12"/>
        <v>0</v>
      </c>
      <c r="AC28" s="452">
        <f>INDEX('WBS Staffing1'!$B$7:$P$57,MATCH($D28,'WBS Staffing1'!$A$7:$A$57,0),MATCH(AD$11,'WBS Staffing1'!$B$6:$P$6,0))</f>
        <v>0</v>
      </c>
      <c r="AD28" s="453">
        <f t="shared" si="13"/>
        <v>0</v>
      </c>
      <c r="AE28" s="452">
        <f>INDEX('WBS Staffing1'!$B$7:$P$57,MATCH($D28,'WBS Staffing1'!$A$7:$A$57,0),MATCH(AF$11,'WBS Staffing1'!$B$6:$P$6,0))</f>
        <v>0</v>
      </c>
      <c r="AF28" s="453">
        <f t="shared" si="14"/>
        <v>0</v>
      </c>
      <c r="AG28" s="452">
        <f>INDEX('WBS Staffing1'!$B$7:$P$57,MATCH($D28,'WBS Staffing1'!$A$7:$A$57,0),MATCH(AH$11,'WBS Staffing1'!$B$6:$P$6,0))</f>
        <v>0</v>
      </c>
      <c r="AH28" s="411">
        <f t="shared" si="15"/>
        <v>0</v>
      </c>
      <c r="AJ28" s="444" t="str">
        <f t="shared" si="18"/>
        <v>0</v>
      </c>
    </row>
    <row r="29" spans="4:36">
      <c r="D29" s="28">
        <f t="shared" si="17"/>
        <v>14</v>
      </c>
      <c r="E29" s="454" t="str">
        <f t="shared" si="2"/>
        <v>Hardware Technician</v>
      </c>
      <c r="F29" s="392">
        <f t="shared" si="3"/>
        <v>0</v>
      </c>
      <c r="G29" s="28" t="str">
        <f>VLOOKUP($D29,'WBS Staffing1'!$A$6:$P$57,4,FALSE)</f>
        <v>Govt</v>
      </c>
      <c r="H29" s="28"/>
      <c r="I29" s="28"/>
      <c r="J29" s="47"/>
      <c r="K29" s="49">
        <f t="shared" si="4"/>
        <v>26</v>
      </c>
      <c r="L29" s="455">
        <f t="shared" si="5"/>
        <v>26.64</v>
      </c>
      <c r="M29" s="452">
        <f t="shared" si="16"/>
        <v>0</v>
      </c>
      <c r="N29" s="453">
        <f t="shared" si="16"/>
        <v>0</v>
      </c>
      <c r="O29" s="452">
        <f>INDEX('WBS Staffing1'!$B$7:$P$57,MATCH($D29,'WBS Staffing1'!$A$7:$A$57,0),MATCH(P$11,'WBS Staffing1'!$B$6:$P$6,0))</f>
        <v>0</v>
      </c>
      <c r="P29" s="453">
        <f t="shared" si="6"/>
        <v>0</v>
      </c>
      <c r="Q29" s="452">
        <f>INDEX('WBS Staffing1'!$B$7:$P$57,MATCH($D29,'WBS Staffing1'!$A$7:$A$57,0),MATCH(R$11,'WBS Staffing1'!$B$6:$P$6,0))</f>
        <v>0</v>
      </c>
      <c r="R29" s="453">
        <f t="shared" si="7"/>
        <v>0</v>
      </c>
      <c r="S29" s="452">
        <f>INDEX('WBS Staffing1'!$B$7:$P$57,MATCH($D29,'WBS Staffing1'!$A$7:$A$57,0),MATCH(T$11,'WBS Staffing1'!$B$6:$P$6,0))</f>
        <v>0</v>
      </c>
      <c r="T29" s="453">
        <f t="shared" si="8"/>
        <v>0</v>
      </c>
      <c r="U29" s="452">
        <f>INDEX('WBS Staffing1'!$B$7:$P$57,MATCH($D29,'WBS Staffing1'!$A$7:$A$57,0),MATCH(V$11,'WBS Staffing1'!$B$6:$P$6,0))</f>
        <v>0</v>
      </c>
      <c r="V29" s="453">
        <f t="shared" si="9"/>
        <v>0</v>
      </c>
      <c r="W29" s="452">
        <f>INDEX('WBS Staffing1'!$B$7:$P$57,MATCH($D29,'WBS Staffing1'!$A$7:$A$57,0),MATCH(X$11,'WBS Staffing1'!$B$6:$P$6,0))</f>
        <v>0</v>
      </c>
      <c r="X29" s="453">
        <f t="shared" si="10"/>
        <v>0</v>
      </c>
      <c r="Y29" s="452">
        <f>INDEX('WBS Staffing1'!$B$7:$P$57,MATCH($D29,'WBS Staffing1'!$A$7:$A$57,0),MATCH(Z$11,'WBS Staffing1'!$B$6:$P$6,0))</f>
        <v>0</v>
      </c>
      <c r="Z29" s="453">
        <f t="shared" si="11"/>
        <v>0</v>
      </c>
      <c r="AA29" s="452">
        <f>INDEX('WBS Staffing1'!$B$7:$P$57,MATCH($D29,'WBS Staffing1'!$A$7:$A$57,0),MATCH(AB$11,'WBS Staffing1'!$B$6:$P$6,0))</f>
        <v>0</v>
      </c>
      <c r="AB29" s="453">
        <f t="shared" si="12"/>
        <v>0</v>
      </c>
      <c r="AC29" s="452">
        <f>INDEX('WBS Staffing1'!$B$7:$P$57,MATCH($D29,'WBS Staffing1'!$A$7:$A$57,0),MATCH(AD$11,'WBS Staffing1'!$B$6:$P$6,0))</f>
        <v>0</v>
      </c>
      <c r="AD29" s="453">
        <f t="shared" si="13"/>
        <v>0</v>
      </c>
      <c r="AE29" s="452">
        <f>INDEX('WBS Staffing1'!$B$7:$P$57,MATCH($D29,'WBS Staffing1'!$A$7:$A$57,0),MATCH(AF$11,'WBS Staffing1'!$B$6:$P$6,0))</f>
        <v>0</v>
      </c>
      <c r="AF29" s="453">
        <f t="shared" si="14"/>
        <v>0</v>
      </c>
      <c r="AG29" s="452">
        <f>INDEX('WBS Staffing1'!$B$7:$P$57,MATCH($D29,'WBS Staffing1'!$A$7:$A$57,0),MATCH(AH$11,'WBS Staffing1'!$B$6:$P$6,0))</f>
        <v>0</v>
      </c>
      <c r="AH29" s="411">
        <f t="shared" si="15"/>
        <v>0</v>
      </c>
      <c r="AJ29" s="444" t="str">
        <f t="shared" si="18"/>
        <v>0</v>
      </c>
    </row>
    <row r="30" spans="4:36">
      <c r="D30" s="28">
        <f t="shared" si="17"/>
        <v>15</v>
      </c>
      <c r="E30" s="454" t="str">
        <f t="shared" si="2"/>
        <v>Repair/Exchange Specialist</v>
      </c>
      <c r="F30" s="392">
        <f t="shared" si="3"/>
        <v>0</v>
      </c>
      <c r="G30" s="28" t="str">
        <f>VLOOKUP($D30,'WBS Staffing1'!$A$6:$P$57,4,FALSE)</f>
        <v>Govt</v>
      </c>
      <c r="H30" s="28"/>
      <c r="I30" s="28"/>
      <c r="J30" s="47"/>
      <c r="K30" s="49">
        <f t="shared" si="4"/>
        <v>25</v>
      </c>
      <c r="L30" s="455">
        <f t="shared" si="5"/>
        <v>25.62</v>
      </c>
      <c r="M30" s="452">
        <f t="shared" si="16"/>
        <v>0</v>
      </c>
      <c r="N30" s="453">
        <f t="shared" si="16"/>
        <v>0</v>
      </c>
      <c r="O30" s="452">
        <f>INDEX('WBS Staffing1'!$B$7:$P$57,MATCH($D30,'WBS Staffing1'!$A$7:$A$57,0),MATCH(P$11,'WBS Staffing1'!$B$6:$P$6,0))</f>
        <v>0</v>
      </c>
      <c r="P30" s="453">
        <f t="shared" si="6"/>
        <v>0</v>
      </c>
      <c r="Q30" s="452">
        <f>INDEX('WBS Staffing1'!$B$7:$P$57,MATCH($D30,'WBS Staffing1'!$A$7:$A$57,0),MATCH(R$11,'WBS Staffing1'!$B$6:$P$6,0))</f>
        <v>0</v>
      </c>
      <c r="R30" s="453">
        <f t="shared" si="7"/>
        <v>0</v>
      </c>
      <c r="S30" s="452">
        <f>INDEX('WBS Staffing1'!$B$7:$P$57,MATCH($D30,'WBS Staffing1'!$A$7:$A$57,0),MATCH(T$11,'WBS Staffing1'!$B$6:$P$6,0))</f>
        <v>0</v>
      </c>
      <c r="T30" s="453">
        <f t="shared" si="8"/>
        <v>0</v>
      </c>
      <c r="U30" s="452">
        <f>INDEX('WBS Staffing1'!$B$7:$P$57,MATCH($D30,'WBS Staffing1'!$A$7:$A$57,0),MATCH(V$11,'WBS Staffing1'!$B$6:$P$6,0))</f>
        <v>0</v>
      </c>
      <c r="V30" s="453">
        <f t="shared" si="9"/>
        <v>0</v>
      </c>
      <c r="W30" s="452">
        <f>INDEX('WBS Staffing1'!$B$7:$P$57,MATCH($D30,'WBS Staffing1'!$A$7:$A$57,0),MATCH(X$11,'WBS Staffing1'!$B$6:$P$6,0))</f>
        <v>0</v>
      </c>
      <c r="X30" s="453">
        <f t="shared" si="10"/>
        <v>0</v>
      </c>
      <c r="Y30" s="452">
        <f>INDEX('WBS Staffing1'!$B$7:$P$57,MATCH($D30,'WBS Staffing1'!$A$7:$A$57,0),MATCH(Z$11,'WBS Staffing1'!$B$6:$P$6,0))</f>
        <v>0</v>
      </c>
      <c r="Z30" s="453">
        <f t="shared" si="11"/>
        <v>0</v>
      </c>
      <c r="AA30" s="452">
        <f>INDEX('WBS Staffing1'!$B$7:$P$57,MATCH($D30,'WBS Staffing1'!$A$7:$A$57,0),MATCH(AB$11,'WBS Staffing1'!$B$6:$P$6,0))</f>
        <v>0</v>
      </c>
      <c r="AB30" s="453">
        <f t="shared" si="12"/>
        <v>0</v>
      </c>
      <c r="AC30" s="452">
        <f>INDEX('WBS Staffing1'!$B$7:$P$57,MATCH($D30,'WBS Staffing1'!$A$7:$A$57,0),MATCH(AD$11,'WBS Staffing1'!$B$6:$P$6,0))</f>
        <v>0</v>
      </c>
      <c r="AD30" s="453">
        <f t="shared" si="13"/>
        <v>0</v>
      </c>
      <c r="AE30" s="452">
        <f>INDEX('WBS Staffing1'!$B$7:$P$57,MATCH($D30,'WBS Staffing1'!$A$7:$A$57,0),MATCH(AF$11,'WBS Staffing1'!$B$6:$P$6,0))</f>
        <v>0</v>
      </c>
      <c r="AF30" s="453">
        <f t="shared" si="14"/>
        <v>0</v>
      </c>
      <c r="AG30" s="452">
        <f>INDEX('WBS Staffing1'!$B$7:$P$57,MATCH($D30,'WBS Staffing1'!$A$7:$A$57,0),MATCH(AH$11,'WBS Staffing1'!$B$6:$P$6,0))</f>
        <v>0</v>
      </c>
      <c r="AH30" s="411">
        <f t="shared" si="15"/>
        <v>0</v>
      </c>
      <c r="AJ30" s="444" t="str">
        <f t="shared" si="18"/>
        <v>0</v>
      </c>
    </row>
    <row r="31" spans="4:36">
      <c r="D31" s="28">
        <f t="shared" si="17"/>
        <v>16</v>
      </c>
      <c r="E31" s="454" t="str">
        <f t="shared" si="2"/>
        <v>PMO Cost</v>
      </c>
      <c r="F31" s="392" t="str">
        <f t="shared" si="3"/>
        <v>Martin,Lindy E</v>
      </c>
      <c r="G31" s="28" t="str">
        <f>VLOOKUP($D31,'WBS Staffing1'!$A$6:$P$57,4,FALSE)</f>
        <v>Govt</v>
      </c>
      <c r="H31" s="28"/>
      <c r="I31" s="28"/>
      <c r="J31" s="47"/>
      <c r="K31" s="49">
        <f t="shared" si="4"/>
        <v>108.5</v>
      </c>
      <c r="L31" s="455">
        <f t="shared" si="5"/>
        <v>111.19</v>
      </c>
      <c r="M31" s="452">
        <f t="shared" si="16"/>
        <v>0</v>
      </c>
      <c r="N31" s="453">
        <f t="shared" si="16"/>
        <v>0</v>
      </c>
      <c r="O31" s="452">
        <f>INDEX('WBS Staffing1'!$B$7:$P$57,MATCH($D31,'WBS Staffing1'!$A$7:$A$57,0),MATCH(P$11,'WBS Staffing1'!$B$6:$P$6,0))</f>
        <v>0</v>
      </c>
      <c r="P31" s="453">
        <f t="shared" si="6"/>
        <v>0</v>
      </c>
      <c r="Q31" s="452">
        <f>INDEX('WBS Staffing1'!$B$7:$P$57,MATCH($D31,'WBS Staffing1'!$A$7:$A$57,0),MATCH(R$11,'WBS Staffing1'!$B$6:$P$6,0))</f>
        <v>0</v>
      </c>
      <c r="R31" s="453">
        <f t="shared" si="7"/>
        <v>0</v>
      </c>
      <c r="S31" s="452">
        <f>INDEX('WBS Staffing1'!$B$7:$P$57,MATCH($D31,'WBS Staffing1'!$A$7:$A$57,0),MATCH(T$11,'WBS Staffing1'!$B$6:$P$6,0))</f>
        <v>0</v>
      </c>
      <c r="T31" s="453">
        <f t="shared" si="8"/>
        <v>0</v>
      </c>
      <c r="U31" s="452">
        <f>INDEX('WBS Staffing1'!$B$7:$P$57,MATCH($D31,'WBS Staffing1'!$A$7:$A$57,0),MATCH(V$11,'WBS Staffing1'!$B$6:$P$6,0))</f>
        <v>0</v>
      </c>
      <c r="V31" s="453">
        <f t="shared" si="9"/>
        <v>0</v>
      </c>
      <c r="W31" s="452">
        <f>INDEX('WBS Staffing1'!$B$7:$P$57,MATCH($D31,'WBS Staffing1'!$A$7:$A$57,0),MATCH(X$11,'WBS Staffing1'!$B$6:$P$6,0))</f>
        <v>0</v>
      </c>
      <c r="X31" s="453">
        <f t="shared" si="10"/>
        <v>0</v>
      </c>
      <c r="Y31" s="452">
        <f>INDEX('WBS Staffing1'!$B$7:$P$57,MATCH($D31,'WBS Staffing1'!$A$7:$A$57,0),MATCH(Z$11,'WBS Staffing1'!$B$6:$P$6,0))</f>
        <v>0</v>
      </c>
      <c r="Z31" s="453">
        <f t="shared" si="11"/>
        <v>0</v>
      </c>
      <c r="AA31" s="452">
        <f>INDEX('WBS Staffing1'!$B$7:$P$57,MATCH($D31,'WBS Staffing1'!$A$7:$A$57,0),MATCH(AB$11,'WBS Staffing1'!$B$6:$P$6,0))</f>
        <v>0</v>
      </c>
      <c r="AB31" s="453">
        <f t="shared" si="12"/>
        <v>0</v>
      </c>
      <c r="AC31" s="452">
        <f>INDEX('WBS Staffing1'!$B$7:$P$57,MATCH($D31,'WBS Staffing1'!$A$7:$A$57,0),MATCH(AD$11,'WBS Staffing1'!$B$6:$P$6,0))</f>
        <v>0</v>
      </c>
      <c r="AD31" s="453">
        <f t="shared" si="13"/>
        <v>0</v>
      </c>
      <c r="AE31" s="452">
        <f>INDEX('WBS Staffing1'!$B$7:$P$57,MATCH($D31,'WBS Staffing1'!$A$7:$A$57,0),MATCH(AF$11,'WBS Staffing1'!$B$6:$P$6,0))</f>
        <v>0</v>
      </c>
      <c r="AF31" s="453">
        <f t="shared" si="14"/>
        <v>0</v>
      </c>
      <c r="AG31" s="452">
        <f>INDEX('WBS Staffing1'!$B$7:$P$57,MATCH($D31,'WBS Staffing1'!$A$7:$A$57,0),MATCH(AH$11,'WBS Staffing1'!$B$6:$P$6,0))</f>
        <v>0</v>
      </c>
      <c r="AH31" s="411">
        <f t="shared" si="15"/>
        <v>0</v>
      </c>
      <c r="AJ31" s="444" t="str">
        <f t="shared" si="18"/>
        <v>0</v>
      </c>
    </row>
    <row r="32" spans="4:36">
      <c r="D32" s="28">
        <f t="shared" si="17"/>
        <v>17</v>
      </c>
      <c r="E32" s="454" t="str">
        <f t="shared" si="2"/>
        <v>Project Controller Cost</v>
      </c>
      <c r="F32" s="392">
        <f t="shared" si="3"/>
        <v>0</v>
      </c>
      <c r="G32" s="28" t="str">
        <f>VLOOKUP($D32,'WBS Staffing1'!$A$6:$P$57,4,FALSE)</f>
        <v>Govt</v>
      </c>
      <c r="H32" s="28"/>
      <c r="I32" s="28"/>
      <c r="J32" s="47"/>
      <c r="K32" s="49">
        <f t="shared" si="4"/>
        <v>0</v>
      </c>
      <c r="L32" s="455">
        <f t="shared" si="5"/>
        <v>0</v>
      </c>
      <c r="M32" s="452">
        <f t="shared" si="16"/>
        <v>0</v>
      </c>
      <c r="N32" s="453">
        <f t="shared" si="16"/>
        <v>0</v>
      </c>
      <c r="O32" s="452">
        <f>INDEX('WBS Staffing1'!$B$7:$P$57,MATCH($D32,'WBS Staffing1'!$A$7:$A$57,0),MATCH(P$11,'WBS Staffing1'!$B$6:$P$6,0))</f>
        <v>0</v>
      </c>
      <c r="P32" s="453">
        <f t="shared" si="6"/>
        <v>0</v>
      </c>
      <c r="Q32" s="452">
        <f>INDEX('WBS Staffing1'!$B$7:$P$57,MATCH($D32,'WBS Staffing1'!$A$7:$A$57,0),MATCH(R$11,'WBS Staffing1'!$B$6:$P$6,0))</f>
        <v>0</v>
      </c>
      <c r="R32" s="453">
        <f t="shared" si="7"/>
        <v>0</v>
      </c>
      <c r="S32" s="452">
        <f>INDEX('WBS Staffing1'!$B$7:$P$57,MATCH($D32,'WBS Staffing1'!$A$7:$A$57,0),MATCH(T$11,'WBS Staffing1'!$B$6:$P$6,0))</f>
        <v>0</v>
      </c>
      <c r="T32" s="453">
        <f t="shared" si="8"/>
        <v>0</v>
      </c>
      <c r="U32" s="452">
        <f>INDEX('WBS Staffing1'!$B$7:$P$57,MATCH($D32,'WBS Staffing1'!$A$7:$A$57,0),MATCH(V$11,'WBS Staffing1'!$B$6:$P$6,0))</f>
        <v>0</v>
      </c>
      <c r="V32" s="453">
        <f t="shared" si="9"/>
        <v>0</v>
      </c>
      <c r="W32" s="452">
        <f>INDEX('WBS Staffing1'!$B$7:$P$57,MATCH($D32,'WBS Staffing1'!$A$7:$A$57,0),MATCH(X$11,'WBS Staffing1'!$B$6:$P$6,0))</f>
        <v>0</v>
      </c>
      <c r="X32" s="453">
        <f t="shared" si="10"/>
        <v>0</v>
      </c>
      <c r="Y32" s="452">
        <f>INDEX('WBS Staffing1'!$B$7:$P$57,MATCH($D32,'WBS Staffing1'!$A$7:$A$57,0),MATCH(Z$11,'WBS Staffing1'!$B$6:$P$6,0))</f>
        <v>0</v>
      </c>
      <c r="Z32" s="453">
        <f t="shared" si="11"/>
        <v>0</v>
      </c>
      <c r="AA32" s="452">
        <f>INDEX('WBS Staffing1'!$B$7:$P$57,MATCH($D32,'WBS Staffing1'!$A$7:$A$57,0),MATCH(AB$11,'WBS Staffing1'!$B$6:$P$6,0))</f>
        <v>0</v>
      </c>
      <c r="AB32" s="453">
        <f t="shared" si="12"/>
        <v>0</v>
      </c>
      <c r="AC32" s="452">
        <f>INDEX('WBS Staffing1'!$B$7:$P$57,MATCH($D32,'WBS Staffing1'!$A$7:$A$57,0),MATCH(AD$11,'WBS Staffing1'!$B$6:$P$6,0))</f>
        <v>0</v>
      </c>
      <c r="AD32" s="453">
        <f t="shared" si="13"/>
        <v>0</v>
      </c>
      <c r="AE32" s="452">
        <f>INDEX('WBS Staffing1'!$B$7:$P$57,MATCH($D32,'WBS Staffing1'!$A$7:$A$57,0),MATCH(AF$11,'WBS Staffing1'!$B$6:$P$6,0))</f>
        <v>0</v>
      </c>
      <c r="AF32" s="453">
        <f t="shared" si="14"/>
        <v>0</v>
      </c>
      <c r="AG32" s="452">
        <f>INDEX('WBS Staffing1'!$B$7:$P$57,MATCH($D32,'WBS Staffing1'!$A$7:$A$57,0),MATCH(AH$11,'WBS Staffing1'!$B$6:$P$6,0))</f>
        <v>0</v>
      </c>
      <c r="AH32" s="411">
        <f t="shared" si="15"/>
        <v>0</v>
      </c>
      <c r="AJ32" s="444" t="str">
        <f t="shared" si="18"/>
        <v>0</v>
      </c>
    </row>
    <row r="33" spans="1:36">
      <c r="D33" s="28">
        <f t="shared" si="17"/>
        <v>18</v>
      </c>
      <c r="E33" s="454" t="e">
        <f t="shared" si="2"/>
        <v>#N/A</v>
      </c>
      <c r="F33" s="392" t="e">
        <f t="shared" si="3"/>
        <v>#N/A</v>
      </c>
      <c r="G33" s="28" t="str">
        <f>VLOOKUP($D33,'WBS Staffing1'!$A$6:$P$57,4,FALSE)</f>
        <v>Govt</v>
      </c>
      <c r="H33" s="28"/>
      <c r="I33" s="28"/>
      <c r="J33" s="47"/>
      <c r="K33" s="49" t="e">
        <f t="shared" si="4"/>
        <v>#N/A</v>
      </c>
      <c r="L33" s="455" t="e">
        <f t="shared" si="5"/>
        <v>#N/A</v>
      </c>
      <c r="M33" s="452">
        <f t="shared" si="16"/>
        <v>0</v>
      </c>
      <c r="N33" s="453" t="e">
        <f t="shared" si="16"/>
        <v>#N/A</v>
      </c>
      <c r="O33" s="452">
        <f>INDEX('WBS Staffing1'!$B$7:$P$57,MATCH($D33,'WBS Staffing1'!$A$7:$A$57,0),MATCH(P$11,'WBS Staffing1'!$B$6:$P$6,0))</f>
        <v>0</v>
      </c>
      <c r="P33" s="453" t="e">
        <f t="shared" si="6"/>
        <v>#N/A</v>
      </c>
      <c r="Q33" s="452">
        <f>INDEX('WBS Staffing1'!$B$7:$P$57,MATCH($D33,'WBS Staffing1'!$A$7:$A$57,0),MATCH(R$11,'WBS Staffing1'!$B$6:$P$6,0))</f>
        <v>0</v>
      </c>
      <c r="R33" s="453" t="e">
        <f t="shared" si="7"/>
        <v>#N/A</v>
      </c>
      <c r="S33" s="452">
        <f>INDEX('WBS Staffing1'!$B$7:$P$57,MATCH($D33,'WBS Staffing1'!$A$7:$A$57,0),MATCH(T$11,'WBS Staffing1'!$B$6:$P$6,0))</f>
        <v>0</v>
      </c>
      <c r="T33" s="453" t="e">
        <f t="shared" si="8"/>
        <v>#N/A</v>
      </c>
      <c r="U33" s="452">
        <f>INDEX('WBS Staffing1'!$B$7:$P$57,MATCH($D33,'WBS Staffing1'!$A$7:$A$57,0),MATCH(V$11,'WBS Staffing1'!$B$6:$P$6,0))</f>
        <v>0</v>
      </c>
      <c r="V33" s="453" t="e">
        <f t="shared" si="9"/>
        <v>#N/A</v>
      </c>
      <c r="W33" s="452">
        <f>INDEX('WBS Staffing1'!$B$7:$P$57,MATCH($D33,'WBS Staffing1'!$A$7:$A$57,0),MATCH(X$11,'WBS Staffing1'!$B$6:$P$6,0))</f>
        <v>0</v>
      </c>
      <c r="X33" s="453" t="e">
        <f t="shared" si="10"/>
        <v>#N/A</v>
      </c>
      <c r="Y33" s="452">
        <f>INDEX('WBS Staffing1'!$B$7:$P$57,MATCH($D33,'WBS Staffing1'!$A$7:$A$57,0),MATCH(Z$11,'WBS Staffing1'!$B$6:$P$6,0))</f>
        <v>0</v>
      </c>
      <c r="Z33" s="453" t="e">
        <f t="shared" si="11"/>
        <v>#N/A</v>
      </c>
      <c r="AA33" s="452">
        <f>INDEX('WBS Staffing1'!$B$7:$P$57,MATCH($D33,'WBS Staffing1'!$A$7:$A$57,0),MATCH(AB$11,'WBS Staffing1'!$B$6:$P$6,0))</f>
        <v>0</v>
      </c>
      <c r="AB33" s="453" t="e">
        <f t="shared" si="12"/>
        <v>#N/A</v>
      </c>
      <c r="AC33" s="452">
        <f>INDEX('WBS Staffing1'!$B$7:$P$57,MATCH($D33,'WBS Staffing1'!$A$7:$A$57,0),MATCH(AD$11,'WBS Staffing1'!$B$6:$P$6,0))</f>
        <v>0</v>
      </c>
      <c r="AD33" s="453" t="e">
        <f t="shared" si="13"/>
        <v>#N/A</v>
      </c>
      <c r="AE33" s="452">
        <f>INDEX('WBS Staffing1'!$B$7:$P$57,MATCH($D33,'WBS Staffing1'!$A$7:$A$57,0),MATCH(AF$11,'WBS Staffing1'!$B$6:$P$6,0))</f>
        <v>0</v>
      </c>
      <c r="AF33" s="453" t="e">
        <f t="shared" si="14"/>
        <v>#N/A</v>
      </c>
      <c r="AG33" s="452">
        <f>INDEX('WBS Staffing1'!$B$7:$P$57,MATCH($D33,'WBS Staffing1'!$A$7:$A$57,0),MATCH(AH$11,'WBS Staffing1'!$B$6:$P$6,0))</f>
        <v>0</v>
      </c>
      <c r="AH33" s="411" t="e">
        <f t="shared" si="15"/>
        <v>#N/A</v>
      </c>
      <c r="AJ33" s="444" t="e">
        <f t="shared" si="18"/>
        <v>#N/A</v>
      </c>
    </row>
    <row r="34" spans="1:36">
      <c r="D34" s="28">
        <f t="shared" si="17"/>
        <v>19</v>
      </c>
      <c r="E34" s="454" t="e">
        <f t="shared" si="2"/>
        <v>#N/A</v>
      </c>
      <c r="F34" s="392" t="e">
        <f t="shared" si="3"/>
        <v>#N/A</v>
      </c>
      <c r="G34" s="28" t="str">
        <f>VLOOKUP($D34,'WBS Staffing1'!$A$6:$P$57,4,FALSE)</f>
        <v>Govt</v>
      </c>
      <c r="H34" s="28"/>
      <c r="I34" s="28"/>
      <c r="J34" s="47"/>
      <c r="K34" s="49" t="e">
        <f t="shared" si="4"/>
        <v>#N/A</v>
      </c>
      <c r="L34" s="455" t="e">
        <f t="shared" si="5"/>
        <v>#N/A</v>
      </c>
      <c r="M34" s="452">
        <f t="shared" si="16"/>
        <v>0</v>
      </c>
      <c r="N34" s="453" t="e">
        <f t="shared" si="16"/>
        <v>#N/A</v>
      </c>
      <c r="O34" s="452">
        <f>INDEX('WBS Staffing1'!$B$7:$P$57,MATCH($D34,'WBS Staffing1'!$A$7:$A$57,0),MATCH(P$11,'WBS Staffing1'!$B$6:$P$6,0))</f>
        <v>0</v>
      </c>
      <c r="P34" s="453" t="e">
        <f t="shared" si="6"/>
        <v>#N/A</v>
      </c>
      <c r="Q34" s="452">
        <f>INDEX('WBS Staffing1'!$B$7:$P$57,MATCH($D34,'WBS Staffing1'!$A$7:$A$57,0),MATCH(R$11,'WBS Staffing1'!$B$6:$P$6,0))</f>
        <v>0</v>
      </c>
      <c r="R34" s="453" t="e">
        <f t="shared" si="7"/>
        <v>#N/A</v>
      </c>
      <c r="S34" s="452">
        <f>INDEX('WBS Staffing1'!$B$7:$P$57,MATCH($D34,'WBS Staffing1'!$A$7:$A$57,0),MATCH(T$11,'WBS Staffing1'!$B$6:$P$6,0))</f>
        <v>0</v>
      </c>
      <c r="T34" s="453" t="e">
        <f t="shared" si="8"/>
        <v>#N/A</v>
      </c>
      <c r="U34" s="452">
        <f>INDEX('WBS Staffing1'!$B$7:$P$57,MATCH($D34,'WBS Staffing1'!$A$7:$A$57,0),MATCH(V$11,'WBS Staffing1'!$B$6:$P$6,0))</f>
        <v>0</v>
      </c>
      <c r="V34" s="453" t="e">
        <f t="shared" si="9"/>
        <v>#N/A</v>
      </c>
      <c r="W34" s="452">
        <f>INDEX('WBS Staffing1'!$B$7:$P$57,MATCH($D34,'WBS Staffing1'!$A$7:$A$57,0),MATCH(X$11,'WBS Staffing1'!$B$6:$P$6,0))</f>
        <v>0</v>
      </c>
      <c r="X34" s="453" t="e">
        <f t="shared" si="10"/>
        <v>#N/A</v>
      </c>
      <c r="Y34" s="452">
        <f>INDEX('WBS Staffing1'!$B$7:$P$57,MATCH($D34,'WBS Staffing1'!$A$7:$A$57,0),MATCH(Z$11,'WBS Staffing1'!$B$6:$P$6,0))</f>
        <v>0</v>
      </c>
      <c r="Z34" s="453" t="e">
        <f t="shared" si="11"/>
        <v>#N/A</v>
      </c>
      <c r="AA34" s="452">
        <f>INDEX('WBS Staffing1'!$B$7:$P$57,MATCH($D34,'WBS Staffing1'!$A$7:$A$57,0),MATCH(AB$11,'WBS Staffing1'!$B$6:$P$6,0))</f>
        <v>0</v>
      </c>
      <c r="AB34" s="453" t="e">
        <f t="shared" si="12"/>
        <v>#N/A</v>
      </c>
      <c r="AC34" s="452">
        <f>INDEX('WBS Staffing1'!$B$7:$P$57,MATCH($D34,'WBS Staffing1'!$A$7:$A$57,0),MATCH(AD$11,'WBS Staffing1'!$B$6:$P$6,0))</f>
        <v>0</v>
      </c>
      <c r="AD34" s="453" t="e">
        <f t="shared" si="13"/>
        <v>#N/A</v>
      </c>
      <c r="AE34" s="452">
        <f>INDEX('WBS Staffing1'!$B$7:$P$57,MATCH($D34,'WBS Staffing1'!$A$7:$A$57,0),MATCH(AF$11,'WBS Staffing1'!$B$6:$P$6,0))</f>
        <v>0</v>
      </c>
      <c r="AF34" s="453" t="e">
        <f t="shared" si="14"/>
        <v>#N/A</v>
      </c>
      <c r="AG34" s="452">
        <f>INDEX('WBS Staffing1'!$B$7:$P$57,MATCH($D34,'WBS Staffing1'!$A$7:$A$57,0),MATCH(AH$11,'WBS Staffing1'!$B$6:$P$6,0))</f>
        <v>0</v>
      </c>
      <c r="AH34" s="411" t="e">
        <f t="shared" si="15"/>
        <v>#N/A</v>
      </c>
      <c r="AJ34" s="444" t="e">
        <f t="shared" si="18"/>
        <v>#N/A</v>
      </c>
    </row>
    <row r="35" spans="1:36">
      <c r="D35" s="28">
        <f t="shared" si="17"/>
        <v>20</v>
      </c>
      <c r="E35" s="454" t="e">
        <f t="shared" si="2"/>
        <v>#N/A</v>
      </c>
      <c r="F35" s="392" t="e">
        <f t="shared" si="3"/>
        <v>#N/A</v>
      </c>
      <c r="G35" s="28" t="str">
        <f>VLOOKUP($D35,'WBS Staffing1'!$A$6:$P$57,4,FALSE)</f>
        <v>Govt</v>
      </c>
      <c r="H35" s="28"/>
      <c r="I35" s="28"/>
      <c r="J35" s="47"/>
      <c r="K35" s="49" t="e">
        <f t="shared" si="4"/>
        <v>#N/A</v>
      </c>
      <c r="L35" s="455" t="e">
        <f t="shared" si="5"/>
        <v>#N/A</v>
      </c>
      <c r="M35" s="452">
        <f t="shared" si="16"/>
        <v>0</v>
      </c>
      <c r="N35" s="453" t="e">
        <f t="shared" si="16"/>
        <v>#N/A</v>
      </c>
      <c r="O35" s="452">
        <f>INDEX('WBS Staffing1'!$B$7:$P$57,MATCH($D35,'WBS Staffing1'!$A$7:$A$57,0),MATCH(P$11,'WBS Staffing1'!$B$6:$P$6,0))</f>
        <v>0</v>
      </c>
      <c r="P35" s="453" t="e">
        <f t="shared" si="6"/>
        <v>#N/A</v>
      </c>
      <c r="Q35" s="452">
        <f>INDEX('WBS Staffing1'!$B$7:$P$57,MATCH($D35,'WBS Staffing1'!$A$7:$A$57,0),MATCH(R$11,'WBS Staffing1'!$B$6:$P$6,0))</f>
        <v>0</v>
      </c>
      <c r="R35" s="453" t="e">
        <f t="shared" si="7"/>
        <v>#N/A</v>
      </c>
      <c r="S35" s="452">
        <f>INDEX('WBS Staffing1'!$B$7:$P$57,MATCH($D35,'WBS Staffing1'!$A$7:$A$57,0),MATCH(T$11,'WBS Staffing1'!$B$6:$P$6,0))</f>
        <v>0</v>
      </c>
      <c r="T35" s="453" t="e">
        <f t="shared" si="8"/>
        <v>#N/A</v>
      </c>
      <c r="U35" s="452">
        <f>INDEX('WBS Staffing1'!$B$7:$P$57,MATCH($D35,'WBS Staffing1'!$A$7:$A$57,0),MATCH(V$11,'WBS Staffing1'!$B$6:$P$6,0))</f>
        <v>0</v>
      </c>
      <c r="V35" s="453" t="e">
        <f t="shared" si="9"/>
        <v>#N/A</v>
      </c>
      <c r="W35" s="452">
        <f>INDEX('WBS Staffing1'!$B$7:$P$57,MATCH($D35,'WBS Staffing1'!$A$7:$A$57,0),MATCH(X$11,'WBS Staffing1'!$B$6:$P$6,0))</f>
        <v>0</v>
      </c>
      <c r="X35" s="453" t="e">
        <f t="shared" si="10"/>
        <v>#N/A</v>
      </c>
      <c r="Y35" s="452">
        <f>INDEX('WBS Staffing1'!$B$7:$P$57,MATCH($D35,'WBS Staffing1'!$A$7:$A$57,0),MATCH(Z$11,'WBS Staffing1'!$B$6:$P$6,0))</f>
        <v>0</v>
      </c>
      <c r="Z35" s="453" t="e">
        <f t="shared" si="11"/>
        <v>#N/A</v>
      </c>
      <c r="AA35" s="452">
        <f>INDEX('WBS Staffing1'!$B$7:$P$57,MATCH($D35,'WBS Staffing1'!$A$7:$A$57,0),MATCH(AB$11,'WBS Staffing1'!$B$6:$P$6,0))</f>
        <v>0</v>
      </c>
      <c r="AB35" s="453" t="e">
        <f t="shared" si="12"/>
        <v>#N/A</v>
      </c>
      <c r="AC35" s="452">
        <f>INDEX('WBS Staffing1'!$B$7:$P$57,MATCH($D35,'WBS Staffing1'!$A$7:$A$57,0),MATCH(AD$11,'WBS Staffing1'!$B$6:$P$6,0))</f>
        <v>0</v>
      </c>
      <c r="AD35" s="453" t="e">
        <f t="shared" si="13"/>
        <v>#N/A</v>
      </c>
      <c r="AE35" s="452">
        <f>INDEX('WBS Staffing1'!$B$7:$P$57,MATCH($D35,'WBS Staffing1'!$A$7:$A$57,0),MATCH(AF$11,'WBS Staffing1'!$B$6:$P$6,0))</f>
        <v>0</v>
      </c>
      <c r="AF35" s="453" t="e">
        <f t="shared" si="14"/>
        <v>#N/A</v>
      </c>
      <c r="AG35" s="452">
        <f>INDEX('WBS Staffing1'!$B$7:$P$57,MATCH($D35,'WBS Staffing1'!$A$7:$A$57,0),MATCH(AH$11,'WBS Staffing1'!$B$6:$P$6,0))</f>
        <v>0</v>
      </c>
      <c r="AH35" s="411" t="e">
        <f t="shared" si="15"/>
        <v>#N/A</v>
      </c>
      <c r="AJ35" s="444" t="e">
        <f t="shared" si="18"/>
        <v>#N/A</v>
      </c>
    </row>
    <row r="36" spans="1:36">
      <c r="E36" s="369"/>
      <c r="F36" s="397"/>
      <c r="G36" s="28"/>
      <c r="H36" s="28"/>
      <c r="I36" s="28"/>
      <c r="J36" s="28"/>
      <c r="K36" s="49"/>
      <c r="L36" s="455"/>
      <c r="M36" s="452"/>
      <c r="N36" s="453"/>
      <c r="O36" s="452"/>
      <c r="P36" s="453"/>
      <c r="Q36" s="452"/>
      <c r="R36" s="453"/>
      <c r="S36" s="452"/>
      <c r="T36" s="453"/>
      <c r="U36" s="452"/>
      <c r="V36" s="453"/>
      <c r="W36" s="452"/>
      <c r="X36" s="453"/>
      <c r="Y36" s="452"/>
      <c r="Z36" s="453"/>
      <c r="AA36" s="452"/>
      <c r="AB36" s="453"/>
      <c r="AC36" s="452"/>
      <c r="AD36" s="453"/>
      <c r="AE36" s="452"/>
      <c r="AF36" s="453"/>
      <c r="AG36" s="452"/>
      <c r="AH36" s="411"/>
      <c r="AJ36" s="444" t="str">
        <f t="shared" si="0"/>
        <v>1</v>
      </c>
    </row>
    <row r="37" spans="1:36">
      <c r="E37" s="441" t="s">
        <v>689</v>
      </c>
      <c r="F37" s="442"/>
      <c r="G37" s="442" t="s">
        <v>622</v>
      </c>
      <c r="H37" s="442"/>
      <c r="I37" s="442"/>
      <c r="J37" s="456"/>
      <c r="K37" s="457"/>
      <c r="L37" s="458"/>
      <c r="M37" s="459">
        <f t="shared" ref="M37:AG38" si="19">SUMIF($G$16:$G$36,$G37,M$16:M$36)</f>
        <v>0</v>
      </c>
      <c r="N37" s="460">
        <f t="shared" si="19"/>
        <v>0</v>
      </c>
      <c r="O37" s="459">
        <f t="shared" si="19"/>
        <v>0</v>
      </c>
      <c r="P37" s="460">
        <f t="shared" si="19"/>
        <v>0</v>
      </c>
      <c r="Q37" s="459">
        <f t="shared" si="19"/>
        <v>0</v>
      </c>
      <c r="R37" s="460">
        <f t="shared" si="19"/>
        <v>0</v>
      </c>
      <c r="S37" s="459">
        <f t="shared" si="19"/>
        <v>0</v>
      </c>
      <c r="T37" s="460">
        <f t="shared" si="19"/>
        <v>0</v>
      </c>
      <c r="U37" s="459">
        <f t="shared" si="19"/>
        <v>0</v>
      </c>
      <c r="V37" s="460">
        <f t="shared" si="19"/>
        <v>0</v>
      </c>
      <c r="W37" s="459">
        <f t="shared" si="19"/>
        <v>0</v>
      </c>
      <c r="X37" s="460">
        <f t="shared" si="19"/>
        <v>0</v>
      </c>
      <c r="Y37" s="459">
        <f t="shared" si="19"/>
        <v>0</v>
      </c>
      <c r="Z37" s="460">
        <f t="shared" si="19"/>
        <v>0</v>
      </c>
      <c r="AA37" s="459">
        <f t="shared" si="19"/>
        <v>0</v>
      </c>
      <c r="AB37" s="460">
        <f t="shared" si="19"/>
        <v>0</v>
      </c>
      <c r="AC37" s="459">
        <f t="shared" si="19"/>
        <v>0</v>
      </c>
      <c r="AD37" s="460">
        <f t="shared" si="19"/>
        <v>0</v>
      </c>
      <c r="AE37" s="459">
        <f t="shared" si="19"/>
        <v>0</v>
      </c>
      <c r="AF37" s="460">
        <f t="shared" si="19"/>
        <v>0</v>
      </c>
      <c r="AG37" s="459">
        <f t="shared" si="19"/>
        <v>0</v>
      </c>
      <c r="AH37" s="461">
        <f>SUMIF($G$16:$G$36,$G37,AH$16:AH$36)</f>
        <v>0</v>
      </c>
      <c r="AJ37" s="444" t="str">
        <f t="shared" si="0"/>
        <v>0</v>
      </c>
    </row>
    <row r="38" spans="1:36" s="397" customFormat="1">
      <c r="A38" s="28"/>
      <c r="B38" s="28"/>
      <c r="C38" s="28"/>
      <c r="D38" s="28"/>
      <c r="E38" s="401" t="s">
        <v>690</v>
      </c>
      <c r="G38" s="397" t="s">
        <v>623</v>
      </c>
      <c r="K38" s="398"/>
      <c r="L38" s="462"/>
      <c r="M38" s="463">
        <f t="shared" si="19"/>
        <v>0</v>
      </c>
      <c r="N38" s="464" t="e">
        <f t="shared" si="19"/>
        <v>#N/A</v>
      </c>
      <c r="O38" s="463">
        <f t="shared" si="19"/>
        <v>0</v>
      </c>
      <c r="P38" s="464" t="e">
        <f t="shared" si="19"/>
        <v>#N/A</v>
      </c>
      <c r="Q38" s="463">
        <f t="shared" si="19"/>
        <v>0</v>
      </c>
      <c r="R38" s="464" t="e">
        <f t="shared" si="19"/>
        <v>#N/A</v>
      </c>
      <c r="S38" s="463">
        <f t="shared" si="19"/>
        <v>0</v>
      </c>
      <c r="T38" s="464" t="e">
        <f t="shared" si="19"/>
        <v>#N/A</v>
      </c>
      <c r="U38" s="463">
        <f t="shared" si="19"/>
        <v>0</v>
      </c>
      <c r="V38" s="464" t="e">
        <f t="shared" si="19"/>
        <v>#N/A</v>
      </c>
      <c r="W38" s="463">
        <f t="shared" si="19"/>
        <v>0</v>
      </c>
      <c r="X38" s="464" t="e">
        <f t="shared" si="19"/>
        <v>#N/A</v>
      </c>
      <c r="Y38" s="463">
        <f t="shared" si="19"/>
        <v>0</v>
      </c>
      <c r="Z38" s="464" t="e">
        <f t="shared" si="19"/>
        <v>#N/A</v>
      </c>
      <c r="AA38" s="463">
        <f t="shared" si="19"/>
        <v>0</v>
      </c>
      <c r="AB38" s="464" t="e">
        <f t="shared" si="19"/>
        <v>#N/A</v>
      </c>
      <c r="AC38" s="463">
        <f t="shared" si="19"/>
        <v>0</v>
      </c>
      <c r="AD38" s="464" t="e">
        <f t="shared" si="19"/>
        <v>#N/A</v>
      </c>
      <c r="AE38" s="463">
        <f t="shared" si="19"/>
        <v>0</v>
      </c>
      <c r="AF38" s="464" t="e">
        <f t="shared" si="19"/>
        <v>#N/A</v>
      </c>
      <c r="AG38" s="463">
        <f>SUMIF($G$16:$G$36,$G38,AG$16:AG$36)</f>
        <v>0</v>
      </c>
      <c r="AH38" s="418" t="e">
        <f>SUMIF($G$16:$G$36,$G38,AH$16:AH$36)</f>
        <v>#N/A</v>
      </c>
      <c r="AJ38" s="465" t="e">
        <f t="shared" si="0"/>
        <v>#N/A</v>
      </c>
    </row>
    <row r="39" spans="1:36">
      <c r="E39" s="402" t="s">
        <v>691</v>
      </c>
      <c r="F39" s="28"/>
      <c r="G39" s="28"/>
      <c r="H39" s="28"/>
      <c r="I39" s="28"/>
      <c r="J39" s="28"/>
      <c r="K39" s="49"/>
      <c r="L39" s="445"/>
      <c r="M39" s="452">
        <f t="shared" ref="M39:AH39" si="20">SUBTOTAL(9,M37:M38)</f>
        <v>0</v>
      </c>
      <c r="N39" s="453" t="e">
        <f t="shared" si="20"/>
        <v>#N/A</v>
      </c>
      <c r="O39" s="452">
        <f t="shared" si="20"/>
        <v>0</v>
      </c>
      <c r="P39" s="453" t="e">
        <f t="shared" si="20"/>
        <v>#N/A</v>
      </c>
      <c r="Q39" s="452">
        <f t="shared" si="20"/>
        <v>0</v>
      </c>
      <c r="R39" s="453" t="e">
        <f t="shared" si="20"/>
        <v>#N/A</v>
      </c>
      <c r="S39" s="452">
        <f t="shared" si="20"/>
        <v>0</v>
      </c>
      <c r="T39" s="453" t="e">
        <f t="shared" si="20"/>
        <v>#N/A</v>
      </c>
      <c r="U39" s="452">
        <f t="shared" si="20"/>
        <v>0</v>
      </c>
      <c r="V39" s="453" t="e">
        <f t="shared" si="20"/>
        <v>#N/A</v>
      </c>
      <c r="W39" s="452">
        <f t="shared" si="20"/>
        <v>0</v>
      </c>
      <c r="X39" s="453" t="e">
        <f t="shared" si="20"/>
        <v>#N/A</v>
      </c>
      <c r="Y39" s="452">
        <f t="shared" si="20"/>
        <v>0</v>
      </c>
      <c r="Z39" s="453" t="e">
        <f t="shared" si="20"/>
        <v>#N/A</v>
      </c>
      <c r="AA39" s="452">
        <f t="shared" si="20"/>
        <v>0</v>
      </c>
      <c r="AB39" s="453" t="e">
        <f t="shared" si="20"/>
        <v>#N/A</v>
      </c>
      <c r="AC39" s="452">
        <f t="shared" si="20"/>
        <v>0</v>
      </c>
      <c r="AD39" s="453" t="e">
        <f t="shared" si="20"/>
        <v>#N/A</v>
      </c>
      <c r="AE39" s="452">
        <f t="shared" si="20"/>
        <v>0</v>
      </c>
      <c r="AF39" s="453" t="e">
        <f t="shared" si="20"/>
        <v>#N/A</v>
      </c>
      <c r="AG39" s="452">
        <f t="shared" si="20"/>
        <v>0</v>
      </c>
      <c r="AH39" s="411" t="e">
        <f t="shared" si="20"/>
        <v>#N/A</v>
      </c>
      <c r="AJ39" s="444" t="e">
        <f t="shared" si="0"/>
        <v>#N/A</v>
      </c>
    </row>
    <row r="40" spans="1:36">
      <c r="E40" s="402"/>
      <c r="F40" s="28"/>
      <c r="G40" s="28"/>
      <c r="H40" s="28"/>
      <c r="I40" s="28"/>
      <c r="J40" s="28"/>
      <c r="K40" s="49"/>
      <c r="L40" s="445"/>
      <c r="M40" s="452"/>
      <c r="N40" s="453"/>
      <c r="O40" s="452"/>
      <c r="P40" s="453"/>
      <c r="Q40" s="452"/>
      <c r="R40" s="453"/>
      <c r="S40" s="452"/>
      <c r="T40" s="453"/>
      <c r="U40" s="452"/>
      <c r="V40" s="453"/>
      <c r="W40" s="452"/>
      <c r="X40" s="453"/>
      <c r="Y40" s="452"/>
      <c r="Z40" s="453"/>
      <c r="AA40" s="452"/>
      <c r="AB40" s="453"/>
      <c r="AC40" s="452"/>
      <c r="AD40" s="453"/>
      <c r="AE40" s="452"/>
      <c r="AF40" s="453"/>
      <c r="AG40" s="452"/>
      <c r="AH40" s="411"/>
      <c r="AJ40" s="444" t="str">
        <f t="shared" si="0"/>
        <v>1</v>
      </c>
    </row>
    <row r="41" spans="1:36">
      <c r="A41" s="35" t="s">
        <v>657</v>
      </c>
      <c r="B41" s="35" t="s">
        <v>628</v>
      </c>
      <c r="C41" s="35"/>
      <c r="D41" s="35"/>
      <c r="E41" s="369"/>
      <c r="F41" s="28"/>
      <c r="G41" s="28"/>
      <c r="H41" s="28"/>
      <c r="I41" s="28"/>
      <c r="J41" s="28"/>
      <c r="K41" s="34"/>
      <c r="L41" s="466"/>
      <c r="M41" s="467"/>
      <c r="N41" s="453"/>
      <c r="O41" s="467" t="s">
        <v>655</v>
      </c>
      <c r="P41" s="453"/>
      <c r="Q41" s="467" t="s">
        <v>655</v>
      </c>
      <c r="R41" s="453"/>
      <c r="S41" s="467" t="s">
        <v>655</v>
      </c>
      <c r="T41" s="453"/>
      <c r="U41" s="467" t="s">
        <v>655</v>
      </c>
      <c r="V41" s="453"/>
      <c r="W41" s="467" t="s">
        <v>655</v>
      </c>
      <c r="X41" s="453"/>
      <c r="Y41" s="467" t="s">
        <v>655</v>
      </c>
      <c r="Z41" s="453"/>
      <c r="AA41" s="467" t="s">
        <v>655</v>
      </c>
      <c r="AB41" s="453"/>
      <c r="AC41" s="467" t="s">
        <v>655</v>
      </c>
      <c r="AD41" s="453"/>
      <c r="AE41" s="467" t="s">
        <v>655</v>
      </c>
      <c r="AF41" s="453"/>
      <c r="AG41" s="467" t="s">
        <v>655</v>
      </c>
      <c r="AH41" s="411"/>
      <c r="AJ41" s="444" t="str">
        <f t="shared" si="0"/>
        <v>1</v>
      </c>
    </row>
    <row r="42" spans="1:36">
      <c r="A42" s="28" t="str">
        <f>InputSheet!$C41</f>
        <v>PRB</v>
      </c>
      <c r="B42" s="28" t="str">
        <f>InputSheet!$D41</f>
        <v>Contr/Govt</v>
      </c>
      <c r="C42" s="403" t="str">
        <f>$F$6&amp;$A42&amp;$B42</f>
        <v>ISPRBContr/Govt</v>
      </c>
      <c r="D42" s="403"/>
      <c r="E42" s="369" t="s">
        <v>658</v>
      </c>
      <c r="F42" s="28"/>
      <c r="G42" s="28" t="s">
        <v>622</v>
      </c>
      <c r="H42" s="28"/>
      <c r="I42" s="28"/>
      <c r="J42" s="28"/>
      <c r="K42" s="404"/>
      <c r="L42" s="466">
        <f>VLOOKUP($F$8&amp;$C42,Indirects,2,FALSE)</f>
        <v>0.31240000000000001</v>
      </c>
      <c r="M42" s="468"/>
      <c r="N42" s="453">
        <f>SUMIF($O$14:$AJ$14,N$14,$O42:$AJ42)</f>
        <v>0</v>
      </c>
      <c r="O42" s="469">
        <f>P37</f>
        <v>0</v>
      </c>
      <c r="P42" s="453">
        <f>ROUND(O42*$L42,0)</f>
        <v>0</v>
      </c>
      <c r="Q42" s="469">
        <f>R37</f>
        <v>0</v>
      </c>
      <c r="R42" s="453">
        <f>ROUND(Q42*$L42,0)</f>
        <v>0</v>
      </c>
      <c r="S42" s="469">
        <f>T37</f>
        <v>0</v>
      </c>
      <c r="T42" s="453">
        <f>ROUND(S42*$L42,0)</f>
        <v>0</v>
      </c>
      <c r="U42" s="469">
        <f>V37</f>
        <v>0</v>
      </c>
      <c r="V42" s="453">
        <f>ROUND(U42*$L42,0)</f>
        <v>0</v>
      </c>
      <c r="W42" s="469">
        <f>X37</f>
        <v>0</v>
      </c>
      <c r="X42" s="453">
        <f>ROUND(W42*$L42,0)</f>
        <v>0</v>
      </c>
      <c r="Y42" s="469">
        <f>Z37</f>
        <v>0</v>
      </c>
      <c r="Z42" s="453">
        <f>ROUND(Y42*$L42,0)</f>
        <v>0</v>
      </c>
      <c r="AA42" s="469">
        <f>AB37</f>
        <v>0</v>
      </c>
      <c r="AB42" s="453">
        <f>ROUND(AA42*$L42,0)</f>
        <v>0</v>
      </c>
      <c r="AC42" s="469">
        <f>AD37</f>
        <v>0</v>
      </c>
      <c r="AD42" s="453">
        <f>ROUND(AC42*$L42,0)</f>
        <v>0</v>
      </c>
      <c r="AE42" s="469">
        <f>AF37</f>
        <v>0</v>
      </c>
      <c r="AF42" s="453">
        <f>ROUND(AE42*$L42,0)</f>
        <v>0</v>
      </c>
      <c r="AG42" s="469">
        <f>AH37</f>
        <v>0</v>
      </c>
      <c r="AH42" s="411">
        <f>ROUND(AG42*$L42,0)</f>
        <v>0</v>
      </c>
      <c r="AJ42" s="444" t="str">
        <f t="shared" si="0"/>
        <v>0</v>
      </c>
    </row>
    <row r="43" spans="1:36" s="397" customFormat="1">
      <c r="A43" s="28" t="str">
        <f>InputSheet!$C41</f>
        <v>PRB</v>
      </c>
      <c r="B43" s="28" t="str">
        <f>InputSheet!$D41</f>
        <v>Contr/Govt</v>
      </c>
      <c r="C43" s="403" t="str">
        <f>$F$6&amp;$A43&amp;$B43</f>
        <v>ISPRBContr/Govt</v>
      </c>
      <c r="D43" s="403"/>
      <c r="E43" s="401" t="s">
        <v>658</v>
      </c>
      <c r="G43" s="397" t="s">
        <v>623</v>
      </c>
      <c r="K43" s="405"/>
      <c r="L43" s="462">
        <f>VLOOKUP($F$8&amp;$C43,Indirects,2,FALSE)</f>
        <v>0.31240000000000001</v>
      </c>
      <c r="M43" s="470"/>
      <c r="N43" s="464" t="e">
        <f>SUMIF($O$14:$AJ$14,N$14,$O43:$AJ43)</f>
        <v>#N/A</v>
      </c>
      <c r="O43" s="471" t="e">
        <f>P38</f>
        <v>#N/A</v>
      </c>
      <c r="P43" s="464" t="e">
        <f>ROUND(O43*$L43,0)</f>
        <v>#N/A</v>
      </c>
      <c r="Q43" s="471" t="e">
        <f>R38</f>
        <v>#N/A</v>
      </c>
      <c r="R43" s="464" t="e">
        <f>ROUND(Q43*$L43,0)</f>
        <v>#N/A</v>
      </c>
      <c r="S43" s="471" t="e">
        <f>T38</f>
        <v>#N/A</v>
      </c>
      <c r="T43" s="464" t="e">
        <f>ROUND(S43*$L43,0)</f>
        <v>#N/A</v>
      </c>
      <c r="U43" s="471" t="e">
        <f>V38</f>
        <v>#N/A</v>
      </c>
      <c r="V43" s="464" t="e">
        <f>ROUND(U43*$L43,0)</f>
        <v>#N/A</v>
      </c>
      <c r="W43" s="471" t="e">
        <f>X38</f>
        <v>#N/A</v>
      </c>
      <c r="X43" s="464" t="e">
        <f>ROUND(W43*$L43,0)</f>
        <v>#N/A</v>
      </c>
      <c r="Y43" s="471" t="e">
        <f>Z38</f>
        <v>#N/A</v>
      </c>
      <c r="Z43" s="464" t="e">
        <f>ROUND(Y43*$L43,0)</f>
        <v>#N/A</v>
      </c>
      <c r="AA43" s="471" t="e">
        <f>AB38</f>
        <v>#N/A</v>
      </c>
      <c r="AB43" s="464" t="e">
        <f>ROUND(AA43*$L43,0)</f>
        <v>#N/A</v>
      </c>
      <c r="AC43" s="471" t="e">
        <f>AD38</f>
        <v>#N/A</v>
      </c>
      <c r="AD43" s="464" t="e">
        <f>ROUND(AC43*$L43,0)</f>
        <v>#N/A</v>
      </c>
      <c r="AE43" s="471" t="e">
        <f>AF38</f>
        <v>#N/A</v>
      </c>
      <c r="AF43" s="464" t="e">
        <f>ROUND(AE43*$L43,0)</f>
        <v>#N/A</v>
      </c>
      <c r="AG43" s="471" t="e">
        <f>AH38</f>
        <v>#N/A</v>
      </c>
      <c r="AH43" s="418" t="e">
        <f>ROUND(AG43*$L43,0)</f>
        <v>#N/A</v>
      </c>
      <c r="AJ43" s="465" t="e">
        <f t="shared" si="0"/>
        <v>#N/A</v>
      </c>
    </row>
    <row r="44" spans="1:36">
      <c r="E44" s="402" t="s">
        <v>664</v>
      </c>
      <c r="F44" s="28"/>
      <c r="G44" s="28"/>
      <c r="H44" s="28"/>
      <c r="I44" s="28"/>
      <c r="J44" s="28"/>
      <c r="K44" s="28"/>
      <c r="L44" s="445"/>
      <c r="M44" s="468"/>
      <c r="N44" s="453" t="e">
        <f>SUBTOTAL(9,N42:N43)</f>
        <v>#N/A</v>
      </c>
      <c r="O44" s="468"/>
      <c r="P44" s="453" t="e">
        <f>SUBTOTAL(9,P42:P43)</f>
        <v>#N/A</v>
      </c>
      <c r="Q44" s="468"/>
      <c r="R44" s="453" t="e">
        <f>SUBTOTAL(9,R42:R43)</f>
        <v>#N/A</v>
      </c>
      <c r="S44" s="468"/>
      <c r="T44" s="453" t="e">
        <f>SUBTOTAL(9,T42:T43)</f>
        <v>#N/A</v>
      </c>
      <c r="U44" s="468"/>
      <c r="V44" s="453" t="e">
        <f>SUBTOTAL(9,V42:V43)</f>
        <v>#N/A</v>
      </c>
      <c r="W44" s="468"/>
      <c r="X44" s="453" t="e">
        <f>SUBTOTAL(9,X42:X43)</f>
        <v>#N/A</v>
      </c>
      <c r="Y44" s="468"/>
      <c r="Z44" s="453" t="e">
        <f>SUBTOTAL(9,Z42:Z43)</f>
        <v>#N/A</v>
      </c>
      <c r="AA44" s="468"/>
      <c r="AB44" s="453" t="e">
        <f>SUBTOTAL(9,AB42:AB43)</f>
        <v>#N/A</v>
      </c>
      <c r="AC44" s="468"/>
      <c r="AD44" s="453" t="e">
        <f>SUBTOTAL(9,AD42:AD43)</f>
        <v>#N/A</v>
      </c>
      <c r="AE44" s="468"/>
      <c r="AF44" s="453" t="e">
        <f>SUBTOTAL(9,AF42:AF43)</f>
        <v>#N/A</v>
      </c>
      <c r="AG44" s="468"/>
      <c r="AH44" s="411" t="e">
        <f>SUBTOTAL(9,AH42:AH43)</f>
        <v>#N/A</v>
      </c>
      <c r="AJ44" s="444" t="e">
        <f t="shared" si="0"/>
        <v>#N/A</v>
      </c>
    </row>
    <row r="45" spans="1:36">
      <c r="E45" s="369"/>
      <c r="F45" s="28"/>
      <c r="G45" s="28"/>
      <c r="H45" s="28"/>
      <c r="I45" s="28"/>
      <c r="J45" s="28"/>
      <c r="K45" s="28"/>
      <c r="L45" s="445"/>
      <c r="M45" s="468"/>
      <c r="N45" s="453"/>
      <c r="O45" s="468"/>
      <c r="P45" s="453"/>
      <c r="Q45" s="468"/>
      <c r="R45" s="453"/>
      <c r="S45" s="468"/>
      <c r="T45" s="453"/>
      <c r="U45" s="468"/>
      <c r="V45" s="453"/>
      <c r="W45" s="468"/>
      <c r="X45" s="453"/>
      <c r="Y45" s="468"/>
      <c r="Z45" s="453"/>
      <c r="AA45" s="468"/>
      <c r="AB45" s="453"/>
      <c r="AC45" s="468"/>
      <c r="AD45" s="453"/>
      <c r="AE45" s="468"/>
      <c r="AF45" s="453"/>
      <c r="AG45" s="468"/>
      <c r="AH45" s="411"/>
      <c r="AJ45" s="444" t="str">
        <f t="shared" si="0"/>
        <v>1</v>
      </c>
    </row>
    <row r="46" spans="1:36">
      <c r="A46" s="28" t="str">
        <f>InputSheet!$C42</f>
        <v>Overhead</v>
      </c>
      <c r="B46" s="28" t="str">
        <f>InputSheet!$D42</f>
        <v>Contr</v>
      </c>
      <c r="C46" s="403" t="str">
        <f>$F$6&amp;$A46&amp;$B46</f>
        <v>ISOverheadContr</v>
      </c>
      <c r="D46" s="403"/>
      <c r="E46" s="369" t="s">
        <v>659</v>
      </c>
      <c r="F46" s="28"/>
      <c r="G46" s="28" t="s">
        <v>622</v>
      </c>
      <c r="H46" s="28"/>
      <c r="I46" s="28"/>
      <c r="J46" s="28"/>
      <c r="K46" s="404"/>
      <c r="L46" s="466">
        <f>VLOOKUP($F$8&amp;$C46,Indirects,2,FALSE)</f>
        <v>0.1988</v>
      </c>
      <c r="M46" s="468"/>
      <c r="N46" s="453">
        <f>SUMIF($O$14:$AJ$14,N$14,$O46:$AJ46)</f>
        <v>0</v>
      </c>
      <c r="O46" s="469">
        <f>P37+P42</f>
        <v>0</v>
      </c>
      <c r="P46" s="453">
        <f>ROUND(O46*$L46,0)</f>
        <v>0</v>
      </c>
      <c r="Q46" s="469">
        <f>R37+R42</f>
        <v>0</v>
      </c>
      <c r="R46" s="453">
        <f>ROUND(Q46*$L46,0)</f>
        <v>0</v>
      </c>
      <c r="S46" s="469">
        <f>T37+T42</f>
        <v>0</v>
      </c>
      <c r="T46" s="453">
        <f>ROUND(S46*$L46,0)</f>
        <v>0</v>
      </c>
      <c r="U46" s="469">
        <f>V37+V42</f>
        <v>0</v>
      </c>
      <c r="V46" s="453">
        <f>ROUND(U46*$L46,0)</f>
        <v>0</v>
      </c>
      <c r="W46" s="469">
        <f>X37+X42</f>
        <v>0</v>
      </c>
      <c r="X46" s="453">
        <f>ROUND(W46*$L46,0)</f>
        <v>0</v>
      </c>
      <c r="Y46" s="469">
        <f>Z37+Z42</f>
        <v>0</v>
      </c>
      <c r="Z46" s="453">
        <f>ROUND(Y46*$L46,0)</f>
        <v>0</v>
      </c>
      <c r="AA46" s="469">
        <f>AB37+AB42</f>
        <v>0</v>
      </c>
      <c r="AB46" s="453">
        <f>ROUND(AA46*$L46,0)</f>
        <v>0</v>
      </c>
      <c r="AC46" s="469">
        <f>AD37+AD42</f>
        <v>0</v>
      </c>
      <c r="AD46" s="453">
        <f>ROUND(AC46*$L46,0)</f>
        <v>0</v>
      </c>
      <c r="AE46" s="469">
        <f>AF37+AF42</f>
        <v>0</v>
      </c>
      <c r="AF46" s="453">
        <f>ROUND(AE46*$L46,0)</f>
        <v>0</v>
      </c>
      <c r="AG46" s="469">
        <f>AH37+AH42</f>
        <v>0</v>
      </c>
      <c r="AH46" s="411">
        <f>ROUND(AG46*$L46,0)</f>
        <v>0</v>
      </c>
      <c r="AJ46" s="444" t="str">
        <f t="shared" si="0"/>
        <v>0</v>
      </c>
    </row>
    <row r="47" spans="1:36" s="397" customFormat="1">
      <c r="A47" s="28" t="str">
        <f>InputSheet!$C43</f>
        <v>Overhead</v>
      </c>
      <c r="B47" s="28" t="str">
        <f>InputSheet!$D43</f>
        <v>Govt</v>
      </c>
      <c r="C47" s="403" t="str">
        <f>$F$6&amp;$A47&amp;$B47</f>
        <v>ISOverheadGovt</v>
      </c>
      <c r="D47" s="403"/>
      <c r="E47" s="401" t="s">
        <v>659</v>
      </c>
      <c r="G47" s="397" t="s">
        <v>623</v>
      </c>
      <c r="K47" s="405"/>
      <c r="L47" s="462">
        <f>VLOOKUP($F$8&amp;$C47,Indirects,2,FALSE)</f>
        <v>2.23E-2</v>
      </c>
      <c r="M47" s="470"/>
      <c r="N47" s="464" t="e">
        <f>SUMIF($O$14:$AJ$14,N$14,$O47:$AJ47)</f>
        <v>#N/A</v>
      </c>
      <c r="O47" s="471" t="e">
        <f>P38+P43</f>
        <v>#N/A</v>
      </c>
      <c r="P47" s="464" t="e">
        <f>ROUND(O47*$L47,0)</f>
        <v>#N/A</v>
      </c>
      <c r="Q47" s="471" t="e">
        <f>R38+R43</f>
        <v>#N/A</v>
      </c>
      <c r="R47" s="464" t="e">
        <f>ROUND(Q47*$L47,0)</f>
        <v>#N/A</v>
      </c>
      <c r="S47" s="471" t="e">
        <f>T38+T43</f>
        <v>#N/A</v>
      </c>
      <c r="T47" s="464" t="e">
        <f>ROUND(S47*$L47,0)</f>
        <v>#N/A</v>
      </c>
      <c r="U47" s="471" t="e">
        <f>V38+V43</f>
        <v>#N/A</v>
      </c>
      <c r="V47" s="464" t="e">
        <f>ROUND(U47*$L47,0)</f>
        <v>#N/A</v>
      </c>
      <c r="W47" s="471" t="e">
        <f>X38+X43</f>
        <v>#N/A</v>
      </c>
      <c r="X47" s="464" t="e">
        <f>ROUND(W47*$L47,0)</f>
        <v>#N/A</v>
      </c>
      <c r="Y47" s="471" t="e">
        <f>Z38+Z43</f>
        <v>#N/A</v>
      </c>
      <c r="Z47" s="464" t="e">
        <f>ROUND(Y47*$L47,0)</f>
        <v>#N/A</v>
      </c>
      <c r="AA47" s="471" t="e">
        <f>AB38+AB43</f>
        <v>#N/A</v>
      </c>
      <c r="AB47" s="464" t="e">
        <f>ROUND(AA47*$L47,0)</f>
        <v>#N/A</v>
      </c>
      <c r="AC47" s="471" t="e">
        <f>AD38+AD43</f>
        <v>#N/A</v>
      </c>
      <c r="AD47" s="464" t="e">
        <f>ROUND(AC47*$L47,0)</f>
        <v>#N/A</v>
      </c>
      <c r="AE47" s="471" t="e">
        <f>AF38+AF43</f>
        <v>#N/A</v>
      </c>
      <c r="AF47" s="464" t="e">
        <f>ROUND(AE47*$L47,0)</f>
        <v>#N/A</v>
      </c>
      <c r="AG47" s="471" t="e">
        <f>AH38+AH43</f>
        <v>#N/A</v>
      </c>
      <c r="AH47" s="418" t="e">
        <f>ROUND(AG47*$L47,0)</f>
        <v>#N/A</v>
      </c>
      <c r="AJ47" s="465" t="e">
        <f t="shared" si="0"/>
        <v>#N/A</v>
      </c>
    </row>
    <row r="48" spans="1:36">
      <c r="E48" s="402" t="s">
        <v>692</v>
      </c>
      <c r="F48" s="28"/>
      <c r="G48" s="28"/>
      <c r="H48" s="28"/>
      <c r="I48" s="28"/>
      <c r="J48" s="28"/>
      <c r="K48" s="28"/>
      <c r="L48" s="445"/>
      <c r="M48" s="468"/>
      <c r="N48" s="453" t="e">
        <f>SUBTOTAL(9,N46:N47)</f>
        <v>#N/A</v>
      </c>
      <c r="O48" s="468"/>
      <c r="P48" s="453" t="e">
        <f>SUBTOTAL(9,P46:P47)</f>
        <v>#N/A</v>
      </c>
      <c r="Q48" s="468"/>
      <c r="R48" s="453" t="e">
        <f>SUBTOTAL(9,R46:R47)</f>
        <v>#N/A</v>
      </c>
      <c r="S48" s="468"/>
      <c r="T48" s="453" t="e">
        <f>SUBTOTAL(9,T46:T47)</f>
        <v>#N/A</v>
      </c>
      <c r="U48" s="468"/>
      <c r="V48" s="453" t="e">
        <f>SUBTOTAL(9,V46:V47)</f>
        <v>#N/A</v>
      </c>
      <c r="W48" s="468"/>
      <c r="X48" s="453" t="e">
        <f>SUBTOTAL(9,X46:X47)</f>
        <v>#N/A</v>
      </c>
      <c r="Y48" s="468"/>
      <c r="Z48" s="453" t="e">
        <f>SUBTOTAL(9,Z46:Z47)</f>
        <v>#N/A</v>
      </c>
      <c r="AA48" s="468"/>
      <c r="AB48" s="453" t="e">
        <f>SUBTOTAL(9,AB46:AB47)</f>
        <v>#N/A</v>
      </c>
      <c r="AC48" s="468"/>
      <c r="AD48" s="453" t="e">
        <f>SUBTOTAL(9,AD46:AD47)</f>
        <v>#N/A</v>
      </c>
      <c r="AE48" s="468"/>
      <c r="AF48" s="453" t="e">
        <f>SUBTOTAL(9,AF46:AF47)</f>
        <v>#N/A</v>
      </c>
      <c r="AG48" s="468"/>
      <c r="AH48" s="411" t="e">
        <f>SUBTOTAL(9,AH46:AH47)</f>
        <v>#N/A</v>
      </c>
      <c r="AJ48" s="444" t="e">
        <f t="shared" si="0"/>
        <v>#N/A</v>
      </c>
    </row>
    <row r="49" spans="1:36">
      <c r="E49" s="369"/>
      <c r="F49" s="28"/>
      <c r="G49" s="28"/>
      <c r="H49" s="28"/>
      <c r="I49" s="28"/>
      <c r="J49" s="28"/>
      <c r="K49" s="28"/>
      <c r="L49" s="445"/>
      <c r="M49" s="468"/>
      <c r="N49" s="453"/>
      <c r="O49" s="468"/>
      <c r="P49" s="453"/>
      <c r="Q49" s="468"/>
      <c r="R49" s="453"/>
      <c r="S49" s="468"/>
      <c r="T49" s="453"/>
      <c r="U49" s="468"/>
      <c r="V49" s="453"/>
      <c r="W49" s="468"/>
      <c r="X49" s="453"/>
      <c r="Y49" s="468"/>
      <c r="Z49" s="453"/>
      <c r="AA49" s="468"/>
      <c r="AB49" s="453"/>
      <c r="AC49" s="468"/>
      <c r="AD49" s="453"/>
      <c r="AE49" s="468"/>
      <c r="AF49" s="453"/>
      <c r="AG49" s="468"/>
      <c r="AH49" s="411"/>
      <c r="AJ49" s="444" t="str">
        <f t="shared" si="0"/>
        <v>1</v>
      </c>
    </row>
    <row r="50" spans="1:36" s="408" customFormat="1" ht="13.5" thickBot="1">
      <c r="A50" s="28"/>
      <c r="B50" s="28"/>
      <c r="C50" s="28"/>
      <c r="D50" s="28"/>
      <c r="E50" s="407" t="s">
        <v>693</v>
      </c>
      <c r="L50" s="472"/>
      <c r="M50" s="473"/>
      <c r="N50" s="474" t="e">
        <f>SUBTOTAL(9,N36:N49)</f>
        <v>#N/A</v>
      </c>
      <c r="O50" s="473"/>
      <c r="P50" s="474" t="e">
        <f>SUBTOTAL(9,P36:P49)</f>
        <v>#N/A</v>
      </c>
      <c r="Q50" s="473"/>
      <c r="R50" s="474" t="e">
        <f>SUBTOTAL(9,R36:R49)</f>
        <v>#N/A</v>
      </c>
      <c r="S50" s="473"/>
      <c r="T50" s="474" t="e">
        <f>SUBTOTAL(9,T36:T49)</f>
        <v>#N/A</v>
      </c>
      <c r="U50" s="473"/>
      <c r="V50" s="474" t="e">
        <f>SUBTOTAL(9,V36:V49)</f>
        <v>#N/A</v>
      </c>
      <c r="W50" s="473"/>
      <c r="X50" s="474" t="e">
        <f>SUBTOTAL(9,X36:X49)</f>
        <v>#N/A</v>
      </c>
      <c r="Y50" s="473"/>
      <c r="Z50" s="474" t="e">
        <f>SUBTOTAL(9,Z36:Z49)</f>
        <v>#N/A</v>
      </c>
      <c r="AA50" s="473"/>
      <c r="AB50" s="474" t="e">
        <f>SUBTOTAL(9,AB36:AB49)</f>
        <v>#N/A</v>
      </c>
      <c r="AC50" s="473"/>
      <c r="AD50" s="474" t="e">
        <f>SUBTOTAL(9,AD36:AD49)</f>
        <v>#N/A</v>
      </c>
      <c r="AE50" s="473"/>
      <c r="AF50" s="474" t="e">
        <f>SUBTOTAL(9,AF36:AF49)</f>
        <v>#N/A</v>
      </c>
      <c r="AG50" s="473"/>
      <c r="AH50" s="475" t="e">
        <f>SUBTOTAL(9,AH36:AH49)</f>
        <v>#N/A</v>
      </c>
      <c r="AJ50" s="476" t="e">
        <f t="shared" si="0"/>
        <v>#N/A</v>
      </c>
    </row>
    <row r="51" spans="1:36" ht="13.5" thickTop="1">
      <c r="E51" s="369"/>
      <c r="F51" s="28"/>
      <c r="G51" s="28"/>
      <c r="H51" s="28"/>
      <c r="I51" s="28"/>
      <c r="J51" s="28"/>
      <c r="K51" s="28"/>
      <c r="L51" s="445"/>
      <c r="M51" s="468"/>
      <c r="N51" s="453"/>
      <c r="O51" s="468"/>
      <c r="P51" s="453"/>
      <c r="Q51" s="468"/>
      <c r="R51" s="453"/>
      <c r="S51" s="468"/>
      <c r="T51" s="453"/>
      <c r="U51" s="468"/>
      <c r="V51" s="453"/>
      <c r="W51" s="468"/>
      <c r="X51" s="453"/>
      <c r="Y51" s="468"/>
      <c r="Z51" s="453"/>
      <c r="AA51" s="468"/>
      <c r="AB51" s="453"/>
      <c r="AC51" s="468"/>
      <c r="AD51" s="453"/>
      <c r="AE51" s="468"/>
      <c r="AF51" s="453"/>
      <c r="AG51" s="468"/>
      <c r="AH51" s="411"/>
      <c r="AJ51" s="444" t="str">
        <f t="shared" si="0"/>
        <v>1</v>
      </c>
    </row>
    <row r="52" spans="1:36">
      <c r="E52" s="402" t="s">
        <v>694</v>
      </c>
      <c r="F52" s="28"/>
      <c r="G52" s="28"/>
      <c r="H52" s="28"/>
      <c r="I52" s="28"/>
      <c r="J52" s="28"/>
      <c r="K52" s="28"/>
      <c r="L52" s="445"/>
      <c r="M52" s="468"/>
      <c r="N52" s="453"/>
      <c r="O52" s="468"/>
      <c r="P52" s="453"/>
      <c r="Q52" s="468"/>
      <c r="R52" s="453"/>
      <c r="S52" s="468"/>
      <c r="T52" s="453"/>
      <c r="U52" s="468"/>
      <c r="V52" s="453"/>
      <c r="W52" s="468"/>
      <c r="X52" s="453"/>
      <c r="Y52" s="468"/>
      <c r="Z52" s="453"/>
      <c r="AA52" s="468"/>
      <c r="AB52" s="453"/>
      <c r="AC52" s="468"/>
      <c r="AD52" s="453"/>
      <c r="AE52" s="468"/>
      <c r="AF52" s="453"/>
      <c r="AG52" s="468"/>
      <c r="AH52" s="411"/>
      <c r="AJ52" s="444" t="str">
        <f t="shared" si="0"/>
        <v>1</v>
      </c>
    </row>
    <row r="53" spans="1:36">
      <c r="D53" s="28">
        <f>D35+1</f>
        <v>21</v>
      </c>
      <c r="E53" s="412" t="str">
        <f>VLOOKUP(D53,'WBS Staffing1'!$A$12:$B$57,2,FALSE)</f>
        <v>ODC #1</v>
      </c>
      <c r="F53" s="28"/>
      <c r="G53" s="28"/>
      <c r="H53" s="28"/>
      <c r="I53" s="28"/>
      <c r="J53" s="28"/>
      <c r="K53" s="28"/>
      <c r="L53" s="445"/>
      <c r="M53" s="468"/>
      <c r="N53" s="453">
        <f>SUMIF($O$14:$AJ$14,N$14,$O53:$AJ53)</f>
        <v>0</v>
      </c>
      <c r="O53" s="468"/>
      <c r="P53" s="453">
        <f>INDEX('WBS Staffing1'!$B$7:$P$57,MATCH($D53,'WBS Staffing1'!$A$7:$A$57,0),MATCH(P$11,'WBS Staffing1'!$B$6:$P$6,0))</f>
        <v>0</v>
      </c>
      <c r="Q53" s="468"/>
      <c r="R53" s="453">
        <f>INDEX('WBS Staffing1'!$B$7:$P$57,MATCH($D53,'WBS Staffing1'!$A$7:$A$57,0),MATCH(R$11,'WBS Staffing1'!$B$6:$P$6,0))</f>
        <v>0</v>
      </c>
      <c r="S53" s="468"/>
      <c r="T53" s="453">
        <f>INDEX('WBS Staffing1'!$B$7:$P$57,MATCH($D53,'WBS Staffing1'!$A$7:$A$57,0),MATCH(T$11,'WBS Staffing1'!$B$6:$P$6,0))</f>
        <v>0</v>
      </c>
      <c r="U53" s="468"/>
      <c r="V53" s="453">
        <f>INDEX('WBS Staffing1'!$B$7:$P$57,MATCH($D53,'WBS Staffing1'!$A$7:$A$57,0),MATCH(V$11,'WBS Staffing1'!$B$6:$P$6,0))</f>
        <v>0</v>
      </c>
      <c r="W53" s="468"/>
      <c r="X53" s="453">
        <f>INDEX('WBS Staffing1'!$B$7:$P$57,MATCH($D53,'WBS Staffing1'!$A$7:$A$57,0),MATCH(X$11,'WBS Staffing1'!$B$6:$P$6,0))</f>
        <v>0</v>
      </c>
      <c r="Y53" s="468"/>
      <c r="Z53" s="453">
        <f>INDEX('WBS Staffing1'!$B$7:$P$57,MATCH($D53,'WBS Staffing1'!$A$7:$A$57,0),MATCH(Z$11,'WBS Staffing1'!$B$6:$P$6,0))</f>
        <v>0</v>
      </c>
      <c r="AA53" s="468"/>
      <c r="AB53" s="453">
        <f>INDEX('WBS Staffing1'!$B$7:$P$57,MATCH($D53,'WBS Staffing1'!$A$7:$A$57,0),MATCH(AB$11,'WBS Staffing1'!$B$6:$P$6,0))</f>
        <v>0</v>
      </c>
      <c r="AC53" s="468"/>
      <c r="AD53" s="453">
        <f>INDEX('WBS Staffing1'!$B$7:$P$57,MATCH($D53,'WBS Staffing1'!$A$7:$A$57,0),MATCH(AD$11,'WBS Staffing1'!$B$6:$P$6,0))</f>
        <v>0</v>
      </c>
      <c r="AE53" s="468"/>
      <c r="AF53" s="453">
        <f>INDEX('WBS Staffing1'!$B$7:$P$57,MATCH($D53,'WBS Staffing1'!$A$7:$A$57,0),MATCH(AF$11,'WBS Staffing1'!$B$6:$P$6,0))</f>
        <v>0</v>
      </c>
      <c r="AG53" s="468"/>
      <c r="AH53" s="411">
        <f>INDEX('WBS Staffing1'!$B$7:$P$57,MATCH($D53,'WBS Staffing1'!$A$7:$A$57,0),MATCH(AH$11,'WBS Staffing1'!$B$6:$P$6,0))</f>
        <v>0</v>
      </c>
      <c r="AJ53" s="444" t="str">
        <f t="shared" si="0"/>
        <v>0</v>
      </c>
    </row>
    <row r="54" spans="1:36">
      <c r="D54" s="28">
        <f>D53+1</f>
        <v>22</v>
      </c>
      <c r="E54" s="412" t="str">
        <f>VLOOKUP(D54,'WBS Staffing1'!$A$12:$B$57,2,FALSE)</f>
        <v>ODC #2</v>
      </c>
      <c r="F54" s="28"/>
      <c r="G54" s="28"/>
      <c r="H54" s="28"/>
      <c r="I54" s="28"/>
      <c r="J54" s="28"/>
      <c r="K54" s="28"/>
      <c r="L54" s="445"/>
      <c r="M54" s="468"/>
      <c r="N54" s="453">
        <f>SUMIF($O$14:$AJ$14,N$14,$O54:$AJ54)</f>
        <v>0</v>
      </c>
      <c r="O54" s="468"/>
      <c r="P54" s="453">
        <f>INDEX('WBS Staffing1'!$B$7:$P$57,MATCH($D54,'WBS Staffing1'!$A$7:$A$57,0),MATCH(P$11,'WBS Staffing1'!$B$6:$P$6,0))</f>
        <v>0</v>
      </c>
      <c r="Q54" s="468"/>
      <c r="R54" s="453">
        <f>INDEX('WBS Staffing1'!$B$7:$P$57,MATCH($D54,'WBS Staffing1'!$A$7:$A$57,0),MATCH(R$11,'WBS Staffing1'!$B$6:$P$6,0))</f>
        <v>0</v>
      </c>
      <c r="S54" s="468"/>
      <c r="T54" s="453">
        <f>INDEX('WBS Staffing1'!$B$7:$P$57,MATCH($D54,'WBS Staffing1'!$A$7:$A$57,0),MATCH(T$11,'WBS Staffing1'!$B$6:$P$6,0))</f>
        <v>0</v>
      </c>
      <c r="U54" s="468"/>
      <c r="V54" s="453">
        <f>INDEX('WBS Staffing1'!$B$7:$P$57,MATCH($D54,'WBS Staffing1'!$A$7:$A$57,0),MATCH(V$11,'WBS Staffing1'!$B$6:$P$6,0))</f>
        <v>0</v>
      </c>
      <c r="W54" s="468"/>
      <c r="X54" s="453">
        <f>INDEX('WBS Staffing1'!$B$7:$P$57,MATCH($D54,'WBS Staffing1'!$A$7:$A$57,0),MATCH(X$11,'WBS Staffing1'!$B$6:$P$6,0))</f>
        <v>0</v>
      </c>
      <c r="Y54" s="468"/>
      <c r="Z54" s="453">
        <f>INDEX('WBS Staffing1'!$B$7:$P$57,MATCH($D54,'WBS Staffing1'!$A$7:$A$57,0),MATCH(Z$11,'WBS Staffing1'!$B$6:$P$6,0))</f>
        <v>0</v>
      </c>
      <c r="AA54" s="468"/>
      <c r="AB54" s="453">
        <f>INDEX('WBS Staffing1'!$B$7:$P$57,MATCH($D54,'WBS Staffing1'!$A$7:$A$57,0),MATCH(AB$11,'WBS Staffing1'!$B$6:$P$6,0))</f>
        <v>0</v>
      </c>
      <c r="AC54" s="468"/>
      <c r="AD54" s="453">
        <f>INDEX('WBS Staffing1'!$B$7:$P$57,MATCH($D54,'WBS Staffing1'!$A$7:$A$57,0),MATCH(AD$11,'WBS Staffing1'!$B$6:$P$6,0))</f>
        <v>0</v>
      </c>
      <c r="AE54" s="468"/>
      <c r="AF54" s="453">
        <f>INDEX('WBS Staffing1'!$B$7:$P$57,MATCH($D54,'WBS Staffing1'!$A$7:$A$57,0),MATCH(AF$11,'WBS Staffing1'!$B$6:$P$6,0))</f>
        <v>0</v>
      </c>
      <c r="AG54" s="468"/>
      <c r="AH54" s="411">
        <f>INDEX('WBS Staffing1'!$B$7:$P$57,MATCH($D54,'WBS Staffing1'!$A$7:$A$57,0),MATCH(AH$11,'WBS Staffing1'!$B$6:$P$6,0))</f>
        <v>0</v>
      </c>
      <c r="AJ54" s="444" t="str">
        <f t="shared" si="0"/>
        <v>0</v>
      </c>
    </row>
    <row r="55" spans="1:36">
      <c r="D55" s="28">
        <f>D54+1</f>
        <v>23</v>
      </c>
      <c r="E55" s="412" t="str">
        <f>VLOOKUP(D55,'WBS Staffing1'!$A$12:$B$57,2,FALSE)</f>
        <v>ODC #3</v>
      </c>
      <c r="F55" s="28"/>
      <c r="G55" s="28"/>
      <c r="H55" s="28"/>
      <c r="I55" s="28"/>
      <c r="J55" s="28"/>
      <c r="K55" s="28"/>
      <c r="L55" s="445"/>
      <c r="M55" s="468"/>
      <c r="N55" s="453">
        <f>SUMIF($O$14:$AJ$14,N$14,$O55:$AJ55)</f>
        <v>0</v>
      </c>
      <c r="O55" s="468"/>
      <c r="P55" s="453">
        <f>INDEX('WBS Staffing1'!$B$7:$P$57,MATCH($D55,'WBS Staffing1'!$A$7:$A$57,0),MATCH(P$11,'WBS Staffing1'!$B$6:$P$6,0))</f>
        <v>0</v>
      </c>
      <c r="Q55" s="468"/>
      <c r="R55" s="453">
        <f>INDEX('WBS Staffing1'!$B$7:$P$57,MATCH($D55,'WBS Staffing1'!$A$7:$A$57,0),MATCH(R$11,'WBS Staffing1'!$B$6:$P$6,0))</f>
        <v>0</v>
      </c>
      <c r="S55" s="468"/>
      <c r="T55" s="453">
        <f>INDEX('WBS Staffing1'!$B$7:$P$57,MATCH($D55,'WBS Staffing1'!$A$7:$A$57,0),MATCH(T$11,'WBS Staffing1'!$B$6:$P$6,0))</f>
        <v>0</v>
      </c>
      <c r="U55" s="468"/>
      <c r="V55" s="453">
        <f>INDEX('WBS Staffing1'!$B$7:$P$57,MATCH($D55,'WBS Staffing1'!$A$7:$A$57,0),MATCH(V$11,'WBS Staffing1'!$B$6:$P$6,0))</f>
        <v>0</v>
      </c>
      <c r="W55" s="468"/>
      <c r="X55" s="453">
        <f>INDEX('WBS Staffing1'!$B$7:$P$57,MATCH($D55,'WBS Staffing1'!$A$7:$A$57,0),MATCH(X$11,'WBS Staffing1'!$B$6:$P$6,0))</f>
        <v>0</v>
      </c>
      <c r="Y55" s="468"/>
      <c r="Z55" s="453">
        <f>INDEX('WBS Staffing1'!$B$7:$P$57,MATCH($D55,'WBS Staffing1'!$A$7:$A$57,0),MATCH(Z$11,'WBS Staffing1'!$B$6:$P$6,0))</f>
        <v>0</v>
      </c>
      <c r="AA55" s="468"/>
      <c r="AB55" s="453">
        <f>INDEX('WBS Staffing1'!$B$7:$P$57,MATCH($D55,'WBS Staffing1'!$A$7:$A$57,0),MATCH(AB$11,'WBS Staffing1'!$B$6:$P$6,0))</f>
        <v>0</v>
      </c>
      <c r="AC55" s="468"/>
      <c r="AD55" s="453">
        <f>INDEX('WBS Staffing1'!$B$7:$P$57,MATCH($D55,'WBS Staffing1'!$A$7:$A$57,0),MATCH(AD$11,'WBS Staffing1'!$B$6:$P$6,0))</f>
        <v>0</v>
      </c>
      <c r="AE55" s="468"/>
      <c r="AF55" s="453">
        <f>INDEX('WBS Staffing1'!$B$7:$P$57,MATCH($D55,'WBS Staffing1'!$A$7:$A$57,0),MATCH(AF$11,'WBS Staffing1'!$B$6:$P$6,0))</f>
        <v>0</v>
      </c>
      <c r="AG55" s="468"/>
      <c r="AH55" s="411">
        <f>INDEX('WBS Staffing1'!$B$7:$P$57,MATCH($D55,'WBS Staffing1'!$A$7:$A$57,0),MATCH(AH$11,'WBS Staffing1'!$B$6:$P$6,0))</f>
        <v>0</v>
      </c>
      <c r="AJ55" s="444" t="str">
        <f t="shared" si="0"/>
        <v>0</v>
      </c>
    </row>
    <row r="56" spans="1:36">
      <c r="D56" s="28">
        <f>D55+1</f>
        <v>24</v>
      </c>
      <c r="E56" s="412" t="str">
        <f>VLOOKUP(D56,'WBS Staffing1'!$A$12:$B$57,2,FALSE)</f>
        <v>ODC #4</v>
      </c>
      <c r="F56" s="28"/>
      <c r="G56" s="28"/>
      <c r="H56" s="28"/>
      <c r="I56" s="28"/>
      <c r="J56" s="28"/>
      <c r="K56" s="28"/>
      <c r="L56" s="445"/>
      <c r="M56" s="468"/>
      <c r="N56" s="453">
        <f>SUMIF($O$14:$AJ$14,N$14,$O56:$AJ56)</f>
        <v>0</v>
      </c>
      <c r="O56" s="468"/>
      <c r="P56" s="453">
        <f>INDEX('WBS Staffing1'!$B$7:$P$57,MATCH($D56,'WBS Staffing1'!$A$7:$A$57,0),MATCH(P$11,'WBS Staffing1'!$B$6:$P$6,0))</f>
        <v>0</v>
      </c>
      <c r="Q56" s="468"/>
      <c r="R56" s="453">
        <f>INDEX('WBS Staffing1'!$B$7:$P$57,MATCH($D56,'WBS Staffing1'!$A$7:$A$57,0),MATCH(R$11,'WBS Staffing1'!$B$6:$P$6,0))</f>
        <v>0</v>
      </c>
      <c r="S56" s="468"/>
      <c r="T56" s="453">
        <f>INDEX('WBS Staffing1'!$B$7:$P$57,MATCH($D56,'WBS Staffing1'!$A$7:$A$57,0),MATCH(T$11,'WBS Staffing1'!$B$6:$P$6,0))</f>
        <v>0</v>
      </c>
      <c r="U56" s="468"/>
      <c r="V56" s="453">
        <f>INDEX('WBS Staffing1'!$B$7:$P$57,MATCH($D56,'WBS Staffing1'!$A$7:$A$57,0),MATCH(V$11,'WBS Staffing1'!$B$6:$P$6,0))</f>
        <v>0</v>
      </c>
      <c r="W56" s="468"/>
      <c r="X56" s="453">
        <f>INDEX('WBS Staffing1'!$B$7:$P$57,MATCH($D56,'WBS Staffing1'!$A$7:$A$57,0),MATCH(X$11,'WBS Staffing1'!$B$6:$P$6,0))</f>
        <v>0</v>
      </c>
      <c r="Y56" s="468"/>
      <c r="Z56" s="453">
        <f>INDEX('WBS Staffing1'!$B$7:$P$57,MATCH($D56,'WBS Staffing1'!$A$7:$A$57,0),MATCH(Z$11,'WBS Staffing1'!$B$6:$P$6,0))</f>
        <v>0</v>
      </c>
      <c r="AA56" s="468"/>
      <c r="AB56" s="453">
        <f>INDEX('WBS Staffing1'!$B$7:$P$57,MATCH($D56,'WBS Staffing1'!$A$7:$A$57,0),MATCH(AB$11,'WBS Staffing1'!$B$6:$P$6,0))</f>
        <v>0</v>
      </c>
      <c r="AC56" s="468"/>
      <c r="AD56" s="453">
        <f>INDEX('WBS Staffing1'!$B$7:$P$57,MATCH($D56,'WBS Staffing1'!$A$7:$A$57,0),MATCH(AD$11,'WBS Staffing1'!$B$6:$P$6,0))</f>
        <v>0</v>
      </c>
      <c r="AE56" s="468"/>
      <c r="AF56" s="453">
        <f>INDEX('WBS Staffing1'!$B$7:$P$57,MATCH($D56,'WBS Staffing1'!$A$7:$A$57,0),MATCH(AF$11,'WBS Staffing1'!$B$6:$P$6,0))</f>
        <v>0</v>
      </c>
      <c r="AG56" s="468"/>
      <c r="AH56" s="411">
        <f>INDEX('WBS Staffing1'!$B$7:$P$57,MATCH($D56,'WBS Staffing1'!$A$7:$A$57,0),MATCH(AH$11,'WBS Staffing1'!$B$6:$P$6,0))</f>
        <v>0</v>
      </c>
      <c r="AJ56" s="444" t="str">
        <f t="shared" si="0"/>
        <v>0</v>
      </c>
    </row>
    <row r="57" spans="1:36" s="397" customFormat="1">
      <c r="A57" s="28"/>
      <c r="B57" s="28"/>
      <c r="C57" s="28"/>
      <c r="D57" s="28">
        <f>D56+1</f>
        <v>25</v>
      </c>
      <c r="E57" s="415" t="str">
        <f>VLOOKUP(D57,'WBS Staffing1'!$A$12:$B$57,2,FALSE)</f>
        <v>ODC #5</v>
      </c>
      <c r="L57" s="477"/>
      <c r="M57" s="470"/>
      <c r="N57" s="464">
        <f>SUMIF($O$14:$AJ$14,N$14,$O57:$AJ57)</f>
        <v>0</v>
      </c>
      <c r="O57" s="470"/>
      <c r="P57" s="464">
        <f>INDEX('WBS Staffing1'!$B$7:$P$57,MATCH($D57,'WBS Staffing1'!$A$7:$A$57,0),MATCH(P$11,'WBS Staffing1'!$B$6:$P$6,0))</f>
        <v>0</v>
      </c>
      <c r="Q57" s="470"/>
      <c r="R57" s="464">
        <f>INDEX('WBS Staffing1'!$B$7:$P$57,MATCH($D57,'WBS Staffing1'!$A$7:$A$57,0),MATCH(R$11,'WBS Staffing1'!$B$6:$P$6,0))</f>
        <v>0</v>
      </c>
      <c r="S57" s="470"/>
      <c r="T57" s="464">
        <f>INDEX('WBS Staffing1'!$B$7:$P$57,MATCH($D57,'WBS Staffing1'!$A$7:$A$57,0),MATCH(T$11,'WBS Staffing1'!$B$6:$P$6,0))</f>
        <v>0</v>
      </c>
      <c r="U57" s="470"/>
      <c r="V57" s="464">
        <f>INDEX('WBS Staffing1'!$B$7:$P$57,MATCH($D57,'WBS Staffing1'!$A$7:$A$57,0),MATCH(V$11,'WBS Staffing1'!$B$6:$P$6,0))</f>
        <v>0</v>
      </c>
      <c r="W57" s="470"/>
      <c r="X57" s="464">
        <f>INDEX('WBS Staffing1'!$B$7:$P$57,MATCH($D57,'WBS Staffing1'!$A$7:$A$57,0),MATCH(X$11,'WBS Staffing1'!$B$6:$P$6,0))</f>
        <v>0</v>
      </c>
      <c r="Y57" s="470"/>
      <c r="Z57" s="464">
        <f>INDEX('WBS Staffing1'!$B$7:$P$57,MATCH($D57,'WBS Staffing1'!$A$7:$A$57,0),MATCH(Z$11,'WBS Staffing1'!$B$6:$P$6,0))</f>
        <v>0</v>
      </c>
      <c r="AA57" s="470"/>
      <c r="AB57" s="464">
        <f>INDEX('WBS Staffing1'!$B$7:$P$57,MATCH($D57,'WBS Staffing1'!$A$7:$A$57,0),MATCH(AB$11,'WBS Staffing1'!$B$6:$P$6,0))</f>
        <v>0</v>
      </c>
      <c r="AC57" s="470"/>
      <c r="AD57" s="464">
        <f>INDEX('WBS Staffing1'!$B$7:$P$57,MATCH($D57,'WBS Staffing1'!$A$7:$A$57,0),MATCH(AD$11,'WBS Staffing1'!$B$6:$P$6,0))</f>
        <v>0</v>
      </c>
      <c r="AE57" s="470"/>
      <c r="AF57" s="464">
        <f>INDEX('WBS Staffing1'!$B$7:$P$57,MATCH($D57,'WBS Staffing1'!$A$7:$A$57,0),MATCH(AF$11,'WBS Staffing1'!$B$6:$P$6,0))</f>
        <v>0</v>
      </c>
      <c r="AG57" s="470"/>
      <c r="AH57" s="418">
        <f>INDEX('WBS Staffing1'!$B$7:$P$57,MATCH($D57,'WBS Staffing1'!$A$7:$A$57,0),MATCH(AH$11,'WBS Staffing1'!$B$6:$P$6,0))</f>
        <v>0</v>
      </c>
      <c r="AJ57" s="465" t="str">
        <f t="shared" si="0"/>
        <v>0</v>
      </c>
    </row>
    <row r="58" spans="1:36">
      <c r="E58" s="402" t="s">
        <v>663</v>
      </c>
      <c r="F58" s="28"/>
      <c r="G58" s="28"/>
      <c r="H58" s="28"/>
      <c r="I58" s="28"/>
      <c r="J58" s="28"/>
      <c r="K58" s="28"/>
      <c r="L58" s="445"/>
      <c r="M58" s="468"/>
      <c r="N58" s="453">
        <f>SUBTOTAL(9,N53:N57)</f>
        <v>0</v>
      </c>
      <c r="O58" s="468"/>
      <c r="P58" s="453">
        <f>SUBTOTAL(9,P53:P57)</f>
        <v>0</v>
      </c>
      <c r="Q58" s="468"/>
      <c r="R58" s="453">
        <f>SUBTOTAL(9,R53:R57)</f>
        <v>0</v>
      </c>
      <c r="S58" s="468"/>
      <c r="T58" s="453">
        <f>SUBTOTAL(9,T53:T57)</f>
        <v>0</v>
      </c>
      <c r="U58" s="468"/>
      <c r="V58" s="453">
        <f>SUBTOTAL(9,V53:V57)</f>
        <v>0</v>
      </c>
      <c r="W58" s="468"/>
      <c r="X58" s="453">
        <f>SUBTOTAL(9,X53:X57)</f>
        <v>0</v>
      </c>
      <c r="Y58" s="468"/>
      <c r="Z58" s="453">
        <f>SUBTOTAL(9,Z53:Z57)</f>
        <v>0</v>
      </c>
      <c r="AA58" s="468"/>
      <c r="AB58" s="453">
        <f>SUBTOTAL(9,AB53:AB57)</f>
        <v>0</v>
      </c>
      <c r="AC58" s="468"/>
      <c r="AD58" s="453">
        <f>SUBTOTAL(9,AD53:AD57)</f>
        <v>0</v>
      </c>
      <c r="AE58" s="468"/>
      <c r="AF58" s="453">
        <f>SUBTOTAL(9,AF53:AF57)</f>
        <v>0</v>
      </c>
      <c r="AG58" s="468"/>
      <c r="AH58" s="411">
        <f>SUBTOTAL(9,AH53:AH57)</f>
        <v>0</v>
      </c>
      <c r="AJ58" s="444" t="str">
        <f t="shared" si="0"/>
        <v>0</v>
      </c>
    </row>
    <row r="59" spans="1:36">
      <c r="E59" s="416"/>
      <c r="F59" s="28"/>
      <c r="G59" s="28"/>
      <c r="H59" s="28"/>
      <c r="I59" s="28"/>
      <c r="J59" s="28"/>
      <c r="K59" s="28"/>
      <c r="L59" s="445"/>
      <c r="M59" s="468"/>
      <c r="N59" s="453"/>
      <c r="O59" s="468"/>
      <c r="P59" s="453"/>
      <c r="Q59" s="468"/>
      <c r="R59" s="453"/>
      <c r="S59" s="468"/>
      <c r="T59" s="453"/>
      <c r="U59" s="468"/>
      <c r="V59" s="453"/>
      <c r="W59" s="468"/>
      <c r="X59" s="453"/>
      <c r="Y59" s="468"/>
      <c r="Z59" s="453"/>
      <c r="AA59" s="468"/>
      <c r="AB59" s="453"/>
      <c r="AC59" s="468"/>
      <c r="AD59" s="453"/>
      <c r="AE59" s="468"/>
      <c r="AF59" s="453"/>
      <c r="AG59" s="468"/>
      <c r="AH59" s="411"/>
      <c r="AJ59" s="444" t="str">
        <f t="shared" si="0"/>
        <v>1</v>
      </c>
    </row>
    <row r="60" spans="1:36">
      <c r="E60" s="417" t="s">
        <v>695</v>
      </c>
      <c r="F60" s="28"/>
      <c r="G60" s="28"/>
      <c r="H60" s="28"/>
      <c r="I60" s="28"/>
      <c r="J60" s="28"/>
      <c r="K60" s="28"/>
      <c r="L60" s="445"/>
      <c r="M60" s="468"/>
      <c r="N60" s="453"/>
      <c r="O60" s="468"/>
      <c r="P60" s="453"/>
      <c r="Q60" s="468"/>
      <c r="R60" s="453"/>
      <c r="S60" s="468"/>
      <c r="T60" s="453"/>
      <c r="U60" s="468"/>
      <c r="V60" s="453"/>
      <c r="W60" s="468"/>
      <c r="X60" s="453"/>
      <c r="Y60" s="468"/>
      <c r="Z60" s="453"/>
      <c r="AA60" s="468"/>
      <c r="AB60" s="453"/>
      <c r="AC60" s="468"/>
      <c r="AD60" s="453"/>
      <c r="AE60" s="468"/>
      <c r="AF60" s="453"/>
      <c r="AG60" s="468"/>
      <c r="AH60" s="411"/>
      <c r="AJ60" s="444" t="str">
        <f t="shared" si="0"/>
        <v>1</v>
      </c>
    </row>
    <row r="61" spans="1:36">
      <c r="D61" s="28">
        <f>D57+1</f>
        <v>26</v>
      </c>
      <c r="E61" s="412" t="str">
        <f>VLOOKUP(D61,'WBS Staffing1'!$A$12:$B$57,2,FALSE)</f>
        <v>Material #1</v>
      </c>
      <c r="F61" s="28"/>
      <c r="G61" s="28"/>
      <c r="H61" s="28"/>
      <c r="I61" s="28"/>
      <c r="J61" s="28"/>
      <c r="K61" s="28"/>
      <c r="L61" s="445"/>
      <c r="M61" s="468"/>
      <c r="N61" s="453">
        <f>SUMIF($O$14:$AJ$14,N$14,$O61:$AJ61)</f>
        <v>0</v>
      </c>
      <c r="O61" s="468"/>
      <c r="P61" s="453">
        <f>INDEX('WBS Staffing1'!$B$7:$P$57,MATCH($D61,'WBS Staffing1'!$A$7:$A$57,0),MATCH(P$11,'WBS Staffing1'!$B$6:$P$6,0))</f>
        <v>0</v>
      </c>
      <c r="Q61" s="468"/>
      <c r="R61" s="453">
        <f>INDEX('WBS Staffing1'!$B$7:$P$57,MATCH($D61,'WBS Staffing1'!$A$7:$A$57,0),MATCH(R$11,'WBS Staffing1'!$B$6:$P$6,0))</f>
        <v>0</v>
      </c>
      <c r="S61" s="468"/>
      <c r="T61" s="453">
        <f>INDEX('WBS Staffing1'!$B$7:$P$57,MATCH($D61,'WBS Staffing1'!$A$7:$A$57,0),MATCH(T$11,'WBS Staffing1'!$B$6:$P$6,0))</f>
        <v>0</v>
      </c>
      <c r="U61" s="468"/>
      <c r="V61" s="453">
        <f>INDEX('WBS Staffing1'!$B$7:$P$57,MATCH($D61,'WBS Staffing1'!$A$7:$A$57,0),MATCH(V$11,'WBS Staffing1'!$B$6:$P$6,0))</f>
        <v>0</v>
      </c>
      <c r="W61" s="468"/>
      <c r="X61" s="453">
        <f>INDEX('WBS Staffing1'!$B$7:$P$57,MATCH($D61,'WBS Staffing1'!$A$7:$A$57,0),MATCH(X$11,'WBS Staffing1'!$B$6:$P$6,0))</f>
        <v>0</v>
      </c>
      <c r="Y61" s="468"/>
      <c r="Z61" s="453">
        <f>INDEX('WBS Staffing1'!$B$7:$P$57,MATCH($D61,'WBS Staffing1'!$A$7:$A$57,0),MATCH(Z$11,'WBS Staffing1'!$B$6:$P$6,0))</f>
        <v>0</v>
      </c>
      <c r="AA61" s="468"/>
      <c r="AB61" s="453">
        <f>INDEX('WBS Staffing1'!$B$7:$P$57,MATCH($D61,'WBS Staffing1'!$A$7:$A$57,0),MATCH(AB$11,'WBS Staffing1'!$B$6:$P$6,0))</f>
        <v>0</v>
      </c>
      <c r="AC61" s="468"/>
      <c r="AD61" s="453">
        <f>INDEX('WBS Staffing1'!$B$7:$P$57,MATCH($D61,'WBS Staffing1'!$A$7:$A$57,0),MATCH(AD$11,'WBS Staffing1'!$B$6:$P$6,0))</f>
        <v>0</v>
      </c>
      <c r="AE61" s="468"/>
      <c r="AF61" s="453">
        <f>INDEX('WBS Staffing1'!$B$7:$P$57,MATCH($D61,'WBS Staffing1'!$A$7:$A$57,0),MATCH(AF$11,'WBS Staffing1'!$B$6:$P$6,0))</f>
        <v>0</v>
      </c>
      <c r="AG61" s="468"/>
      <c r="AH61" s="411">
        <f>INDEX('WBS Staffing1'!$B$7:$P$57,MATCH($D61,'WBS Staffing1'!$A$7:$A$57,0),MATCH(AH$11,'WBS Staffing1'!$B$6:$P$6,0))</f>
        <v>0</v>
      </c>
      <c r="AJ61" s="444" t="str">
        <f t="shared" si="0"/>
        <v>0</v>
      </c>
    </row>
    <row r="62" spans="1:36">
      <c r="D62" s="28">
        <f>D61+1</f>
        <v>27</v>
      </c>
      <c r="E62" s="412" t="str">
        <f>VLOOKUP(D62,'WBS Staffing1'!$A$12:$B$57,2,FALSE)</f>
        <v>Material #2</v>
      </c>
      <c r="F62" s="28"/>
      <c r="G62" s="28"/>
      <c r="H62" s="28"/>
      <c r="I62" s="28"/>
      <c r="J62" s="28"/>
      <c r="K62" s="28"/>
      <c r="L62" s="445"/>
      <c r="M62" s="468"/>
      <c r="N62" s="453">
        <f>SUMIF($O$14:$AJ$14,N$14,$O62:$AJ62)</f>
        <v>0</v>
      </c>
      <c r="O62" s="468"/>
      <c r="P62" s="453">
        <f>INDEX('WBS Staffing1'!$B$7:$P$57,MATCH($D62,'WBS Staffing1'!$A$7:$A$57,0),MATCH(P$11,'WBS Staffing1'!$B$6:$P$6,0))</f>
        <v>0</v>
      </c>
      <c r="Q62" s="468"/>
      <c r="R62" s="453">
        <f>INDEX('WBS Staffing1'!$B$7:$P$57,MATCH($D62,'WBS Staffing1'!$A$7:$A$57,0),MATCH(R$11,'WBS Staffing1'!$B$6:$P$6,0))</f>
        <v>0</v>
      </c>
      <c r="S62" s="468"/>
      <c r="T62" s="453">
        <f>INDEX('WBS Staffing1'!$B$7:$P$57,MATCH($D62,'WBS Staffing1'!$A$7:$A$57,0),MATCH(T$11,'WBS Staffing1'!$B$6:$P$6,0))</f>
        <v>0</v>
      </c>
      <c r="U62" s="468"/>
      <c r="V62" s="453">
        <f>INDEX('WBS Staffing1'!$B$7:$P$57,MATCH($D62,'WBS Staffing1'!$A$7:$A$57,0),MATCH(V$11,'WBS Staffing1'!$B$6:$P$6,0))</f>
        <v>0</v>
      </c>
      <c r="W62" s="468"/>
      <c r="X62" s="453">
        <f>INDEX('WBS Staffing1'!$B$7:$P$57,MATCH($D62,'WBS Staffing1'!$A$7:$A$57,0),MATCH(X$11,'WBS Staffing1'!$B$6:$P$6,0))</f>
        <v>0</v>
      </c>
      <c r="Y62" s="468"/>
      <c r="Z62" s="453">
        <f>INDEX('WBS Staffing1'!$B$7:$P$57,MATCH($D62,'WBS Staffing1'!$A$7:$A$57,0),MATCH(Z$11,'WBS Staffing1'!$B$6:$P$6,0))</f>
        <v>0</v>
      </c>
      <c r="AA62" s="468"/>
      <c r="AB62" s="453">
        <f>INDEX('WBS Staffing1'!$B$7:$P$57,MATCH($D62,'WBS Staffing1'!$A$7:$A$57,0),MATCH(AB$11,'WBS Staffing1'!$B$6:$P$6,0))</f>
        <v>0</v>
      </c>
      <c r="AC62" s="468"/>
      <c r="AD62" s="453">
        <f>INDEX('WBS Staffing1'!$B$7:$P$57,MATCH($D62,'WBS Staffing1'!$A$7:$A$57,0),MATCH(AD$11,'WBS Staffing1'!$B$6:$P$6,0))</f>
        <v>0</v>
      </c>
      <c r="AE62" s="468"/>
      <c r="AF62" s="453">
        <f>INDEX('WBS Staffing1'!$B$7:$P$57,MATCH($D62,'WBS Staffing1'!$A$7:$A$57,0),MATCH(AF$11,'WBS Staffing1'!$B$6:$P$6,0))</f>
        <v>0</v>
      </c>
      <c r="AG62" s="468"/>
      <c r="AH62" s="411">
        <f>INDEX('WBS Staffing1'!$B$7:$P$57,MATCH($D62,'WBS Staffing1'!$A$7:$A$57,0),MATCH(AH$11,'WBS Staffing1'!$B$6:$P$6,0))</f>
        <v>0</v>
      </c>
      <c r="AJ62" s="444" t="str">
        <f t="shared" si="0"/>
        <v>0</v>
      </c>
    </row>
    <row r="63" spans="1:36">
      <c r="D63" s="28">
        <f>D62+1</f>
        <v>28</v>
      </c>
      <c r="E63" s="412" t="str">
        <f>VLOOKUP(D63,'WBS Staffing1'!$A$12:$B$57,2,FALSE)</f>
        <v>Material #3</v>
      </c>
      <c r="F63" s="28"/>
      <c r="G63" s="28"/>
      <c r="H63" s="28"/>
      <c r="I63" s="28"/>
      <c r="J63" s="28"/>
      <c r="K63" s="28"/>
      <c r="L63" s="445"/>
      <c r="M63" s="468"/>
      <c r="N63" s="453">
        <f>SUMIF($O$14:$AJ$14,N$14,$O63:$AJ63)</f>
        <v>0</v>
      </c>
      <c r="O63" s="468"/>
      <c r="P63" s="453">
        <f>INDEX('WBS Staffing1'!$B$7:$P$57,MATCH($D63,'WBS Staffing1'!$A$7:$A$57,0),MATCH(P$11,'WBS Staffing1'!$B$6:$P$6,0))</f>
        <v>0</v>
      </c>
      <c r="Q63" s="468"/>
      <c r="R63" s="453">
        <f>INDEX('WBS Staffing1'!$B$7:$P$57,MATCH($D63,'WBS Staffing1'!$A$7:$A$57,0),MATCH(R$11,'WBS Staffing1'!$B$6:$P$6,0))</f>
        <v>0</v>
      </c>
      <c r="S63" s="468"/>
      <c r="T63" s="453">
        <f>INDEX('WBS Staffing1'!$B$7:$P$57,MATCH($D63,'WBS Staffing1'!$A$7:$A$57,0),MATCH(T$11,'WBS Staffing1'!$B$6:$P$6,0))</f>
        <v>0</v>
      </c>
      <c r="U63" s="468"/>
      <c r="V63" s="453">
        <f>INDEX('WBS Staffing1'!$B$7:$P$57,MATCH($D63,'WBS Staffing1'!$A$7:$A$57,0),MATCH(V$11,'WBS Staffing1'!$B$6:$P$6,0))</f>
        <v>0</v>
      </c>
      <c r="W63" s="468"/>
      <c r="X63" s="453">
        <f>INDEX('WBS Staffing1'!$B$7:$P$57,MATCH($D63,'WBS Staffing1'!$A$7:$A$57,0),MATCH(X$11,'WBS Staffing1'!$B$6:$P$6,0))</f>
        <v>0</v>
      </c>
      <c r="Y63" s="468"/>
      <c r="Z63" s="453">
        <f>INDEX('WBS Staffing1'!$B$7:$P$57,MATCH($D63,'WBS Staffing1'!$A$7:$A$57,0),MATCH(Z$11,'WBS Staffing1'!$B$6:$P$6,0))</f>
        <v>0</v>
      </c>
      <c r="AA63" s="468"/>
      <c r="AB63" s="453">
        <f>INDEX('WBS Staffing1'!$B$7:$P$57,MATCH($D63,'WBS Staffing1'!$A$7:$A$57,0),MATCH(AB$11,'WBS Staffing1'!$B$6:$P$6,0))</f>
        <v>0</v>
      </c>
      <c r="AC63" s="468"/>
      <c r="AD63" s="453">
        <f>INDEX('WBS Staffing1'!$B$7:$P$57,MATCH($D63,'WBS Staffing1'!$A$7:$A$57,0),MATCH(AD$11,'WBS Staffing1'!$B$6:$P$6,0))</f>
        <v>0</v>
      </c>
      <c r="AE63" s="468"/>
      <c r="AF63" s="453">
        <f>INDEX('WBS Staffing1'!$B$7:$P$57,MATCH($D63,'WBS Staffing1'!$A$7:$A$57,0),MATCH(AF$11,'WBS Staffing1'!$B$6:$P$6,0))</f>
        <v>0</v>
      </c>
      <c r="AG63" s="468"/>
      <c r="AH63" s="411">
        <f>INDEX('WBS Staffing1'!$B$7:$P$57,MATCH($D63,'WBS Staffing1'!$A$7:$A$57,0),MATCH(AH$11,'WBS Staffing1'!$B$6:$P$6,0))</f>
        <v>0</v>
      </c>
      <c r="AJ63" s="444" t="str">
        <f t="shared" si="0"/>
        <v>0</v>
      </c>
    </row>
    <row r="64" spans="1:36">
      <c r="D64" s="28">
        <f>D63+1</f>
        <v>29</v>
      </c>
      <c r="E64" s="412" t="str">
        <f>VLOOKUP(D64,'WBS Staffing1'!$A$12:$B$57,2,FALSE)</f>
        <v>Material #4</v>
      </c>
      <c r="F64" s="28"/>
      <c r="G64" s="28"/>
      <c r="H64" s="28"/>
      <c r="I64" s="28"/>
      <c r="J64" s="28"/>
      <c r="K64" s="28"/>
      <c r="L64" s="445"/>
      <c r="M64" s="468"/>
      <c r="N64" s="453">
        <f>SUMIF($O$14:$AJ$14,N$14,$O64:$AJ64)</f>
        <v>0</v>
      </c>
      <c r="O64" s="468"/>
      <c r="P64" s="453">
        <f>INDEX('WBS Staffing1'!$B$7:$P$57,MATCH($D64,'WBS Staffing1'!$A$7:$A$57,0),MATCH(P$11,'WBS Staffing1'!$B$6:$P$6,0))</f>
        <v>0</v>
      </c>
      <c r="Q64" s="468"/>
      <c r="R64" s="453">
        <f>INDEX('WBS Staffing1'!$B$7:$P$57,MATCH($D64,'WBS Staffing1'!$A$7:$A$57,0),MATCH(R$11,'WBS Staffing1'!$B$6:$P$6,0))</f>
        <v>0</v>
      </c>
      <c r="S64" s="468"/>
      <c r="T64" s="453">
        <f>INDEX('WBS Staffing1'!$B$7:$P$57,MATCH($D64,'WBS Staffing1'!$A$7:$A$57,0),MATCH(T$11,'WBS Staffing1'!$B$6:$P$6,0))</f>
        <v>0</v>
      </c>
      <c r="U64" s="468"/>
      <c r="V64" s="453">
        <f>INDEX('WBS Staffing1'!$B$7:$P$57,MATCH($D64,'WBS Staffing1'!$A$7:$A$57,0),MATCH(V$11,'WBS Staffing1'!$B$6:$P$6,0))</f>
        <v>0</v>
      </c>
      <c r="W64" s="468"/>
      <c r="X64" s="453">
        <f>INDEX('WBS Staffing1'!$B$7:$P$57,MATCH($D64,'WBS Staffing1'!$A$7:$A$57,0),MATCH(X$11,'WBS Staffing1'!$B$6:$P$6,0))</f>
        <v>0</v>
      </c>
      <c r="Y64" s="468"/>
      <c r="Z64" s="453">
        <f>INDEX('WBS Staffing1'!$B$7:$P$57,MATCH($D64,'WBS Staffing1'!$A$7:$A$57,0),MATCH(Z$11,'WBS Staffing1'!$B$6:$P$6,0))</f>
        <v>0</v>
      </c>
      <c r="AA64" s="468"/>
      <c r="AB64" s="453">
        <f>INDEX('WBS Staffing1'!$B$7:$P$57,MATCH($D64,'WBS Staffing1'!$A$7:$A$57,0),MATCH(AB$11,'WBS Staffing1'!$B$6:$P$6,0))</f>
        <v>0</v>
      </c>
      <c r="AC64" s="468"/>
      <c r="AD64" s="453">
        <f>INDEX('WBS Staffing1'!$B$7:$P$57,MATCH($D64,'WBS Staffing1'!$A$7:$A$57,0),MATCH(AD$11,'WBS Staffing1'!$B$6:$P$6,0))</f>
        <v>0</v>
      </c>
      <c r="AE64" s="468"/>
      <c r="AF64" s="453">
        <f>INDEX('WBS Staffing1'!$B$7:$P$57,MATCH($D64,'WBS Staffing1'!$A$7:$A$57,0),MATCH(AF$11,'WBS Staffing1'!$B$6:$P$6,0))</f>
        <v>0</v>
      </c>
      <c r="AG64" s="468"/>
      <c r="AH64" s="411">
        <f>INDEX('WBS Staffing1'!$B$7:$P$57,MATCH($D64,'WBS Staffing1'!$A$7:$A$57,0),MATCH(AH$11,'WBS Staffing1'!$B$6:$P$6,0))</f>
        <v>0</v>
      </c>
      <c r="AJ64" s="444" t="str">
        <f t="shared" si="0"/>
        <v>0</v>
      </c>
    </row>
    <row r="65" spans="1:36" s="397" customFormat="1">
      <c r="A65" s="28"/>
      <c r="B65" s="28"/>
      <c r="C65" s="28"/>
      <c r="D65" s="28">
        <f>D64+1</f>
        <v>30</v>
      </c>
      <c r="E65" s="415" t="str">
        <f>VLOOKUP(D65,'WBS Staffing1'!$A$12:$B$57,2,FALSE)</f>
        <v>Material #5</v>
      </c>
      <c r="L65" s="477"/>
      <c r="M65" s="470"/>
      <c r="N65" s="464">
        <f>SUMIF($O$14:$AJ$14,N$14,$O65:$AJ65)</f>
        <v>0</v>
      </c>
      <c r="O65" s="470"/>
      <c r="P65" s="464">
        <f>INDEX('WBS Staffing1'!$B$7:$P$57,MATCH($D65,'WBS Staffing1'!$A$7:$A$57,0),MATCH(P$11,'WBS Staffing1'!$B$6:$P$6,0))</f>
        <v>0</v>
      </c>
      <c r="Q65" s="470"/>
      <c r="R65" s="464">
        <f>INDEX('WBS Staffing1'!$B$7:$P$57,MATCH($D65,'WBS Staffing1'!$A$7:$A$57,0),MATCH(R$11,'WBS Staffing1'!$B$6:$P$6,0))</f>
        <v>0</v>
      </c>
      <c r="S65" s="470"/>
      <c r="T65" s="464">
        <f>INDEX('WBS Staffing1'!$B$7:$P$57,MATCH($D65,'WBS Staffing1'!$A$7:$A$57,0),MATCH(T$11,'WBS Staffing1'!$B$6:$P$6,0))</f>
        <v>0</v>
      </c>
      <c r="U65" s="470"/>
      <c r="V65" s="464">
        <f>INDEX('WBS Staffing1'!$B$7:$P$57,MATCH($D65,'WBS Staffing1'!$A$7:$A$57,0),MATCH(V$11,'WBS Staffing1'!$B$6:$P$6,0))</f>
        <v>0</v>
      </c>
      <c r="W65" s="470"/>
      <c r="X65" s="464">
        <f>INDEX('WBS Staffing1'!$B$7:$P$57,MATCH($D65,'WBS Staffing1'!$A$7:$A$57,0),MATCH(X$11,'WBS Staffing1'!$B$6:$P$6,0))</f>
        <v>0</v>
      </c>
      <c r="Y65" s="470"/>
      <c r="Z65" s="464">
        <f>INDEX('WBS Staffing1'!$B$7:$P$57,MATCH($D65,'WBS Staffing1'!$A$7:$A$57,0),MATCH(Z$11,'WBS Staffing1'!$B$6:$P$6,0))</f>
        <v>0</v>
      </c>
      <c r="AA65" s="470"/>
      <c r="AB65" s="464">
        <f>INDEX('WBS Staffing1'!$B$7:$P$57,MATCH($D65,'WBS Staffing1'!$A$7:$A$57,0),MATCH(AB$11,'WBS Staffing1'!$B$6:$P$6,0))</f>
        <v>0</v>
      </c>
      <c r="AC65" s="470"/>
      <c r="AD65" s="464">
        <f>INDEX('WBS Staffing1'!$B$7:$P$57,MATCH($D65,'WBS Staffing1'!$A$7:$A$57,0),MATCH(AD$11,'WBS Staffing1'!$B$6:$P$6,0))</f>
        <v>0</v>
      </c>
      <c r="AE65" s="470"/>
      <c r="AF65" s="464">
        <f>INDEX('WBS Staffing1'!$B$7:$P$57,MATCH($D65,'WBS Staffing1'!$A$7:$A$57,0),MATCH(AF$11,'WBS Staffing1'!$B$6:$P$6,0))</f>
        <v>0</v>
      </c>
      <c r="AG65" s="470"/>
      <c r="AH65" s="418">
        <f>INDEX('WBS Staffing1'!$B$7:$P$57,MATCH($D65,'WBS Staffing1'!$A$7:$A$57,0),MATCH(AH$11,'WBS Staffing1'!$B$6:$P$6,0))</f>
        <v>0</v>
      </c>
      <c r="AJ65" s="465" t="str">
        <f t="shared" si="0"/>
        <v>0</v>
      </c>
    </row>
    <row r="66" spans="1:36">
      <c r="E66" s="402" t="s">
        <v>698</v>
      </c>
      <c r="F66" s="28"/>
      <c r="G66" s="28"/>
      <c r="H66" s="28"/>
      <c r="I66" s="28"/>
      <c r="J66" s="28"/>
      <c r="K66" s="28"/>
      <c r="L66" s="445"/>
      <c r="M66" s="468"/>
      <c r="N66" s="453">
        <f>SUBTOTAL(9,N61:N65)</f>
        <v>0</v>
      </c>
      <c r="O66" s="468"/>
      <c r="P66" s="453">
        <f>SUBTOTAL(9,P61:P65)</f>
        <v>0</v>
      </c>
      <c r="Q66" s="468"/>
      <c r="R66" s="453">
        <f>SUBTOTAL(9,R61:R65)</f>
        <v>0</v>
      </c>
      <c r="S66" s="468"/>
      <c r="T66" s="453">
        <f>SUBTOTAL(9,T61:T65)</f>
        <v>0</v>
      </c>
      <c r="U66" s="468"/>
      <c r="V66" s="453">
        <f>SUBTOTAL(9,V61:V65)</f>
        <v>0</v>
      </c>
      <c r="W66" s="468"/>
      <c r="X66" s="453">
        <f>SUBTOTAL(9,X61:X65)</f>
        <v>0</v>
      </c>
      <c r="Y66" s="468"/>
      <c r="Z66" s="453">
        <f>SUBTOTAL(9,Z61:Z65)</f>
        <v>0</v>
      </c>
      <c r="AA66" s="468"/>
      <c r="AB66" s="453">
        <f>SUBTOTAL(9,AB61:AB65)</f>
        <v>0</v>
      </c>
      <c r="AC66" s="468"/>
      <c r="AD66" s="453">
        <f>SUBTOTAL(9,AD61:AD65)</f>
        <v>0</v>
      </c>
      <c r="AE66" s="468"/>
      <c r="AF66" s="453">
        <f>SUBTOTAL(9,AF61:AF65)</f>
        <v>0</v>
      </c>
      <c r="AG66" s="468"/>
      <c r="AH66" s="411">
        <f>SUBTOTAL(9,AH61:AH65)</f>
        <v>0</v>
      </c>
      <c r="AJ66" s="444" t="str">
        <f t="shared" si="0"/>
        <v>0</v>
      </c>
    </row>
    <row r="67" spans="1:36">
      <c r="E67" s="369"/>
      <c r="F67" s="28"/>
      <c r="G67" s="28"/>
      <c r="H67" s="28"/>
      <c r="I67" s="28"/>
      <c r="J67" s="28"/>
      <c r="K67" s="28"/>
      <c r="L67" s="445"/>
      <c r="M67" s="468"/>
      <c r="N67" s="453"/>
      <c r="O67" s="468"/>
      <c r="P67" s="453"/>
      <c r="Q67" s="468"/>
      <c r="R67" s="453"/>
      <c r="S67" s="468"/>
      <c r="T67" s="453"/>
      <c r="U67" s="468"/>
      <c r="V67" s="453"/>
      <c r="W67" s="468"/>
      <c r="X67" s="453"/>
      <c r="Y67" s="468"/>
      <c r="Z67" s="453"/>
      <c r="AA67" s="468"/>
      <c r="AB67" s="453"/>
      <c r="AC67" s="468"/>
      <c r="AD67" s="453"/>
      <c r="AE67" s="468"/>
      <c r="AF67" s="453"/>
      <c r="AG67" s="468"/>
      <c r="AH67" s="411"/>
      <c r="AJ67" s="444" t="str">
        <f t="shared" si="0"/>
        <v>1</v>
      </c>
    </row>
    <row r="68" spans="1:36">
      <c r="E68" s="417" t="s">
        <v>660</v>
      </c>
      <c r="F68" s="28"/>
      <c r="G68" s="28"/>
      <c r="H68" s="28"/>
      <c r="I68" s="28"/>
      <c r="J68" s="28"/>
      <c r="K68" s="28"/>
      <c r="L68" s="445"/>
      <c r="M68" s="468"/>
      <c r="N68" s="453"/>
      <c r="O68" s="468"/>
      <c r="P68" s="453"/>
      <c r="Q68" s="468"/>
      <c r="R68" s="453"/>
      <c r="S68" s="468"/>
      <c r="T68" s="453"/>
      <c r="U68" s="468"/>
      <c r="V68" s="453"/>
      <c r="W68" s="468"/>
      <c r="X68" s="453"/>
      <c r="Y68" s="468"/>
      <c r="Z68" s="453"/>
      <c r="AA68" s="468"/>
      <c r="AB68" s="453"/>
      <c r="AC68" s="468"/>
      <c r="AD68" s="453"/>
      <c r="AE68" s="468"/>
      <c r="AF68" s="453"/>
      <c r="AG68" s="468"/>
      <c r="AH68" s="411"/>
      <c r="AJ68" s="444" t="str">
        <f t="shared" si="0"/>
        <v>1</v>
      </c>
    </row>
    <row r="69" spans="1:36">
      <c r="D69" s="28">
        <f>D65+1</f>
        <v>31</v>
      </c>
      <c r="E69" s="412" t="str">
        <f>VLOOKUP(D69,'WBS Staffing1'!$A$12:$B$57,2,FALSE)</f>
        <v>Segovia, Inc.</v>
      </c>
      <c r="F69" s="28"/>
      <c r="G69" s="28"/>
      <c r="H69" s="28"/>
      <c r="I69" s="28"/>
      <c r="J69" s="28"/>
      <c r="K69" s="28"/>
      <c r="L69" s="445"/>
      <c r="M69" s="478" t="e">
        <f t="shared" ref="M69:M74" si="21">IF(N95=0,"",(N69/N$95))</f>
        <v>#N/A</v>
      </c>
      <c r="N69" s="453">
        <f>SUMIF($O$14:$AJ$14,N$14,$O69:$AJ69)</f>
        <v>0</v>
      </c>
      <c r="O69" s="478" t="e">
        <f t="shared" ref="O69:O74" si="22">IF(P95=0,"",(P69/P$95))</f>
        <v>#N/A</v>
      </c>
      <c r="P69" s="453">
        <f>INDEX('WBS Staffing1'!$B$7:$P$57,MATCH($D69,'WBS Staffing1'!$A$7:$A$57,0),MATCH(P$11,'WBS Staffing1'!$B$6:$P$6,0))</f>
        <v>0</v>
      </c>
      <c r="Q69" s="478" t="e">
        <f t="shared" ref="Q69:Q74" si="23">IF(R95=0,"",(R69/R$95))</f>
        <v>#N/A</v>
      </c>
      <c r="R69" s="453">
        <f>INDEX('WBS Staffing1'!$B$7:$P$57,MATCH($D69,'WBS Staffing1'!$A$7:$A$57,0),MATCH(R$11,'WBS Staffing1'!$B$6:$P$6,0))</f>
        <v>0</v>
      </c>
      <c r="S69" s="478" t="e">
        <f t="shared" ref="S69:S74" si="24">IF(T95=0,"",(T69/T$95))</f>
        <v>#N/A</v>
      </c>
      <c r="T69" s="453">
        <f>INDEX('WBS Staffing1'!$B$7:$P$57,MATCH($D69,'WBS Staffing1'!$A$7:$A$57,0),MATCH(T$11,'WBS Staffing1'!$B$6:$P$6,0))</f>
        <v>0</v>
      </c>
      <c r="U69" s="478" t="e">
        <f t="shared" ref="U69:U74" si="25">IF(V95=0,"",(V69/V$95))</f>
        <v>#N/A</v>
      </c>
      <c r="V69" s="453">
        <f>INDEX('WBS Staffing1'!$B$7:$P$57,MATCH($D69,'WBS Staffing1'!$A$7:$A$57,0),MATCH(V$11,'WBS Staffing1'!$B$6:$P$6,0))</f>
        <v>0</v>
      </c>
      <c r="W69" s="478" t="e">
        <f t="shared" ref="W69:W74" si="26">IF(X95=0,"",(X69/X$95))</f>
        <v>#N/A</v>
      </c>
      <c r="X69" s="453">
        <f>INDEX('WBS Staffing1'!$B$7:$P$57,MATCH($D69,'WBS Staffing1'!$A$7:$A$57,0),MATCH(X$11,'WBS Staffing1'!$B$6:$P$6,0))</f>
        <v>0</v>
      </c>
      <c r="Y69" s="478" t="e">
        <f t="shared" ref="Y69:Y74" si="27">IF(Z95=0,"",(Z69/Z$95))</f>
        <v>#N/A</v>
      </c>
      <c r="Z69" s="453">
        <f>INDEX('WBS Staffing1'!$B$7:$P$57,MATCH($D69,'WBS Staffing1'!$A$7:$A$57,0),MATCH(Z$11,'WBS Staffing1'!$B$6:$P$6,0))</f>
        <v>0</v>
      </c>
      <c r="AA69" s="478" t="e">
        <f t="shared" ref="AA69:AA74" si="28">IF(AB95=0,"",(AB69/AB$95))</f>
        <v>#N/A</v>
      </c>
      <c r="AB69" s="453">
        <f>INDEX('WBS Staffing1'!$B$7:$P$57,MATCH($D69,'WBS Staffing1'!$A$7:$A$57,0),MATCH(AB$11,'WBS Staffing1'!$B$6:$P$6,0))</f>
        <v>0</v>
      </c>
      <c r="AC69" s="478" t="e">
        <f t="shared" ref="AC69:AC74" si="29">IF(AD95=0,"",(AD69/AD$95))</f>
        <v>#N/A</v>
      </c>
      <c r="AD69" s="453">
        <f>INDEX('WBS Staffing1'!$B$7:$P$57,MATCH($D69,'WBS Staffing1'!$A$7:$A$57,0),MATCH(AD$11,'WBS Staffing1'!$B$6:$P$6,0))</f>
        <v>0</v>
      </c>
      <c r="AE69" s="478" t="e">
        <f t="shared" ref="AE69:AE74" si="30">IF(AF95=0,"",(AF69/AF$95))</f>
        <v>#N/A</v>
      </c>
      <c r="AF69" s="453">
        <f>INDEX('WBS Staffing1'!$B$7:$P$57,MATCH($D69,'WBS Staffing1'!$A$7:$A$57,0),MATCH(AF$11,'WBS Staffing1'!$B$6:$P$6,0))</f>
        <v>0</v>
      </c>
      <c r="AG69" s="478" t="e">
        <f t="shared" ref="AG69:AG74" si="31">IF(AH95=0,"",(AH69/AH$95))</f>
        <v>#N/A</v>
      </c>
      <c r="AH69" s="411">
        <f>INDEX('WBS Staffing1'!$B$7:$P$57,MATCH($D69,'WBS Staffing1'!$A$7:$A$57,0),MATCH(AH$11,'WBS Staffing1'!$B$6:$P$6,0))</f>
        <v>0</v>
      </c>
      <c r="AJ69" s="444" t="str">
        <f t="shared" si="0"/>
        <v>0</v>
      </c>
    </row>
    <row r="70" spans="1:36">
      <c r="D70" s="28">
        <f>D69+1</f>
        <v>32</v>
      </c>
      <c r="E70" s="412" t="str">
        <f>VLOOKUP(D70,'WBS Staffing1'!$A$12:$B$57,2,FALSE)</f>
        <v>Briggs and Sons</v>
      </c>
      <c r="F70" s="28"/>
      <c r="G70" s="28"/>
      <c r="H70" s="28"/>
      <c r="I70" s="28"/>
      <c r="J70" s="28"/>
      <c r="K70" s="28"/>
      <c r="L70" s="445"/>
      <c r="M70" s="478" t="str">
        <f t="shared" si="21"/>
        <v/>
      </c>
      <c r="N70" s="453">
        <f>SUMIF($O$14:$AJ$14,N$14,$O70:$AJ70)</f>
        <v>0</v>
      </c>
      <c r="O70" s="478" t="str">
        <f t="shared" si="22"/>
        <v/>
      </c>
      <c r="P70" s="453">
        <f>INDEX('WBS Staffing1'!$B$7:$P$57,MATCH($D70,'WBS Staffing1'!$A$7:$A$57,0),MATCH(P$11,'WBS Staffing1'!$B$6:$P$6,0))</f>
        <v>0</v>
      </c>
      <c r="Q70" s="478" t="str">
        <f t="shared" si="23"/>
        <v/>
      </c>
      <c r="R70" s="453">
        <f>INDEX('WBS Staffing1'!$B$7:$P$57,MATCH($D70,'WBS Staffing1'!$A$7:$A$57,0),MATCH(R$11,'WBS Staffing1'!$B$6:$P$6,0))</f>
        <v>0</v>
      </c>
      <c r="S70" s="478" t="str">
        <f t="shared" si="24"/>
        <v/>
      </c>
      <c r="T70" s="453">
        <f>INDEX('WBS Staffing1'!$B$7:$P$57,MATCH($D70,'WBS Staffing1'!$A$7:$A$57,0),MATCH(T$11,'WBS Staffing1'!$B$6:$P$6,0))</f>
        <v>0</v>
      </c>
      <c r="U70" s="478" t="str">
        <f t="shared" si="25"/>
        <v/>
      </c>
      <c r="V70" s="453">
        <f>INDEX('WBS Staffing1'!$B$7:$P$57,MATCH($D70,'WBS Staffing1'!$A$7:$A$57,0),MATCH(V$11,'WBS Staffing1'!$B$6:$P$6,0))</f>
        <v>0</v>
      </c>
      <c r="W70" s="478" t="str">
        <f t="shared" si="26"/>
        <v/>
      </c>
      <c r="X70" s="453">
        <f>INDEX('WBS Staffing1'!$B$7:$P$57,MATCH($D70,'WBS Staffing1'!$A$7:$A$57,0),MATCH(X$11,'WBS Staffing1'!$B$6:$P$6,0))</f>
        <v>0</v>
      </c>
      <c r="Y70" s="478" t="str">
        <f t="shared" si="27"/>
        <v/>
      </c>
      <c r="Z70" s="453">
        <f>INDEX('WBS Staffing1'!$B$7:$P$57,MATCH($D70,'WBS Staffing1'!$A$7:$A$57,0),MATCH(Z$11,'WBS Staffing1'!$B$6:$P$6,0))</f>
        <v>0</v>
      </c>
      <c r="AA70" s="478" t="str">
        <f t="shared" si="28"/>
        <v/>
      </c>
      <c r="AB70" s="453">
        <f>INDEX('WBS Staffing1'!$B$7:$P$57,MATCH($D70,'WBS Staffing1'!$A$7:$A$57,0),MATCH(AB$11,'WBS Staffing1'!$B$6:$P$6,0))</f>
        <v>0</v>
      </c>
      <c r="AC70" s="478" t="str">
        <f t="shared" si="29"/>
        <v/>
      </c>
      <c r="AD70" s="453">
        <f>INDEX('WBS Staffing1'!$B$7:$P$57,MATCH($D70,'WBS Staffing1'!$A$7:$A$57,0),MATCH(AD$11,'WBS Staffing1'!$B$6:$P$6,0))</f>
        <v>0</v>
      </c>
      <c r="AE70" s="478" t="str">
        <f t="shared" si="30"/>
        <v/>
      </c>
      <c r="AF70" s="453">
        <f>INDEX('WBS Staffing1'!$B$7:$P$57,MATCH($D70,'WBS Staffing1'!$A$7:$A$57,0),MATCH(AF$11,'WBS Staffing1'!$B$6:$P$6,0))</f>
        <v>0</v>
      </c>
      <c r="AG70" s="478" t="str">
        <f t="shared" si="31"/>
        <v/>
      </c>
      <c r="AH70" s="411">
        <f>INDEX('WBS Staffing1'!$B$7:$P$57,MATCH($D70,'WBS Staffing1'!$A$7:$A$57,0),MATCH(AH$11,'WBS Staffing1'!$B$6:$P$6,0))</f>
        <v>0</v>
      </c>
      <c r="AJ70" s="444" t="str">
        <f t="shared" si="0"/>
        <v>0</v>
      </c>
    </row>
    <row r="71" spans="1:36">
      <c r="D71" s="28">
        <f>D70+1</f>
        <v>33</v>
      </c>
      <c r="E71" s="412" t="str">
        <f>VLOOKUP(D71,'WBS Staffing1'!$A$12:$B$57,2,FALSE)</f>
        <v>Yvan</v>
      </c>
      <c r="F71" s="28"/>
      <c r="G71" s="28"/>
      <c r="H71" s="28"/>
      <c r="I71" s="28"/>
      <c r="J71" s="28"/>
      <c r="K71" s="28"/>
      <c r="L71" s="445"/>
      <c r="M71" s="478" t="str">
        <f t="shared" si="21"/>
        <v/>
      </c>
      <c r="N71" s="453">
        <f>SUMIF($O$14:$AJ$14,N$14,$O71:$AJ71)</f>
        <v>0</v>
      </c>
      <c r="O71" s="478" t="str">
        <f t="shared" si="22"/>
        <v/>
      </c>
      <c r="P71" s="453">
        <f>INDEX('WBS Staffing1'!$B$7:$P$57,MATCH($D71,'WBS Staffing1'!$A$7:$A$57,0),MATCH(P$11,'WBS Staffing1'!$B$6:$P$6,0))</f>
        <v>0</v>
      </c>
      <c r="Q71" s="478" t="str">
        <f t="shared" si="23"/>
        <v/>
      </c>
      <c r="R71" s="453">
        <f>INDEX('WBS Staffing1'!$B$7:$P$57,MATCH($D71,'WBS Staffing1'!$A$7:$A$57,0),MATCH(R$11,'WBS Staffing1'!$B$6:$P$6,0))</f>
        <v>0</v>
      </c>
      <c r="S71" s="478" t="str">
        <f t="shared" si="24"/>
        <v/>
      </c>
      <c r="T71" s="453">
        <f>INDEX('WBS Staffing1'!$B$7:$P$57,MATCH($D71,'WBS Staffing1'!$A$7:$A$57,0),MATCH(T$11,'WBS Staffing1'!$B$6:$P$6,0))</f>
        <v>0</v>
      </c>
      <c r="U71" s="478" t="str">
        <f t="shared" si="25"/>
        <v/>
      </c>
      <c r="V71" s="453">
        <f>INDEX('WBS Staffing1'!$B$7:$P$57,MATCH($D71,'WBS Staffing1'!$A$7:$A$57,0),MATCH(V$11,'WBS Staffing1'!$B$6:$P$6,0))</f>
        <v>0</v>
      </c>
      <c r="W71" s="478" t="str">
        <f t="shared" si="26"/>
        <v/>
      </c>
      <c r="X71" s="453">
        <f>INDEX('WBS Staffing1'!$B$7:$P$57,MATCH($D71,'WBS Staffing1'!$A$7:$A$57,0),MATCH(X$11,'WBS Staffing1'!$B$6:$P$6,0))</f>
        <v>0</v>
      </c>
      <c r="Y71" s="478" t="str">
        <f t="shared" si="27"/>
        <v/>
      </c>
      <c r="Z71" s="453">
        <f>INDEX('WBS Staffing1'!$B$7:$P$57,MATCH($D71,'WBS Staffing1'!$A$7:$A$57,0),MATCH(Z$11,'WBS Staffing1'!$B$6:$P$6,0))</f>
        <v>0</v>
      </c>
      <c r="AA71" s="478" t="str">
        <f t="shared" si="28"/>
        <v/>
      </c>
      <c r="AB71" s="453">
        <f>INDEX('WBS Staffing1'!$B$7:$P$57,MATCH($D71,'WBS Staffing1'!$A$7:$A$57,0),MATCH(AB$11,'WBS Staffing1'!$B$6:$P$6,0))</f>
        <v>0</v>
      </c>
      <c r="AC71" s="478" t="str">
        <f t="shared" si="29"/>
        <v/>
      </c>
      <c r="AD71" s="453">
        <f>INDEX('WBS Staffing1'!$B$7:$P$57,MATCH($D71,'WBS Staffing1'!$A$7:$A$57,0),MATCH(AD$11,'WBS Staffing1'!$B$6:$P$6,0))</f>
        <v>0</v>
      </c>
      <c r="AE71" s="478" t="str">
        <f t="shared" si="30"/>
        <v/>
      </c>
      <c r="AF71" s="453">
        <f>INDEX('WBS Staffing1'!$B$7:$P$57,MATCH($D71,'WBS Staffing1'!$A$7:$A$57,0),MATCH(AF$11,'WBS Staffing1'!$B$6:$P$6,0))</f>
        <v>0</v>
      </c>
      <c r="AG71" s="478" t="str">
        <f t="shared" si="31"/>
        <v/>
      </c>
      <c r="AH71" s="411">
        <f>INDEX('WBS Staffing1'!$B$7:$P$57,MATCH($D71,'WBS Staffing1'!$A$7:$A$57,0),MATCH(AH$11,'WBS Staffing1'!$B$6:$P$6,0))</f>
        <v>0</v>
      </c>
      <c r="AJ71" s="444" t="str">
        <f t="shared" si="0"/>
        <v>0</v>
      </c>
    </row>
    <row r="72" spans="1:36">
      <c r="D72" s="28">
        <f>D71+1</f>
        <v>34</v>
      </c>
      <c r="E72" s="412" t="str">
        <f>VLOOKUP(D72,'WBS Staffing1'!$A$12:$B$57,2,FALSE)</f>
        <v>Sub 4</v>
      </c>
      <c r="F72" s="28"/>
      <c r="G72" s="28"/>
      <c r="H72" s="28"/>
      <c r="I72" s="28"/>
      <c r="J72" s="28"/>
      <c r="K72" s="28"/>
      <c r="L72" s="445"/>
      <c r="M72" s="478" t="str">
        <f t="shared" si="21"/>
        <v/>
      </c>
      <c r="N72" s="453">
        <f>SUMIF($O$14:$AJ$14,N$14,$O72:$AJ72)</f>
        <v>0</v>
      </c>
      <c r="O72" s="478" t="str">
        <f t="shared" si="22"/>
        <v/>
      </c>
      <c r="P72" s="453">
        <f>INDEX('WBS Staffing1'!$B$7:$P$57,MATCH($D72,'WBS Staffing1'!$A$7:$A$57,0),MATCH(P$11,'WBS Staffing1'!$B$6:$P$6,0))</f>
        <v>0</v>
      </c>
      <c r="Q72" s="478" t="str">
        <f t="shared" si="23"/>
        <v/>
      </c>
      <c r="R72" s="453">
        <f>INDEX('WBS Staffing1'!$B$7:$P$57,MATCH($D72,'WBS Staffing1'!$A$7:$A$57,0),MATCH(R$11,'WBS Staffing1'!$B$6:$P$6,0))</f>
        <v>0</v>
      </c>
      <c r="S72" s="478" t="str">
        <f t="shared" si="24"/>
        <v/>
      </c>
      <c r="T72" s="453">
        <f>INDEX('WBS Staffing1'!$B$7:$P$57,MATCH($D72,'WBS Staffing1'!$A$7:$A$57,0),MATCH(T$11,'WBS Staffing1'!$B$6:$P$6,0))</f>
        <v>0</v>
      </c>
      <c r="U72" s="478" t="str">
        <f t="shared" si="25"/>
        <v/>
      </c>
      <c r="V72" s="453">
        <f>INDEX('WBS Staffing1'!$B$7:$P$57,MATCH($D72,'WBS Staffing1'!$A$7:$A$57,0),MATCH(V$11,'WBS Staffing1'!$B$6:$P$6,0))</f>
        <v>0</v>
      </c>
      <c r="W72" s="478" t="str">
        <f t="shared" si="26"/>
        <v/>
      </c>
      <c r="X72" s="453">
        <f>INDEX('WBS Staffing1'!$B$7:$P$57,MATCH($D72,'WBS Staffing1'!$A$7:$A$57,0),MATCH(X$11,'WBS Staffing1'!$B$6:$P$6,0))</f>
        <v>0</v>
      </c>
      <c r="Y72" s="478" t="str">
        <f t="shared" si="27"/>
        <v/>
      </c>
      <c r="Z72" s="453">
        <f>INDEX('WBS Staffing1'!$B$7:$P$57,MATCH($D72,'WBS Staffing1'!$A$7:$A$57,0),MATCH(Z$11,'WBS Staffing1'!$B$6:$P$6,0))</f>
        <v>0</v>
      </c>
      <c r="AA72" s="478" t="str">
        <f t="shared" si="28"/>
        <v/>
      </c>
      <c r="AB72" s="453">
        <f>INDEX('WBS Staffing1'!$B$7:$P$57,MATCH($D72,'WBS Staffing1'!$A$7:$A$57,0),MATCH(AB$11,'WBS Staffing1'!$B$6:$P$6,0))</f>
        <v>0</v>
      </c>
      <c r="AC72" s="478" t="str">
        <f t="shared" si="29"/>
        <v/>
      </c>
      <c r="AD72" s="453">
        <f>INDEX('WBS Staffing1'!$B$7:$P$57,MATCH($D72,'WBS Staffing1'!$A$7:$A$57,0),MATCH(AD$11,'WBS Staffing1'!$B$6:$P$6,0))</f>
        <v>0</v>
      </c>
      <c r="AE72" s="478" t="str">
        <f t="shared" si="30"/>
        <v/>
      </c>
      <c r="AF72" s="453">
        <f>INDEX('WBS Staffing1'!$B$7:$P$57,MATCH($D72,'WBS Staffing1'!$A$7:$A$57,0),MATCH(AF$11,'WBS Staffing1'!$B$6:$P$6,0))</f>
        <v>0</v>
      </c>
      <c r="AG72" s="478" t="str">
        <f t="shared" si="31"/>
        <v/>
      </c>
      <c r="AH72" s="411">
        <f>INDEX('WBS Staffing1'!$B$7:$P$57,MATCH($D72,'WBS Staffing1'!$A$7:$A$57,0),MATCH(AH$11,'WBS Staffing1'!$B$6:$P$6,0))</f>
        <v>0</v>
      </c>
      <c r="AJ72" s="444" t="str">
        <f t="shared" si="0"/>
        <v>0</v>
      </c>
    </row>
    <row r="73" spans="1:36" s="397" customFormat="1">
      <c r="A73" s="28"/>
      <c r="B73" s="28"/>
      <c r="C73" s="28"/>
      <c r="D73" s="28">
        <f>D72+1</f>
        <v>35</v>
      </c>
      <c r="E73" s="415" t="str">
        <f>VLOOKUP(D73,'WBS Staffing1'!$A$12:$B$57,2,FALSE)</f>
        <v>Sub 5</v>
      </c>
      <c r="L73" s="477"/>
      <c r="M73" s="479" t="str">
        <f t="shared" si="21"/>
        <v/>
      </c>
      <c r="N73" s="464">
        <f>SUMIF($O$14:$AJ$14,N$14,$O73:$AJ73)</f>
        <v>0</v>
      </c>
      <c r="O73" s="479" t="str">
        <f t="shared" si="22"/>
        <v/>
      </c>
      <c r="P73" s="464">
        <f>INDEX('WBS Staffing1'!$B$7:$P$57,MATCH($D73,'WBS Staffing1'!$A$7:$A$57,0),MATCH(P$11,'WBS Staffing1'!$B$6:$P$6,0))</f>
        <v>0</v>
      </c>
      <c r="Q73" s="479" t="str">
        <f t="shared" si="23"/>
        <v/>
      </c>
      <c r="R73" s="464">
        <f>INDEX('WBS Staffing1'!$B$7:$P$57,MATCH($D73,'WBS Staffing1'!$A$7:$A$57,0),MATCH(R$11,'WBS Staffing1'!$B$6:$P$6,0))</f>
        <v>0</v>
      </c>
      <c r="S73" s="479" t="str">
        <f t="shared" si="24"/>
        <v/>
      </c>
      <c r="T73" s="464">
        <f>INDEX('WBS Staffing1'!$B$7:$P$57,MATCH($D73,'WBS Staffing1'!$A$7:$A$57,0),MATCH(T$11,'WBS Staffing1'!$B$6:$P$6,0))</f>
        <v>0</v>
      </c>
      <c r="U73" s="479" t="str">
        <f t="shared" si="25"/>
        <v/>
      </c>
      <c r="V73" s="464">
        <f>INDEX('WBS Staffing1'!$B$7:$P$57,MATCH($D73,'WBS Staffing1'!$A$7:$A$57,0),MATCH(V$11,'WBS Staffing1'!$B$6:$P$6,0))</f>
        <v>0</v>
      </c>
      <c r="W73" s="479" t="str">
        <f t="shared" si="26"/>
        <v/>
      </c>
      <c r="X73" s="464">
        <f>INDEX('WBS Staffing1'!$B$7:$P$57,MATCH($D73,'WBS Staffing1'!$A$7:$A$57,0),MATCH(X$11,'WBS Staffing1'!$B$6:$P$6,0))</f>
        <v>0</v>
      </c>
      <c r="Y73" s="479" t="str">
        <f t="shared" si="27"/>
        <v/>
      </c>
      <c r="Z73" s="464">
        <f>INDEX('WBS Staffing1'!$B$7:$P$57,MATCH($D73,'WBS Staffing1'!$A$7:$A$57,0),MATCH(Z$11,'WBS Staffing1'!$B$6:$P$6,0))</f>
        <v>0</v>
      </c>
      <c r="AA73" s="479" t="str">
        <f t="shared" si="28"/>
        <v/>
      </c>
      <c r="AB73" s="464">
        <f>INDEX('WBS Staffing1'!$B$7:$P$57,MATCH($D73,'WBS Staffing1'!$A$7:$A$57,0),MATCH(AB$11,'WBS Staffing1'!$B$6:$P$6,0))</f>
        <v>0</v>
      </c>
      <c r="AC73" s="479" t="str">
        <f t="shared" si="29"/>
        <v/>
      </c>
      <c r="AD73" s="464">
        <f>INDEX('WBS Staffing1'!$B$7:$P$57,MATCH($D73,'WBS Staffing1'!$A$7:$A$57,0),MATCH(AD$11,'WBS Staffing1'!$B$6:$P$6,0))</f>
        <v>0</v>
      </c>
      <c r="AE73" s="479" t="str">
        <f t="shared" si="30"/>
        <v/>
      </c>
      <c r="AF73" s="464">
        <f>INDEX('WBS Staffing1'!$B$7:$P$57,MATCH($D73,'WBS Staffing1'!$A$7:$A$57,0),MATCH(AF$11,'WBS Staffing1'!$B$6:$P$6,0))</f>
        <v>0</v>
      </c>
      <c r="AG73" s="479" t="str">
        <f t="shared" si="31"/>
        <v/>
      </c>
      <c r="AH73" s="418">
        <f>INDEX('WBS Staffing1'!$B$7:$P$57,MATCH($D73,'WBS Staffing1'!$A$7:$A$57,0),MATCH(AH$11,'WBS Staffing1'!$B$6:$P$6,0))</f>
        <v>0</v>
      </c>
      <c r="AJ73" s="465" t="str">
        <f t="shared" si="0"/>
        <v>0</v>
      </c>
    </row>
    <row r="74" spans="1:36">
      <c r="E74" s="402" t="s">
        <v>699</v>
      </c>
      <c r="F74" s="28"/>
      <c r="G74" s="28"/>
      <c r="H74" s="28"/>
      <c r="I74" s="28"/>
      <c r="J74" s="28"/>
      <c r="K74" s="28"/>
      <c r="L74" s="445"/>
      <c r="M74" s="478" t="str">
        <f t="shared" si="21"/>
        <v/>
      </c>
      <c r="N74" s="453">
        <f>SUBTOTAL(9,N69:N73)</f>
        <v>0</v>
      </c>
      <c r="O74" s="478" t="str">
        <f t="shared" si="22"/>
        <v/>
      </c>
      <c r="P74" s="453">
        <f>SUBTOTAL(9,P69:P73)</f>
        <v>0</v>
      </c>
      <c r="Q74" s="478" t="str">
        <f t="shared" si="23"/>
        <v/>
      </c>
      <c r="R74" s="453">
        <f>SUBTOTAL(9,R69:R73)</f>
        <v>0</v>
      </c>
      <c r="S74" s="478" t="str">
        <f t="shared" si="24"/>
        <v/>
      </c>
      <c r="T74" s="453">
        <f>SUBTOTAL(9,T69:T73)</f>
        <v>0</v>
      </c>
      <c r="U74" s="478" t="str">
        <f t="shared" si="25"/>
        <v/>
      </c>
      <c r="V74" s="453">
        <f>SUBTOTAL(9,V69:V73)</f>
        <v>0</v>
      </c>
      <c r="W74" s="478" t="str">
        <f t="shared" si="26"/>
        <v/>
      </c>
      <c r="X74" s="453">
        <f>SUBTOTAL(9,X69:X73)</f>
        <v>0</v>
      </c>
      <c r="Y74" s="478" t="str">
        <f t="shared" si="27"/>
        <v/>
      </c>
      <c r="Z74" s="453">
        <f>SUBTOTAL(9,Z69:Z73)</f>
        <v>0</v>
      </c>
      <c r="AA74" s="478" t="str">
        <f t="shared" si="28"/>
        <v/>
      </c>
      <c r="AB74" s="453">
        <f>SUBTOTAL(9,AB69:AB73)</f>
        <v>0</v>
      </c>
      <c r="AC74" s="478" t="str">
        <f t="shared" si="29"/>
        <v/>
      </c>
      <c r="AD74" s="453">
        <f>SUBTOTAL(9,AD69:AD73)</f>
        <v>0</v>
      </c>
      <c r="AE74" s="478" t="str">
        <f t="shared" si="30"/>
        <v/>
      </c>
      <c r="AF74" s="453">
        <f>SUBTOTAL(9,AF69:AF73)</f>
        <v>0</v>
      </c>
      <c r="AG74" s="478" t="str">
        <f t="shared" si="31"/>
        <v/>
      </c>
      <c r="AH74" s="411">
        <f>SUBTOTAL(9,AH69:AH73)</f>
        <v>0</v>
      </c>
      <c r="AJ74" s="444" t="str">
        <f t="shared" si="0"/>
        <v>0</v>
      </c>
    </row>
    <row r="75" spans="1:36">
      <c r="E75" s="369"/>
      <c r="F75" s="28"/>
      <c r="G75" s="28"/>
      <c r="H75" s="28"/>
      <c r="I75" s="28"/>
      <c r="J75" s="28"/>
      <c r="K75" s="28"/>
      <c r="L75" s="445"/>
      <c r="M75" s="468"/>
      <c r="N75" s="453"/>
      <c r="O75" s="468"/>
      <c r="P75" s="453"/>
      <c r="Q75" s="468"/>
      <c r="R75" s="453"/>
      <c r="S75" s="468"/>
      <c r="T75" s="453"/>
      <c r="U75" s="468"/>
      <c r="V75" s="453"/>
      <c r="W75" s="468"/>
      <c r="X75" s="453"/>
      <c r="Y75" s="468"/>
      <c r="Z75" s="453"/>
      <c r="AA75" s="468"/>
      <c r="AB75" s="453"/>
      <c r="AC75" s="468"/>
      <c r="AD75" s="453"/>
      <c r="AE75" s="468"/>
      <c r="AF75" s="453"/>
      <c r="AG75" s="468"/>
      <c r="AH75" s="411"/>
      <c r="AJ75" s="444" t="str">
        <f t="shared" si="0"/>
        <v>1</v>
      </c>
    </row>
    <row r="76" spans="1:36">
      <c r="A76" s="28" t="str">
        <f>InputSheet!$C$44</f>
        <v>MH</v>
      </c>
      <c r="B76" s="28" t="str">
        <f>InputSheet!$D$44</f>
        <v>Contr/Govt</v>
      </c>
      <c r="C76" s="403" t="str">
        <f>$F$6&amp;$A76&amp;$B76</f>
        <v>ISMHContr/Govt</v>
      </c>
      <c r="D76" s="403"/>
      <c r="E76" s="416" t="s">
        <v>700</v>
      </c>
      <c r="F76" s="28"/>
      <c r="G76" s="28"/>
      <c r="H76" s="28"/>
      <c r="I76" s="28"/>
      <c r="J76" s="28"/>
      <c r="K76" s="404"/>
      <c r="L76" s="466">
        <f>VLOOKUP($F$8&amp;$C76,Indirects,2,FALSE)</f>
        <v>3.0700000000000002E-2</v>
      </c>
      <c r="M76" s="468"/>
      <c r="N76" s="453">
        <f>SUMIF($O$14:$AJ$14,N$14,$O76:$AJ76)</f>
        <v>0</v>
      </c>
      <c r="O76" s="469">
        <f>P66</f>
        <v>0</v>
      </c>
      <c r="P76" s="453">
        <f>ROUND(O76*$L76,0)</f>
        <v>0</v>
      </c>
      <c r="Q76" s="469">
        <f>R66</f>
        <v>0</v>
      </c>
      <c r="R76" s="453">
        <f>ROUND(Q76*$L76,0)</f>
        <v>0</v>
      </c>
      <c r="S76" s="469">
        <f>T66</f>
        <v>0</v>
      </c>
      <c r="T76" s="453">
        <f>ROUND(S76*$L76,0)</f>
        <v>0</v>
      </c>
      <c r="U76" s="469">
        <f>V66</f>
        <v>0</v>
      </c>
      <c r="V76" s="453">
        <f>ROUND(U76*$L76,0)</f>
        <v>0</v>
      </c>
      <c r="W76" s="469">
        <f>X66</f>
        <v>0</v>
      </c>
      <c r="X76" s="453">
        <f>ROUND(W76*$L76,0)</f>
        <v>0</v>
      </c>
      <c r="Y76" s="469">
        <f>Z66</f>
        <v>0</v>
      </c>
      <c r="Z76" s="453">
        <f>ROUND(Y76*$L76,0)</f>
        <v>0</v>
      </c>
      <c r="AA76" s="469">
        <f>AB66</f>
        <v>0</v>
      </c>
      <c r="AB76" s="453">
        <f>ROUND(AA76*$L76,0)</f>
        <v>0</v>
      </c>
      <c r="AC76" s="469">
        <f>AD66</f>
        <v>0</v>
      </c>
      <c r="AD76" s="453">
        <f>ROUND(AC76*$L76,0)</f>
        <v>0</v>
      </c>
      <c r="AE76" s="469">
        <f>AF66</f>
        <v>0</v>
      </c>
      <c r="AF76" s="453">
        <f>ROUND(AE76*$L76,0)</f>
        <v>0</v>
      </c>
      <c r="AG76" s="469">
        <f>AH66</f>
        <v>0</v>
      </c>
      <c r="AH76" s="411">
        <f>ROUND(AG76*$L76,0)</f>
        <v>0</v>
      </c>
      <c r="AJ76" s="444" t="str">
        <f t="shared" si="0"/>
        <v>0</v>
      </c>
    </row>
    <row r="77" spans="1:36" s="397" customFormat="1">
      <c r="A77" s="28" t="str">
        <f>InputSheet!$C$44</f>
        <v>MH</v>
      </c>
      <c r="B77" s="28" t="str">
        <f>InputSheet!$D$44</f>
        <v>Contr/Govt</v>
      </c>
      <c r="C77" s="403" t="str">
        <f>$F$6&amp;$A77&amp;$B77</f>
        <v>ISMHContr/Govt</v>
      </c>
      <c r="D77" s="403"/>
      <c r="E77" s="419" t="s">
        <v>701</v>
      </c>
      <c r="K77" s="405"/>
      <c r="L77" s="462">
        <f>VLOOKUP($F$8&amp;$C77,Indirects,2,FALSE)</f>
        <v>3.0700000000000002E-2</v>
      </c>
      <c r="M77" s="470"/>
      <c r="N77" s="464">
        <f>SUMIF($O$14:$AJ$14,N$14,$O77:$AJ77)</f>
        <v>0</v>
      </c>
      <c r="O77" s="471">
        <f>P74</f>
        <v>0</v>
      </c>
      <c r="P77" s="464">
        <f>ROUND(O77*$L77,0)</f>
        <v>0</v>
      </c>
      <c r="Q77" s="471">
        <f>R74</f>
        <v>0</v>
      </c>
      <c r="R77" s="464">
        <f>ROUND(Q77*$L77,0)</f>
        <v>0</v>
      </c>
      <c r="S77" s="471">
        <f>T74</f>
        <v>0</v>
      </c>
      <c r="T77" s="464">
        <f>ROUND(S77*$L77,0)</f>
        <v>0</v>
      </c>
      <c r="U77" s="471">
        <f>V74</f>
        <v>0</v>
      </c>
      <c r="V77" s="464">
        <f>ROUND(U77*$L77,0)</f>
        <v>0</v>
      </c>
      <c r="W77" s="471">
        <f>X74</f>
        <v>0</v>
      </c>
      <c r="X77" s="464">
        <f>ROUND(W77*$L77,0)</f>
        <v>0</v>
      </c>
      <c r="Y77" s="471">
        <f>Z74</f>
        <v>0</v>
      </c>
      <c r="Z77" s="464">
        <f>ROUND(Y77*$L77,0)</f>
        <v>0</v>
      </c>
      <c r="AA77" s="471">
        <f>AB74</f>
        <v>0</v>
      </c>
      <c r="AB77" s="464">
        <f>ROUND(AA77*$L77,0)</f>
        <v>0</v>
      </c>
      <c r="AC77" s="471">
        <f>AD74</f>
        <v>0</v>
      </c>
      <c r="AD77" s="464">
        <f>ROUND(AC77*$L77,0)</f>
        <v>0</v>
      </c>
      <c r="AE77" s="471">
        <f>AF74</f>
        <v>0</v>
      </c>
      <c r="AF77" s="464">
        <f>ROUND(AE77*$L77,0)</f>
        <v>0</v>
      </c>
      <c r="AG77" s="471">
        <f>AH74</f>
        <v>0</v>
      </c>
      <c r="AH77" s="418">
        <f>ROUND(AG77*$L77,0)</f>
        <v>0</v>
      </c>
      <c r="AJ77" s="465" t="str">
        <f t="shared" si="0"/>
        <v>0</v>
      </c>
    </row>
    <row r="78" spans="1:36">
      <c r="E78" s="402" t="s">
        <v>662</v>
      </c>
      <c r="F78" s="28"/>
      <c r="G78" s="28"/>
      <c r="H78" s="28"/>
      <c r="I78" s="28"/>
      <c r="J78" s="28"/>
      <c r="K78" s="28"/>
      <c r="L78" s="445"/>
      <c r="M78" s="468"/>
      <c r="N78" s="453">
        <f>SUBTOTAL(9,N76:N77)</f>
        <v>0</v>
      </c>
      <c r="O78" s="468"/>
      <c r="P78" s="453">
        <f>SUBTOTAL(9,P76:P77)</f>
        <v>0</v>
      </c>
      <c r="Q78" s="468"/>
      <c r="R78" s="453">
        <f>SUBTOTAL(9,R76:R77)</f>
        <v>0</v>
      </c>
      <c r="S78" s="468"/>
      <c r="T78" s="453">
        <f>SUBTOTAL(9,T76:T77)</f>
        <v>0</v>
      </c>
      <c r="U78" s="468"/>
      <c r="V78" s="453">
        <f>SUBTOTAL(9,V76:V77)</f>
        <v>0</v>
      </c>
      <c r="W78" s="468"/>
      <c r="X78" s="453">
        <f>SUBTOTAL(9,X76:X77)</f>
        <v>0</v>
      </c>
      <c r="Y78" s="468"/>
      <c r="Z78" s="453">
        <f>SUBTOTAL(9,Z76:Z77)</f>
        <v>0</v>
      </c>
      <c r="AA78" s="468"/>
      <c r="AB78" s="453">
        <f>SUBTOTAL(9,AB76:AB77)</f>
        <v>0</v>
      </c>
      <c r="AC78" s="468"/>
      <c r="AD78" s="453">
        <f>SUBTOTAL(9,AD76:AD77)</f>
        <v>0</v>
      </c>
      <c r="AE78" s="468"/>
      <c r="AF78" s="453">
        <f>SUBTOTAL(9,AF76:AF77)</f>
        <v>0</v>
      </c>
      <c r="AG78" s="468"/>
      <c r="AH78" s="411">
        <f>SUBTOTAL(9,AH76:AH77)</f>
        <v>0</v>
      </c>
      <c r="AJ78" s="444" t="str">
        <f t="shared" si="0"/>
        <v>0</v>
      </c>
    </row>
    <row r="79" spans="1:36">
      <c r="E79" s="369"/>
      <c r="F79" s="28"/>
      <c r="G79" s="28"/>
      <c r="H79" s="28"/>
      <c r="I79" s="28"/>
      <c r="J79" s="28"/>
      <c r="K79" s="28"/>
      <c r="L79" s="445"/>
      <c r="M79" s="468"/>
      <c r="N79" s="453"/>
      <c r="O79" s="468"/>
      <c r="P79" s="453"/>
      <c r="Q79" s="468"/>
      <c r="R79" s="453"/>
      <c r="S79" s="468"/>
      <c r="T79" s="453"/>
      <c r="U79" s="468"/>
      <c r="V79" s="453"/>
      <c r="W79" s="468"/>
      <c r="X79" s="453"/>
      <c r="Y79" s="468"/>
      <c r="Z79" s="453"/>
      <c r="AA79" s="468"/>
      <c r="AB79" s="453"/>
      <c r="AC79" s="468"/>
      <c r="AD79" s="453"/>
      <c r="AE79" s="468"/>
      <c r="AF79" s="453"/>
      <c r="AG79" s="468"/>
      <c r="AH79" s="411"/>
      <c r="AJ79" s="444" t="str">
        <f t="shared" si="0"/>
        <v>1</v>
      </c>
    </row>
    <row r="80" spans="1:36">
      <c r="A80" s="28" t="str">
        <f>InputSheet!$C$45</f>
        <v>G&amp;A</v>
      </c>
      <c r="B80" s="28" t="str">
        <f>InputSheet!$D$45</f>
        <v>Contr/Govt</v>
      </c>
      <c r="C80" s="403" t="str">
        <f>$F$6&amp;$A80&amp;$B80</f>
        <v>ISG&amp;AContr/Govt</v>
      </c>
      <c r="D80" s="403"/>
      <c r="E80" s="369" t="s">
        <v>702</v>
      </c>
      <c r="F80" s="28"/>
      <c r="G80" s="28"/>
      <c r="H80" s="28"/>
      <c r="I80" s="28"/>
      <c r="J80" s="28"/>
      <c r="K80" s="404"/>
      <c r="L80" s="466">
        <f>VLOOKUP($F$8&amp;$C80,Indirects,2,FALSE)</f>
        <v>9.4700000000000006E-2</v>
      </c>
      <c r="M80" s="468"/>
      <c r="N80" s="453" t="e">
        <f>SUMIF($O$14:$AJ$14,N$14,$O80:$AJ80)</f>
        <v>#N/A</v>
      </c>
      <c r="O80" s="469" t="e">
        <f>P50</f>
        <v>#N/A</v>
      </c>
      <c r="P80" s="453" t="e">
        <f>ROUND(O80*$L80,0)</f>
        <v>#N/A</v>
      </c>
      <c r="Q80" s="469" t="e">
        <f>R50</f>
        <v>#N/A</v>
      </c>
      <c r="R80" s="453" t="e">
        <f>ROUND(Q80*$L80,0)</f>
        <v>#N/A</v>
      </c>
      <c r="S80" s="469" t="e">
        <f>T50</f>
        <v>#N/A</v>
      </c>
      <c r="T80" s="453" t="e">
        <f>ROUND(S80*$L80,0)</f>
        <v>#N/A</v>
      </c>
      <c r="U80" s="469" t="e">
        <f>V50</f>
        <v>#N/A</v>
      </c>
      <c r="V80" s="453" t="e">
        <f>ROUND(U80*$L80,0)</f>
        <v>#N/A</v>
      </c>
      <c r="W80" s="469" t="e">
        <f>X50</f>
        <v>#N/A</v>
      </c>
      <c r="X80" s="453" t="e">
        <f>ROUND(W80*$L80,0)</f>
        <v>#N/A</v>
      </c>
      <c r="Y80" s="469" t="e">
        <f>Z50</f>
        <v>#N/A</v>
      </c>
      <c r="Z80" s="453" t="e">
        <f>ROUND(Y80*$L80,0)</f>
        <v>#N/A</v>
      </c>
      <c r="AA80" s="469" t="e">
        <f>AB50</f>
        <v>#N/A</v>
      </c>
      <c r="AB80" s="453" t="e">
        <f>ROUND(AA80*$L80,0)</f>
        <v>#N/A</v>
      </c>
      <c r="AC80" s="469" t="e">
        <f>AD50</f>
        <v>#N/A</v>
      </c>
      <c r="AD80" s="453" t="e">
        <f>ROUND(AC80*$L80,0)</f>
        <v>#N/A</v>
      </c>
      <c r="AE80" s="469" t="e">
        <f>AF50</f>
        <v>#N/A</v>
      </c>
      <c r="AF80" s="453" t="e">
        <f>ROUND(AE80*$L80,0)</f>
        <v>#N/A</v>
      </c>
      <c r="AG80" s="469" t="e">
        <f>AH50</f>
        <v>#N/A</v>
      </c>
      <c r="AH80" s="411" t="e">
        <f>ROUND(AG80*$L80,0)</f>
        <v>#N/A</v>
      </c>
      <c r="AJ80" s="444" t="e">
        <f t="shared" si="0"/>
        <v>#N/A</v>
      </c>
    </row>
    <row r="81" spans="1:36">
      <c r="A81" s="28" t="str">
        <f>InputSheet!$C$45</f>
        <v>G&amp;A</v>
      </c>
      <c r="B81" s="28" t="str">
        <f>InputSheet!$D$45</f>
        <v>Contr/Govt</v>
      </c>
      <c r="C81" s="403" t="str">
        <f>$F$6&amp;$A81&amp;$B81</f>
        <v>ISG&amp;AContr/Govt</v>
      </c>
      <c r="D81" s="403"/>
      <c r="E81" s="369" t="s">
        <v>726</v>
      </c>
      <c r="F81" s="28"/>
      <c r="G81" s="28"/>
      <c r="H81" s="28"/>
      <c r="I81" s="28"/>
      <c r="J81" s="28"/>
      <c r="K81" s="404"/>
      <c r="L81" s="466">
        <f>VLOOKUP($F$8&amp;$C81,Indirects,2,FALSE)</f>
        <v>9.4700000000000006E-2</v>
      </c>
      <c r="M81" s="468"/>
      <c r="N81" s="453">
        <f>SUMIF($O$14:$AJ$14,N$14,$O81:$AJ81)</f>
        <v>0</v>
      </c>
      <c r="O81" s="480">
        <f>P58</f>
        <v>0</v>
      </c>
      <c r="P81" s="453">
        <f>ROUND(O81*$L81,0)</f>
        <v>0</v>
      </c>
      <c r="Q81" s="480">
        <f>R58</f>
        <v>0</v>
      </c>
      <c r="R81" s="453">
        <f>ROUND(Q81*$L81,0)</f>
        <v>0</v>
      </c>
      <c r="S81" s="480">
        <f>T58</f>
        <v>0</v>
      </c>
      <c r="T81" s="453">
        <f>ROUND(S81*$L81,0)</f>
        <v>0</v>
      </c>
      <c r="U81" s="480">
        <f>V58</f>
        <v>0</v>
      </c>
      <c r="V81" s="453">
        <f>ROUND(U81*$L81,0)</f>
        <v>0</v>
      </c>
      <c r="W81" s="480">
        <f>X58</f>
        <v>0</v>
      </c>
      <c r="X81" s="453">
        <f>ROUND(W81*$L81,0)</f>
        <v>0</v>
      </c>
      <c r="Y81" s="480">
        <f>Z58</f>
        <v>0</v>
      </c>
      <c r="Z81" s="453">
        <f>ROUND(Y81*$L81,0)</f>
        <v>0</v>
      </c>
      <c r="AA81" s="480">
        <f>AB58</f>
        <v>0</v>
      </c>
      <c r="AB81" s="453">
        <f>ROUND(AA81*$L81,0)</f>
        <v>0</v>
      </c>
      <c r="AC81" s="480">
        <f>AD58</f>
        <v>0</v>
      </c>
      <c r="AD81" s="453">
        <f>ROUND(AC81*$L81,0)</f>
        <v>0</v>
      </c>
      <c r="AE81" s="480">
        <f>AF58</f>
        <v>0</v>
      </c>
      <c r="AF81" s="453">
        <f>ROUND(AE81*$L81,0)</f>
        <v>0</v>
      </c>
      <c r="AG81" s="480">
        <f>AH58</f>
        <v>0</v>
      </c>
      <c r="AH81" s="411">
        <f>ROUND(AG81*$L81,0)</f>
        <v>0</v>
      </c>
      <c r="AJ81" s="444" t="str">
        <f t="shared" si="0"/>
        <v>0</v>
      </c>
    </row>
    <row r="82" spans="1:36">
      <c r="A82" s="28" t="str">
        <f>InputSheet!$C$45</f>
        <v>G&amp;A</v>
      </c>
      <c r="B82" s="28" t="str">
        <f>InputSheet!$D$45</f>
        <v>Contr/Govt</v>
      </c>
      <c r="C82" s="403" t="str">
        <f>$F$6&amp;$A82&amp;$B82</f>
        <v>ISG&amp;AContr/Govt</v>
      </c>
      <c r="D82" s="403"/>
      <c r="E82" s="369" t="s">
        <v>727</v>
      </c>
      <c r="F82" s="28"/>
      <c r="G82" s="28"/>
      <c r="H82" s="28"/>
      <c r="I82" s="28"/>
      <c r="J82" s="28"/>
      <c r="K82" s="404"/>
      <c r="L82" s="466">
        <f>VLOOKUP($F$8&amp;$C82,Indirects,2,FALSE)</f>
        <v>9.4700000000000006E-2</v>
      </c>
      <c r="M82" s="468"/>
      <c r="N82" s="453">
        <f>SUMIF($O$14:$AJ$14,N$14,$O82:$AJ82)</f>
        <v>0</v>
      </c>
      <c r="O82" s="480">
        <f>P76</f>
        <v>0</v>
      </c>
      <c r="P82" s="453">
        <f>ROUND(O82*$L82,0)</f>
        <v>0</v>
      </c>
      <c r="Q82" s="480">
        <f>R76</f>
        <v>0</v>
      </c>
      <c r="R82" s="453">
        <f>ROUND(Q82*$L82,0)</f>
        <v>0</v>
      </c>
      <c r="S82" s="480">
        <f>T76</f>
        <v>0</v>
      </c>
      <c r="T82" s="453">
        <f>ROUND(S82*$L82,0)</f>
        <v>0</v>
      </c>
      <c r="U82" s="480">
        <f>V76</f>
        <v>0</v>
      </c>
      <c r="V82" s="453">
        <f>ROUND(U82*$L82,0)</f>
        <v>0</v>
      </c>
      <c r="W82" s="480">
        <f>X76</f>
        <v>0</v>
      </c>
      <c r="X82" s="453">
        <f>ROUND(W82*$L82,0)</f>
        <v>0</v>
      </c>
      <c r="Y82" s="480">
        <f>Z76</f>
        <v>0</v>
      </c>
      <c r="Z82" s="453">
        <f>ROUND(Y82*$L82,0)</f>
        <v>0</v>
      </c>
      <c r="AA82" s="480">
        <f>AB76</f>
        <v>0</v>
      </c>
      <c r="AB82" s="453">
        <f>ROUND(AA82*$L82,0)</f>
        <v>0</v>
      </c>
      <c r="AC82" s="480">
        <f>AD76</f>
        <v>0</v>
      </c>
      <c r="AD82" s="453">
        <f>ROUND(AC82*$L82,0)</f>
        <v>0</v>
      </c>
      <c r="AE82" s="480">
        <f>AF76</f>
        <v>0</v>
      </c>
      <c r="AF82" s="453">
        <f>ROUND(AE82*$L82,0)</f>
        <v>0</v>
      </c>
      <c r="AG82" s="480">
        <f>AH76</f>
        <v>0</v>
      </c>
      <c r="AH82" s="411">
        <f>ROUND(AG82*$L82,0)</f>
        <v>0</v>
      </c>
      <c r="AJ82" s="444" t="str">
        <f t="shared" si="0"/>
        <v>0</v>
      </c>
    </row>
    <row r="83" spans="1:36" s="397" customFormat="1">
      <c r="A83" s="28" t="str">
        <f>InputSheet!$C$45</f>
        <v>G&amp;A</v>
      </c>
      <c r="B83" s="28" t="str">
        <f>InputSheet!$D$45</f>
        <v>Contr/Govt</v>
      </c>
      <c r="C83" s="403" t="str">
        <f>$F$6&amp;$A83&amp;$B83</f>
        <v>ISG&amp;AContr/Govt</v>
      </c>
      <c r="D83" s="403"/>
      <c r="E83" s="401" t="s">
        <v>703</v>
      </c>
      <c r="K83" s="405"/>
      <c r="L83" s="462">
        <f>VLOOKUP($F$8&amp;$C83,Indirects,2,FALSE)</f>
        <v>9.4700000000000006E-2</v>
      </c>
      <c r="M83" s="470"/>
      <c r="N83" s="464">
        <f>SUMIF($O$14:$AJ$14,N$14,$O83:$AJ83)</f>
        <v>0</v>
      </c>
      <c r="O83" s="471">
        <f>P77</f>
        <v>0</v>
      </c>
      <c r="P83" s="464">
        <f>ROUND(O83*$L83,0)</f>
        <v>0</v>
      </c>
      <c r="Q83" s="471">
        <f>R77</f>
        <v>0</v>
      </c>
      <c r="R83" s="464">
        <f>ROUND(Q83*$L83,0)</f>
        <v>0</v>
      </c>
      <c r="S83" s="471">
        <f>T77</f>
        <v>0</v>
      </c>
      <c r="T83" s="464">
        <f>ROUND(S83*$L83,0)</f>
        <v>0</v>
      </c>
      <c r="U83" s="471">
        <f>V77</f>
        <v>0</v>
      </c>
      <c r="V83" s="464">
        <f>ROUND(U83*$L83,0)</f>
        <v>0</v>
      </c>
      <c r="W83" s="471">
        <f>X77</f>
        <v>0</v>
      </c>
      <c r="X83" s="464">
        <f>ROUND(W83*$L83,0)</f>
        <v>0</v>
      </c>
      <c r="Y83" s="471">
        <f>Z77</f>
        <v>0</v>
      </c>
      <c r="Z83" s="464">
        <f>ROUND(Y83*$L83,0)</f>
        <v>0</v>
      </c>
      <c r="AA83" s="471">
        <f>AB77</f>
        <v>0</v>
      </c>
      <c r="AB83" s="464">
        <f>ROUND(AA83*$L83,0)</f>
        <v>0</v>
      </c>
      <c r="AC83" s="471">
        <f>AD77</f>
        <v>0</v>
      </c>
      <c r="AD83" s="464">
        <f>ROUND(AC83*$L83,0)</f>
        <v>0</v>
      </c>
      <c r="AE83" s="471">
        <f>AF77</f>
        <v>0</v>
      </c>
      <c r="AF83" s="464">
        <f>ROUND(AE83*$L83,0)</f>
        <v>0</v>
      </c>
      <c r="AG83" s="471">
        <f>AH77</f>
        <v>0</v>
      </c>
      <c r="AH83" s="418">
        <f>ROUND(AG83*$L83,0)</f>
        <v>0</v>
      </c>
      <c r="AJ83" s="465" t="str">
        <f t="shared" si="0"/>
        <v>0</v>
      </c>
    </row>
    <row r="84" spans="1:36">
      <c r="E84" s="402" t="s">
        <v>661</v>
      </c>
      <c r="F84" s="28"/>
      <c r="G84" s="28"/>
      <c r="H84" s="28"/>
      <c r="I84" s="28"/>
      <c r="J84" s="28"/>
      <c r="K84" s="28"/>
      <c r="L84" s="445"/>
      <c r="M84" s="468"/>
      <c r="N84" s="453" t="e">
        <f>SUBTOTAL(9,N80:N83)</f>
        <v>#N/A</v>
      </c>
      <c r="O84" s="468"/>
      <c r="P84" s="453" t="e">
        <f>SUBTOTAL(9,P80:P83)</f>
        <v>#N/A</v>
      </c>
      <c r="Q84" s="468"/>
      <c r="R84" s="453" t="e">
        <f>SUBTOTAL(9,R80:R83)</f>
        <v>#N/A</v>
      </c>
      <c r="S84" s="468"/>
      <c r="T84" s="453" t="e">
        <f>SUBTOTAL(9,T80:T83)</f>
        <v>#N/A</v>
      </c>
      <c r="U84" s="468"/>
      <c r="V84" s="453" t="e">
        <f>SUBTOTAL(9,V80:V83)</f>
        <v>#N/A</v>
      </c>
      <c r="W84" s="468"/>
      <c r="X84" s="453" t="e">
        <f>SUBTOTAL(9,X80:X83)</f>
        <v>#N/A</v>
      </c>
      <c r="Y84" s="468"/>
      <c r="Z84" s="453" t="e">
        <f>SUBTOTAL(9,Z80:Z83)</f>
        <v>#N/A</v>
      </c>
      <c r="AA84" s="468"/>
      <c r="AB84" s="453" t="e">
        <f>SUBTOTAL(9,AB80:AB83)</f>
        <v>#N/A</v>
      </c>
      <c r="AC84" s="468"/>
      <c r="AD84" s="453" t="e">
        <f>SUBTOTAL(9,AD80:AD83)</f>
        <v>#N/A</v>
      </c>
      <c r="AE84" s="468"/>
      <c r="AF84" s="453" t="e">
        <f>SUBTOTAL(9,AF80:AF83)</f>
        <v>#N/A</v>
      </c>
      <c r="AG84" s="468"/>
      <c r="AH84" s="411" t="e">
        <f>SUBTOTAL(9,AH80:AH83)</f>
        <v>#N/A</v>
      </c>
      <c r="AJ84" s="444" t="e">
        <f t="shared" ref="AJ84:AJ95" si="32">IF((OR((N84=""),(N84&gt;0))),"1","0")</f>
        <v>#N/A</v>
      </c>
    </row>
    <row r="85" spans="1:36">
      <c r="E85" s="369"/>
      <c r="F85" s="28"/>
      <c r="G85" s="28"/>
      <c r="H85" s="28"/>
      <c r="I85" s="28"/>
      <c r="J85" s="28"/>
      <c r="K85" s="28"/>
      <c r="L85" s="445"/>
      <c r="M85" s="468"/>
      <c r="N85" s="453"/>
      <c r="O85" s="468"/>
      <c r="P85" s="453"/>
      <c r="Q85" s="468"/>
      <c r="R85" s="453"/>
      <c r="S85" s="468"/>
      <c r="T85" s="453"/>
      <c r="U85" s="468"/>
      <c r="V85" s="453"/>
      <c r="W85" s="468"/>
      <c r="X85" s="453"/>
      <c r="Y85" s="468"/>
      <c r="Z85" s="453"/>
      <c r="AA85" s="468"/>
      <c r="AB85" s="453"/>
      <c r="AC85" s="468"/>
      <c r="AD85" s="453"/>
      <c r="AE85" s="468"/>
      <c r="AF85" s="453"/>
      <c r="AG85" s="468"/>
      <c r="AH85" s="411"/>
      <c r="AJ85" s="444" t="str">
        <f t="shared" si="32"/>
        <v>1</v>
      </c>
    </row>
    <row r="86" spans="1:36" s="408" customFormat="1" ht="13.5" thickBot="1">
      <c r="A86" s="28"/>
      <c r="B86" s="28"/>
      <c r="C86" s="28"/>
      <c r="D86" s="28"/>
      <c r="E86" s="407" t="s">
        <v>656</v>
      </c>
      <c r="L86" s="472"/>
      <c r="M86" s="473"/>
      <c r="N86" s="474" t="e">
        <f>SUBTOTAL(9,N36:N85)</f>
        <v>#N/A</v>
      </c>
      <c r="O86" s="473"/>
      <c r="P86" s="474" t="e">
        <f>SUBTOTAL(9,P36:P85)</f>
        <v>#N/A</v>
      </c>
      <c r="Q86" s="473"/>
      <c r="R86" s="474" t="e">
        <f>SUBTOTAL(9,R36:R85)</f>
        <v>#N/A</v>
      </c>
      <c r="S86" s="473"/>
      <c r="T86" s="474" t="e">
        <f>SUBTOTAL(9,T36:T85)</f>
        <v>#N/A</v>
      </c>
      <c r="U86" s="473"/>
      <c r="V86" s="474" t="e">
        <f>SUBTOTAL(9,V36:V85)</f>
        <v>#N/A</v>
      </c>
      <c r="W86" s="473"/>
      <c r="X86" s="474" t="e">
        <f>SUBTOTAL(9,X36:X85)</f>
        <v>#N/A</v>
      </c>
      <c r="Y86" s="473"/>
      <c r="Z86" s="474" t="e">
        <f>SUBTOTAL(9,Z36:Z85)</f>
        <v>#N/A</v>
      </c>
      <c r="AA86" s="473"/>
      <c r="AB86" s="474" t="e">
        <f>SUBTOTAL(9,AB36:AB85)</f>
        <v>#N/A</v>
      </c>
      <c r="AC86" s="473"/>
      <c r="AD86" s="474" t="e">
        <f>SUBTOTAL(9,AD36:AD85)</f>
        <v>#N/A</v>
      </c>
      <c r="AE86" s="473"/>
      <c r="AF86" s="474" t="e">
        <f>SUBTOTAL(9,AF36:AF85)</f>
        <v>#N/A</v>
      </c>
      <c r="AG86" s="473"/>
      <c r="AH86" s="475" t="e">
        <f>SUBTOTAL(9,AH36:AH85)</f>
        <v>#N/A</v>
      </c>
      <c r="AJ86" s="476" t="e">
        <f t="shared" si="32"/>
        <v>#N/A</v>
      </c>
    </row>
    <row r="87" spans="1:36" ht="13.5" thickTop="1">
      <c r="E87" s="369"/>
      <c r="F87" s="28"/>
      <c r="G87" s="28"/>
      <c r="H87" s="28"/>
      <c r="I87" s="28"/>
      <c r="J87" s="28"/>
      <c r="K87" s="28"/>
      <c r="L87" s="445"/>
      <c r="M87" s="468"/>
      <c r="N87" s="453"/>
      <c r="O87" s="468"/>
      <c r="P87" s="453"/>
      <c r="Q87" s="468"/>
      <c r="R87" s="453"/>
      <c r="S87" s="468"/>
      <c r="T87" s="453"/>
      <c r="U87" s="468"/>
      <c r="V87" s="453"/>
      <c r="W87" s="468"/>
      <c r="X87" s="453"/>
      <c r="Y87" s="468"/>
      <c r="Z87" s="453"/>
      <c r="AA87" s="468"/>
      <c r="AB87" s="453"/>
      <c r="AC87" s="468"/>
      <c r="AD87" s="453"/>
      <c r="AE87" s="468"/>
      <c r="AF87" s="453"/>
      <c r="AG87" s="468"/>
      <c r="AH87" s="411"/>
      <c r="AJ87" s="444" t="str">
        <f t="shared" si="32"/>
        <v>1</v>
      </c>
    </row>
    <row r="88" spans="1:36">
      <c r="E88" s="402" t="s">
        <v>66</v>
      </c>
      <c r="F88" s="28"/>
      <c r="G88" s="28"/>
      <c r="H88" s="28"/>
      <c r="I88" s="28"/>
      <c r="J88" s="28"/>
      <c r="K88" s="28"/>
      <c r="L88" s="445"/>
      <c r="M88" s="468"/>
      <c r="N88" s="453"/>
      <c r="O88" s="468"/>
      <c r="P88" s="453"/>
      <c r="Q88" s="468"/>
      <c r="R88" s="453"/>
      <c r="S88" s="468"/>
      <c r="T88" s="453"/>
      <c r="U88" s="468"/>
      <c r="V88" s="453"/>
      <c r="W88" s="468"/>
      <c r="X88" s="453"/>
      <c r="Y88" s="468"/>
      <c r="Z88" s="453"/>
      <c r="AA88" s="468"/>
      <c r="AB88" s="453"/>
      <c r="AC88" s="468"/>
      <c r="AD88" s="453"/>
      <c r="AE88" s="468"/>
      <c r="AF88" s="453"/>
      <c r="AG88" s="468"/>
      <c r="AH88" s="411"/>
      <c r="AJ88" s="444" t="str">
        <f t="shared" si="32"/>
        <v>1</v>
      </c>
    </row>
    <row r="89" spans="1:36">
      <c r="E89" s="369" t="s">
        <v>67</v>
      </c>
      <c r="F89" s="28"/>
      <c r="G89" s="28"/>
      <c r="H89" s="28"/>
      <c r="I89" s="28"/>
      <c r="J89" s="28"/>
      <c r="K89" s="404"/>
      <c r="L89" s="192">
        <v>0.15</v>
      </c>
      <c r="M89" s="468"/>
      <c r="N89" s="453" t="e">
        <f>SUMIF($O$14:$AJ$14,N$14,$O89:$AJ89)</f>
        <v>#N/A</v>
      </c>
      <c r="O89" s="469" t="e">
        <f>P50+P80</f>
        <v>#N/A</v>
      </c>
      <c r="P89" s="453" t="e">
        <f>ROUND(O89*$L89,0)</f>
        <v>#N/A</v>
      </c>
      <c r="Q89" s="469" t="e">
        <f>R50+R80</f>
        <v>#N/A</v>
      </c>
      <c r="R89" s="453" t="e">
        <f>ROUND(Q89*$L89,0)</f>
        <v>#N/A</v>
      </c>
      <c r="S89" s="469" t="e">
        <f>T50+T80</f>
        <v>#N/A</v>
      </c>
      <c r="T89" s="453" t="e">
        <f>ROUND(S89*$L89,0)</f>
        <v>#N/A</v>
      </c>
      <c r="U89" s="469" t="e">
        <f>V50+V80</f>
        <v>#N/A</v>
      </c>
      <c r="V89" s="453" t="e">
        <f>ROUND(U89*$L89,0)</f>
        <v>#N/A</v>
      </c>
      <c r="W89" s="469" t="e">
        <f>X50+X80</f>
        <v>#N/A</v>
      </c>
      <c r="X89" s="453" t="e">
        <f>ROUND(W89*$L89,0)</f>
        <v>#N/A</v>
      </c>
      <c r="Y89" s="469" t="e">
        <f>Z50+Z80</f>
        <v>#N/A</v>
      </c>
      <c r="Z89" s="453" t="e">
        <f>ROUND(Y89*$L89,0)</f>
        <v>#N/A</v>
      </c>
      <c r="AA89" s="469" t="e">
        <f>AB50+AB80</f>
        <v>#N/A</v>
      </c>
      <c r="AB89" s="453" t="e">
        <f>ROUND(AA89*$L89,0)</f>
        <v>#N/A</v>
      </c>
      <c r="AC89" s="469" t="e">
        <f>AD50+AD80</f>
        <v>#N/A</v>
      </c>
      <c r="AD89" s="453" t="e">
        <f>ROUND(AC89*$L89,0)</f>
        <v>#N/A</v>
      </c>
      <c r="AE89" s="469" t="e">
        <f>AF50+AF80</f>
        <v>#N/A</v>
      </c>
      <c r="AF89" s="453" t="e">
        <f>ROUND(AE89*$L89,0)</f>
        <v>#N/A</v>
      </c>
      <c r="AG89" s="469" t="e">
        <f>AH50+AH80</f>
        <v>#N/A</v>
      </c>
      <c r="AH89" s="411" t="e">
        <f>ROUND(AG89*$L89,0)</f>
        <v>#N/A</v>
      </c>
      <c r="AJ89" s="444" t="e">
        <f t="shared" si="32"/>
        <v>#N/A</v>
      </c>
    </row>
    <row r="90" spans="1:36">
      <c r="E90" s="369" t="s">
        <v>68</v>
      </c>
      <c r="F90" s="28"/>
      <c r="G90" s="28"/>
      <c r="H90" s="28"/>
      <c r="I90" s="28"/>
      <c r="J90" s="28"/>
      <c r="K90" s="404"/>
      <c r="L90" s="192">
        <v>0.1</v>
      </c>
      <c r="M90" s="468"/>
      <c r="N90" s="453">
        <f>SUMIF($O$14:$AJ$14,N$14,$O90:$AJ90)</f>
        <v>0</v>
      </c>
      <c r="O90" s="480">
        <f>P58+P81</f>
        <v>0</v>
      </c>
      <c r="P90" s="453">
        <f>ROUND(O90*$L90,0)</f>
        <v>0</v>
      </c>
      <c r="Q90" s="480">
        <f>R58+R81</f>
        <v>0</v>
      </c>
      <c r="R90" s="453">
        <f>ROUND(Q90*$L90,0)</f>
        <v>0</v>
      </c>
      <c r="S90" s="480">
        <f>T58+T81</f>
        <v>0</v>
      </c>
      <c r="T90" s="453">
        <f>ROUND(S90*$L90,0)</f>
        <v>0</v>
      </c>
      <c r="U90" s="480">
        <f>V58+V81</f>
        <v>0</v>
      </c>
      <c r="V90" s="453">
        <f>ROUND(U90*$L90,0)</f>
        <v>0</v>
      </c>
      <c r="W90" s="480">
        <f>X58+X81</f>
        <v>0</v>
      </c>
      <c r="X90" s="453">
        <f>ROUND(W90*$L90,0)</f>
        <v>0</v>
      </c>
      <c r="Y90" s="480">
        <f>Z58+Z81</f>
        <v>0</v>
      </c>
      <c r="Z90" s="453">
        <f>ROUND(Y90*$L90,0)</f>
        <v>0</v>
      </c>
      <c r="AA90" s="480">
        <f>AB58+AB81</f>
        <v>0</v>
      </c>
      <c r="AB90" s="453">
        <f>ROUND(AA90*$L90,0)</f>
        <v>0</v>
      </c>
      <c r="AC90" s="480">
        <f>AD58+AD81</f>
        <v>0</v>
      </c>
      <c r="AD90" s="453">
        <f>ROUND(AC90*$L90,0)</f>
        <v>0</v>
      </c>
      <c r="AE90" s="480">
        <f>AF58+AF81</f>
        <v>0</v>
      </c>
      <c r="AF90" s="453">
        <f>ROUND(AE90*$L90,0)</f>
        <v>0</v>
      </c>
      <c r="AG90" s="480">
        <f>AH58+AH81</f>
        <v>0</v>
      </c>
      <c r="AH90" s="411">
        <f>ROUND(AG90*$L90,0)</f>
        <v>0</v>
      </c>
      <c r="AJ90" s="444" t="str">
        <f t="shared" si="32"/>
        <v>0</v>
      </c>
    </row>
    <row r="91" spans="1:36">
      <c r="E91" s="369" t="s">
        <v>69</v>
      </c>
      <c r="F91" s="28"/>
      <c r="G91" s="28"/>
      <c r="H91" s="28"/>
      <c r="I91" s="28"/>
      <c r="J91" s="28"/>
      <c r="K91" s="404"/>
      <c r="L91" s="192">
        <v>0.1</v>
      </c>
      <c r="M91" s="468"/>
      <c r="N91" s="453">
        <f>SUMIF($O$14:$AJ$14,N$14,$O91:$AJ91)</f>
        <v>0</v>
      </c>
      <c r="O91" s="480">
        <f>P66+P76+P82</f>
        <v>0</v>
      </c>
      <c r="P91" s="453">
        <f>ROUND(O91*$L91,0)</f>
        <v>0</v>
      </c>
      <c r="Q91" s="480">
        <f>R66+R76+R82</f>
        <v>0</v>
      </c>
      <c r="R91" s="453">
        <f>ROUND(Q91*$L91,0)</f>
        <v>0</v>
      </c>
      <c r="S91" s="480">
        <f>T66+T76+T82</f>
        <v>0</v>
      </c>
      <c r="T91" s="453">
        <f>ROUND(S91*$L91,0)</f>
        <v>0</v>
      </c>
      <c r="U91" s="480">
        <f>V66+V76+V82</f>
        <v>0</v>
      </c>
      <c r="V91" s="453">
        <f>ROUND(U91*$L91,0)</f>
        <v>0</v>
      </c>
      <c r="W91" s="480">
        <f>X66+X76+X82</f>
        <v>0</v>
      </c>
      <c r="X91" s="453">
        <f>ROUND(W91*$L91,0)</f>
        <v>0</v>
      </c>
      <c r="Y91" s="480">
        <f>Z66+Z76+Z82</f>
        <v>0</v>
      </c>
      <c r="Z91" s="453">
        <f>ROUND(Y91*$L91,0)</f>
        <v>0</v>
      </c>
      <c r="AA91" s="480">
        <f>AB66+AB76+AB82</f>
        <v>0</v>
      </c>
      <c r="AB91" s="453">
        <f>ROUND(AA91*$L91,0)</f>
        <v>0</v>
      </c>
      <c r="AC91" s="480">
        <f>AD66+AD76+AD82</f>
        <v>0</v>
      </c>
      <c r="AD91" s="453">
        <f>ROUND(AC91*$L91,0)</f>
        <v>0</v>
      </c>
      <c r="AE91" s="480">
        <f>AF66+AF76+AF82</f>
        <v>0</v>
      </c>
      <c r="AF91" s="453">
        <f>ROUND(AE91*$L91,0)</f>
        <v>0</v>
      </c>
      <c r="AG91" s="480">
        <f>AH66+AH76+AH82</f>
        <v>0</v>
      </c>
      <c r="AH91" s="411">
        <f>ROUND(AG91*$L91,0)</f>
        <v>0</v>
      </c>
      <c r="AJ91" s="444" t="str">
        <f t="shared" si="32"/>
        <v>0</v>
      </c>
    </row>
    <row r="92" spans="1:36" s="397" customFormat="1">
      <c r="A92" s="28"/>
      <c r="B92" s="28"/>
      <c r="C92" s="28"/>
      <c r="D92" s="28"/>
      <c r="E92" s="401" t="s">
        <v>70</v>
      </c>
      <c r="K92" s="405"/>
      <c r="L92" s="216">
        <v>0.1</v>
      </c>
      <c r="M92" s="470"/>
      <c r="N92" s="464">
        <f>SUMIF($O$14:$AJ$14,N$14,$O92:$AJ92)</f>
        <v>0</v>
      </c>
      <c r="O92" s="471">
        <f>P74+P77+P83</f>
        <v>0</v>
      </c>
      <c r="P92" s="464">
        <f>ROUND(O92*$L92,0)</f>
        <v>0</v>
      </c>
      <c r="Q92" s="471">
        <f>R74+R77+R83</f>
        <v>0</v>
      </c>
      <c r="R92" s="464">
        <f>ROUND(Q92*$L92,0)</f>
        <v>0</v>
      </c>
      <c r="S92" s="471">
        <f>T74+T77+T83</f>
        <v>0</v>
      </c>
      <c r="T92" s="464">
        <f>ROUND(S92*$L92,0)</f>
        <v>0</v>
      </c>
      <c r="U92" s="471">
        <f>V74+V77+V83</f>
        <v>0</v>
      </c>
      <c r="V92" s="464">
        <f>ROUND(U92*$L92,0)</f>
        <v>0</v>
      </c>
      <c r="W92" s="471">
        <f>X74+X77+X83</f>
        <v>0</v>
      </c>
      <c r="X92" s="464">
        <f>ROUND(W92*$L92,0)</f>
        <v>0</v>
      </c>
      <c r="Y92" s="471">
        <f>Z74+Z77+Z83</f>
        <v>0</v>
      </c>
      <c r="Z92" s="464">
        <f>ROUND(Y92*$L92,0)</f>
        <v>0</v>
      </c>
      <c r="AA92" s="471">
        <f>AB74+AB77+AB83</f>
        <v>0</v>
      </c>
      <c r="AB92" s="464">
        <f>ROUND(AA92*$L92,0)</f>
        <v>0</v>
      </c>
      <c r="AC92" s="471">
        <f>AD74+AD77+AD83</f>
        <v>0</v>
      </c>
      <c r="AD92" s="464">
        <f>ROUND(AC92*$L92,0)</f>
        <v>0</v>
      </c>
      <c r="AE92" s="471">
        <f>AF74+AF77+AF83</f>
        <v>0</v>
      </c>
      <c r="AF92" s="464">
        <f>ROUND(AE92*$L92,0)</f>
        <v>0</v>
      </c>
      <c r="AG92" s="471">
        <f>AH74+AH77+AH83</f>
        <v>0</v>
      </c>
      <c r="AH92" s="418">
        <f>ROUND(AG92*$L92,0)</f>
        <v>0</v>
      </c>
      <c r="AJ92" s="465" t="str">
        <f t="shared" si="32"/>
        <v>0</v>
      </c>
    </row>
    <row r="93" spans="1:36">
      <c r="E93" s="402" t="s">
        <v>71</v>
      </c>
      <c r="F93" s="28"/>
      <c r="G93" s="28"/>
      <c r="H93" s="28"/>
      <c r="I93" s="28"/>
      <c r="J93" s="28"/>
      <c r="K93" s="28"/>
      <c r="L93" s="445"/>
      <c r="M93" s="468"/>
      <c r="N93" s="453" t="e">
        <f>SUBTOTAL(9,N89:N92)</f>
        <v>#N/A</v>
      </c>
      <c r="O93" s="481" t="e">
        <f>IF(P86=0,0,(P93/P86))</f>
        <v>#N/A</v>
      </c>
      <c r="P93" s="453" t="e">
        <f>SUBTOTAL(9,P89:P92)</f>
        <v>#N/A</v>
      </c>
      <c r="Q93" s="481" t="e">
        <f>IF(R86=0,0,(R93/R86))</f>
        <v>#N/A</v>
      </c>
      <c r="R93" s="453" t="e">
        <f>SUBTOTAL(9,R89:R92)</f>
        <v>#N/A</v>
      </c>
      <c r="S93" s="481" t="e">
        <f>IF(T86=0,0,(T93/T86))</f>
        <v>#N/A</v>
      </c>
      <c r="T93" s="453" t="e">
        <f>SUBTOTAL(9,T89:T92)</f>
        <v>#N/A</v>
      </c>
      <c r="U93" s="481" t="e">
        <f>IF(V86=0,0,(V93/V86))</f>
        <v>#N/A</v>
      </c>
      <c r="V93" s="453" t="e">
        <f>SUBTOTAL(9,V89:V92)</f>
        <v>#N/A</v>
      </c>
      <c r="W93" s="481" t="e">
        <f>IF(X86=0,0,(X93/X86))</f>
        <v>#N/A</v>
      </c>
      <c r="X93" s="453" t="e">
        <f>SUBTOTAL(9,X89:X92)</f>
        <v>#N/A</v>
      </c>
      <c r="Y93" s="481" t="e">
        <f>IF(Z86=0,0,(Z93/Z86))</f>
        <v>#N/A</v>
      </c>
      <c r="Z93" s="453" t="e">
        <f>SUBTOTAL(9,Z89:Z92)</f>
        <v>#N/A</v>
      </c>
      <c r="AA93" s="481" t="e">
        <f>IF(AB86=0,0,(AB93/AB86))</f>
        <v>#N/A</v>
      </c>
      <c r="AB93" s="453" t="e">
        <f>SUBTOTAL(9,AB89:AB92)</f>
        <v>#N/A</v>
      </c>
      <c r="AC93" s="481" t="e">
        <f>IF(AD86=0,0,(AD93/AD86))</f>
        <v>#N/A</v>
      </c>
      <c r="AD93" s="453" t="e">
        <f>SUBTOTAL(9,AD89:AD92)</f>
        <v>#N/A</v>
      </c>
      <c r="AE93" s="481" t="e">
        <f>IF(AF86=0,0,(AF93/AF86))</f>
        <v>#N/A</v>
      </c>
      <c r="AF93" s="453" t="e">
        <f>SUBTOTAL(9,AF89:AF92)</f>
        <v>#N/A</v>
      </c>
      <c r="AG93" s="481" t="e">
        <f>IF(AH86=0,0,(AH93/AH86))</f>
        <v>#N/A</v>
      </c>
      <c r="AH93" s="411" t="e">
        <f>SUBTOTAL(9,AH89:AH92)</f>
        <v>#N/A</v>
      </c>
      <c r="AJ93" s="444" t="e">
        <f t="shared" si="32"/>
        <v>#N/A</v>
      </c>
    </row>
    <row r="94" spans="1:36">
      <c r="E94" s="369"/>
      <c r="F94" s="28"/>
      <c r="G94" s="28"/>
      <c r="H94" s="28"/>
      <c r="I94" s="28"/>
      <c r="J94" s="28"/>
      <c r="K94" s="28"/>
      <c r="L94" s="445"/>
      <c r="M94" s="468"/>
      <c r="N94" s="453"/>
      <c r="O94" s="468"/>
      <c r="P94" s="453"/>
      <c r="Q94" s="468"/>
      <c r="R94" s="453"/>
      <c r="S94" s="468"/>
      <c r="T94" s="453"/>
      <c r="U94" s="468"/>
      <c r="V94" s="453"/>
      <c r="W94" s="468"/>
      <c r="X94" s="453"/>
      <c r="Y94" s="468"/>
      <c r="Z94" s="453"/>
      <c r="AA94" s="468"/>
      <c r="AB94" s="453"/>
      <c r="AC94" s="468"/>
      <c r="AD94" s="453"/>
      <c r="AE94" s="468"/>
      <c r="AF94" s="453"/>
      <c r="AG94" s="468"/>
      <c r="AH94" s="411"/>
      <c r="AJ94" s="444" t="str">
        <f t="shared" si="32"/>
        <v>1</v>
      </c>
    </row>
    <row r="95" spans="1:36" ht="13.5" thickBot="1">
      <c r="E95" s="420" t="s">
        <v>72</v>
      </c>
      <c r="F95" s="379"/>
      <c r="G95" s="379"/>
      <c r="H95" s="379"/>
      <c r="I95" s="379"/>
      <c r="J95" s="379"/>
      <c r="K95" s="379"/>
      <c r="L95" s="482"/>
      <c r="M95" s="483"/>
      <c r="N95" s="484" t="e">
        <f>SUBTOTAL(9,N37:N94)</f>
        <v>#N/A</v>
      </c>
      <c r="O95" s="485">
        <f>O39</f>
        <v>0</v>
      </c>
      <c r="P95" s="484" t="e">
        <f>SUBTOTAL(9,P37:P94)</f>
        <v>#N/A</v>
      </c>
      <c r="Q95" s="485">
        <f>Q39</f>
        <v>0</v>
      </c>
      <c r="R95" s="484" t="e">
        <f>SUBTOTAL(9,R37:R94)</f>
        <v>#N/A</v>
      </c>
      <c r="S95" s="485">
        <f>S39</f>
        <v>0</v>
      </c>
      <c r="T95" s="484" t="e">
        <f>SUBTOTAL(9,T37:T94)</f>
        <v>#N/A</v>
      </c>
      <c r="U95" s="485">
        <f>U39</f>
        <v>0</v>
      </c>
      <c r="V95" s="484" t="e">
        <f>SUBTOTAL(9,V37:V94)</f>
        <v>#N/A</v>
      </c>
      <c r="W95" s="485">
        <f>W39</f>
        <v>0</v>
      </c>
      <c r="X95" s="484" t="e">
        <f>SUBTOTAL(9,X37:X94)</f>
        <v>#N/A</v>
      </c>
      <c r="Y95" s="485">
        <f>Y39</f>
        <v>0</v>
      </c>
      <c r="Z95" s="484" t="e">
        <f>SUBTOTAL(9,Z37:Z94)</f>
        <v>#N/A</v>
      </c>
      <c r="AA95" s="485">
        <f>AA39</f>
        <v>0</v>
      </c>
      <c r="AB95" s="484" t="e">
        <f>SUBTOTAL(9,AB37:AB94)</f>
        <v>#N/A</v>
      </c>
      <c r="AC95" s="485">
        <f>AC39</f>
        <v>0</v>
      </c>
      <c r="AD95" s="484" t="e">
        <f>SUBTOTAL(9,AD37:AD94)</f>
        <v>#N/A</v>
      </c>
      <c r="AE95" s="485">
        <f>AE39</f>
        <v>0</v>
      </c>
      <c r="AF95" s="484" t="e">
        <f>SUBTOTAL(9,AF37:AF94)</f>
        <v>#N/A</v>
      </c>
      <c r="AG95" s="485">
        <f>AG39</f>
        <v>0</v>
      </c>
      <c r="AH95" s="429" t="e">
        <f>SUBTOTAL(9,AH37:AH94)</f>
        <v>#N/A</v>
      </c>
      <c r="AJ95" s="444" t="e">
        <f t="shared" si="32"/>
        <v>#N/A</v>
      </c>
    </row>
  </sheetData>
  <autoFilter ref="AJ12:AJ95"/>
  <mergeCells count="21">
    <mergeCell ref="AC12:AD12"/>
    <mergeCell ref="AE12:AF12"/>
    <mergeCell ref="AG12:AH12"/>
    <mergeCell ref="U12:V12"/>
    <mergeCell ref="W12:X12"/>
    <mergeCell ref="Y12:Z12"/>
    <mergeCell ref="AA12:AB12"/>
    <mergeCell ref="O13:P13"/>
    <mergeCell ref="Q13:R13"/>
    <mergeCell ref="S13:T13"/>
    <mergeCell ref="U13:V13"/>
    <mergeCell ref="M12:N12"/>
    <mergeCell ref="O12:P12"/>
    <mergeCell ref="Q12:R12"/>
    <mergeCell ref="S12:T12"/>
    <mergeCell ref="AE13:AF13"/>
    <mergeCell ref="AG13:AH13"/>
    <mergeCell ref="W13:X13"/>
    <mergeCell ref="Y13:Z13"/>
    <mergeCell ref="AA13:AB13"/>
    <mergeCell ref="AC13:AD13"/>
  </mergeCells>
  <phoneticPr fontId="0" type="noConversion"/>
  <pageMargins left="1" right="1" top="1" bottom="1" header="0.5" footer="0.5"/>
  <pageSetup scale="34" fitToWidth="3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Q42"/>
  <sheetViews>
    <sheetView showZeros="0" view="pageBreakPreview" zoomScale="70" zoomScaleNormal="75" zoomScaleSheetLayoutView="70" workbookViewId="0">
      <selection activeCell="Q10" sqref="Q10"/>
    </sheetView>
  </sheetViews>
  <sheetFormatPr defaultRowHeight="15.75"/>
  <cols>
    <col min="1" max="1" width="9.28515625" style="924" customWidth="1"/>
    <col min="2" max="2" width="10.85546875" style="926" customWidth="1"/>
    <col min="3" max="3" width="16.28515625" style="926" customWidth="1"/>
    <col min="4" max="4" width="32.28515625" style="926" customWidth="1"/>
    <col min="5" max="6" width="8.5703125" style="929" customWidth="1"/>
    <col min="7" max="7" width="16.42578125" style="929" bestFit="1" customWidth="1"/>
    <col min="8" max="8" width="13.7109375" style="929" customWidth="1"/>
    <col min="9" max="9" width="10.7109375" style="929" customWidth="1"/>
    <col min="10" max="10" width="11.7109375" style="930" customWidth="1"/>
    <col min="11" max="11" width="12.28515625" style="930" bestFit="1" customWidth="1"/>
    <col min="12" max="13" width="11.28515625" style="930" customWidth="1"/>
    <col min="14" max="14" width="12.28515625" style="930" customWidth="1"/>
    <col min="15" max="15" width="10.7109375" style="930" customWidth="1"/>
    <col min="16" max="16" width="12.7109375" style="930" customWidth="1"/>
    <col min="17" max="17" width="26.140625" customWidth="1"/>
    <col min="18" max="18" width="45.7109375" style="926" bestFit="1" customWidth="1"/>
    <col min="19" max="19" width="47.42578125" style="926" bestFit="1" customWidth="1"/>
    <col min="20" max="20" width="10.5703125" style="926" bestFit="1" customWidth="1"/>
    <col min="21" max="16384" width="9.140625" style="926"/>
  </cols>
  <sheetData>
    <row r="1" spans="1:17">
      <c r="A1" s="920" t="s">
        <v>610</v>
      </c>
      <c r="B1" s="921" t="str">
        <f>+InputSheet!D4</f>
        <v>P-12246</v>
      </c>
      <c r="C1" s="922"/>
      <c r="D1" s="923"/>
      <c r="E1" s="924"/>
      <c r="F1" s="924"/>
      <c r="G1" s="924"/>
      <c r="H1" s="924"/>
      <c r="I1" s="924"/>
      <c r="J1" s="925"/>
      <c r="K1" s="925"/>
      <c r="L1" s="925"/>
      <c r="M1" s="925"/>
      <c r="N1" s="925"/>
      <c r="O1" s="925"/>
      <c r="P1" s="925"/>
    </row>
    <row r="2" spans="1:17">
      <c r="A2" s="920" t="s">
        <v>855</v>
      </c>
      <c r="B2" s="927" t="s">
        <v>856</v>
      </c>
      <c r="C2" s="928"/>
      <c r="D2" s="928"/>
      <c r="E2" s="928"/>
      <c r="F2" s="928"/>
      <c r="G2" s="928"/>
      <c r="H2" s="928"/>
      <c r="I2" s="928"/>
      <c r="J2" s="928"/>
      <c r="K2" s="928"/>
      <c r="L2" s="928"/>
      <c r="M2" s="928"/>
      <c r="N2" s="928"/>
      <c r="O2" s="928"/>
      <c r="P2" s="928"/>
    </row>
    <row r="3" spans="1:17">
      <c r="A3" s="920" t="s">
        <v>612</v>
      </c>
      <c r="B3" s="922" t="s">
        <v>857</v>
      </c>
      <c r="C3" s="928"/>
      <c r="D3" s="928"/>
      <c r="E3" s="928"/>
      <c r="F3" s="928"/>
      <c r="G3" s="928"/>
      <c r="H3" s="928"/>
      <c r="J3" s="928"/>
      <c r="K3" s="928"/>
      <c r="L3" s="928"/>
      <c r="M3" s="928"/>
      <c r="N3" s="928"/>
      <c r="O3" s="928"/>
      <c r="P3" s="928"/>
    </row>
    <row r="4" spans="1:17">
      <c r="A4" s="920" t="s">
        <v>611</v>
      </c>
      <c r="B4" s="922" t="s">
        <v>858</v>
      </c>
      <c r="C4" s="928"/>
      <c r="D4" s="928"/>
      <c r="E4" s="928"/>
      <c r="F4" s="928"/>
      <c r="G4" s="928"/>
      <c r="H4" s="928"/>
      <c r="I4" s="928"/>
      <c r="J4" s="928"/>
      <c r="K4" s="928"/>
      <c r="L4" s="928"/>
      <c r="M4" s="928"/>
      <c r="N4" s="928"/>
      <c r="O4" s="928"/>
      <c r="P4" s="928"/>
    </row>
    <row r="5" spans="1:17" ht="16.5" thickBot="1">
      <c r="Q5" s="926"/>
    </row>
    <row r="6" spans="1:17" ht="21" customHeight="1" thickTop="1">
      <c r="A6" s="931"/>
      <c r="B6" s="932"/>
      <c r="C6" s="932"/>
      <c r="D6" s="933"/>
      <c r="E6" s="934"/>
      <c r="F6" s="934"/>
      <c r="G6" s="934"/>
      <c r="H6" s="934"/>
      <c r="I6" s="934"/>
      <c r="J6" s="935"/>
      <c r="K6" s="936"/>
      <c r="L6" s="936"/>
      <c r="M6" s="936"/>
      <c r="N6" s="936"/>
      <c r="O6" s="937"/>
      <c r="P6" s="938"/>
      <c r="Q6" s="926"/>
    </row>
    <row r="7" spans="1:17">
      <c r="A7" s="939"/>
      <c r="B7" s="940"/>
      <c r="C7" s="940"/>
      <c r="D7" s="940"/>
      <c r="E7" s="941" t="s">
        <v>859</v>
      </c>
      <c r="F7" s="941" t="s">
        <v>859</v>
      </c>
      <c r="G7" s="941" t="s">
        <v>859</v>
      </c>
      <c r="H7" s="941" t="s">
        <v>860</v>
      </c>
      <c r="I7" s="941" t="s">
        <v>861</v>
      </c>
      <c r="J7" s="942" t="s">
        <v>862</v>
      </c>
      <c r="K7" s="943" t="s">
        <v>863</v>
      </c>
      <c r="L7" s="943" t="s">
        <v>864</v>
      </c>
      <c r="M7" s="943" t="s">
        <v>865</v>
      </c>
      <c r="N7" s="943" t="s">
        <v>866</v>
      </c>
      <c r="O7" s="944" t="s">
        <v>671</v>
      </c>
      <c r="P7" s="945"/>
      <c r="Q7" s="926"/>
    </row>
    <row r="8" spans="1:17">
      <c r="A8" s="946" t="s">
        <v>867</v>
      </c>
      <c r="B8" s="947" t="s">
        <v>868</v>
      </c>
      <c r="C8" s="947"/>
      <c r="D8" s="947" t="s">
        <v>869</v>
      </c>
      <c r="E8" s="948" t="s">
        <v>870</v>
      </c>
      <c r="F8" s="948" t="s">
        <v>871</v>
      </c>
      <c r="G8" s="948" t="s">
        <v>872</v>
      </c>
      <c r="H8" s="948" t="s">
        <v>873</v>
      </c>
      <c r="I8" s="948" t="s">
        <v>866</v>
      </c>
      <c r="J8" s="949" t="s">
        <v>609</v>
      </c>
      <c r="K8" s="950" t="s">
        <v>609</v>
      </c>
      <c r="L8" s="950" t="s">
        <v>609</v>
      </c>
      <c r="M8" s="950" t="s">
        <v>609</v>
      </c>
      <c r="N8" s="950" t="s">
        <v>609</v>
      </c>
      <c r="O8" s="951" t="s">
        <v>609</v>
      </c>
      <c r="P8" s="952" t="s">
        <v>641</v>
      </c>
      <c r="Q8" s="952" t="s">
        <v>986</v>
      </c>
    </row>
    <row r="9" spans="1:17">
      <c r="A9" s="939"/>
      <c r="B9" s="940"/>
      <c r="C9" s="940"/>
      <c r="D9" s="940"/>
      <c r="E9" s="953"/>
      <c r="F9" s="953"/>
      <c r="G9" s="953"/>
      <c r="H9" s="953"/>
      <c r="I9" s="953"/>
      <c r="J9" s="954"/>
      <c r="K9" s="955"/>
      <c r="L9" s="955"/>
      <c r="M9" s="955"/>
      <c r="N9" s="955"/>
      <c r="O9" s="956"/>
      <c r="P9" s="945"/>
      <c r="Q9" s="1114">
        <v>0.3</v>
      </c>
    </row>
    <row r="10" spans="1:17">
      <c r="A10" s="957">
        <v>1</v>
      </c>
      <c r="B10" s="1187" t="s">
        <v>890</v>
      </c>
      <c r="C10" s="1188"/>
      <c r="D10" s="958" t="s">
        <v>891</v>
      </c>
      <c r="E10" s="959">
        <v>1</v>
      </c>
      <c r="F10" s="959">
        <v>1</v>
      </c>
      <c r="G10" s="960">
        <v>6</v>
      </c>
      <c r="H10" s="1014">
        <v>1</v>
      </c>
      <c r="I10" s="961">
        <v>0</v>
      </c>
      <c r="J10" s="962">
        <v>573.29</v>
      </c>
      <c r="K10" s="962">
        <v>241</v>
      </c>
      <c r="L10" s="962"/>
      <c r="M10" s="962">
        <v>121.76</v>
      </c>
      <c r="N10" s="963"/>
      <c r="O10" s="962">
        <v>20</v>
      </c>
      <c r="P10" s="964"/>
      <c r="Q10" s="926"/>
    </row>
    <row r="11" spans="1:17">
      <c r="A11" s="957">
        <f>1+A10</f>
        <v>2</v>
      </c>
      <c r="B11" s="1189" t="s">
        <v>891</v>
      </c>
      <c r="C11" s="1190"/>
      <c r="D11" s="965" t="s">
        <v>892</v>
      </c>
      <c r="E11" s="959">
        <v>1</v>
      </c>
      <c r="F11" s="959">
        <v>1</v>
      </c>
      <c r="G11" s="960">
        <v>6</v>
      </c>
      <c r="H11" s="1014">
        <v>1</v>
      </c>
      <c r="I11" s="961"/>
      <c r="J11" s="962">
        <v>1924</v>
      </c>
      <c r="K11" s="962"/>
      <c r="L11" s="962"/>
      <c r="M11" s="962">
        <v>144.91999999999999</v>
      </c>
      <c r="N11" s="963"/>
      <c r="O11" s="962">
        <v>20</v>
      </c>
      <c r="P11" s="964"/>
      <c r="Q11" s="926"/>
    </row>
    <row r="12" spans="1:17">
      <c r="A12" s="957">
        <f>1+A11</f>
        <v>3</v>
      </c>
      <c r="B12" s="1187" t="s">
        <v>892</v>
      </c>
      <c r="C12" s="1191"/>
      <c r="D12" s="965" t="s">
        <v>890</v>
      </c>
      <c r="E12" s="959">
        <v>1</v>
      </c>
      <c r="F12" s="959">
        <v>1</v>
      </c>
      <c r="G12" s="960">
        <v>0</v>
      </c>
      <c r="H12" s="959">
        <v>0</v>
      </c>
      <c r="I12" s="961"/>
      <c r="J12" s="962">
        <v>1028</v>
      </c>
      <c r="K12" s="962"/>
      <c r="L12" s="962"/>
      <c r="M12" s="962">
        <v>65.489999999999995</v>
      </c>
      <c r="N12" s="963"/>
      <c r="O12" s="962">
        <v>20</v>
      </c>
      <c r="P12" s="964"/>
      <c r="Q12" s="926"/>
    </row>
    <row r="13" spans="1:17" ht="7.5" customHeight="1">
      <c r="A13" s="966"/>
      <c r="B13" s="967"/>
      <c r="C13" s="967"/>
      <c r="D13" s="967"/>
      <c r="E13" s="968"/>
      <c r="F13" s="968"/>
      <c r="G13" s="968"/>
      <c r="H13" s="968"/>
      <c r="I13" s="968"/>
      <c r="J13" s="969"/>
      <c r="K13" s="970"/>
      <c r="L13" s="970"/>
      <c r="M13" s="970"/>
      <c r="N13" s="970"/>
      <c r="O13" s="971"/>
      <c r="P13" s="972"/>
      <c r="Q13" s="926"/>
    </row>
    <row r="14" spans="1:17" ht="7.5" customHeight="1">
      <c r="A14" s="939"/>
      <c r="B14" s="940"/>
      <c r="C14" s="940"/>
      <c r="D14" s="940"/>
      <c r="E14" s="973"/>
      <c r="F14" s="973"/>
      <c r="G14" s="973"/>
      <c r="H14" s="973"/>
      <c r="I14" s="973"/>
      <c r="J14" s="974"/>
      <c r="K14" s="975"/>
      <c r="L14" s="975"/>
      <c r="M14" s="975"/>
      <c r="N14" s="975"/>
      <c r="O14" s="976"/>
      <c r="P14" s="964"/>
      <c r="Q14" s="926"/>
    </row>
    <row r="15" spans="1:17">
      <c r="A15" s="977" t="s">
        <v>874</v>
      </c>
      <c r="B15" s="947"/>
      <c r="C15" s="940"/>
      <c r="D15" s="940"/>
      <c r="E15" s="973"/>
      <c r="F15" s="973"/>
      <c r="G15" s="973"/>
      <c r="H15" s="973"/>
      <c r="I15" s="973"/>
      <c r="J15" s="974"/>
      <c r="K15" s="975"/>
      <c r="L15" s="975"/>
      <c r="M15" s="975"/>
      <c r="N15" s="975"/>
      <c r="O15" s="976"/>
      <c r="P15" s="964"/>
      <c r="Q15" s="926"/>
    </row>
    <row r="16" spans="1:17">
      <c r="A16" s="957">
        <f t="shared" ref="A16:B18" si="0">+A10</f>
        <v>1</v>
      </c>
      <c r="B16" s="940" t="str">
        <f t="shared" si="0"/>
        <v>Denver, CO</v>
      </c>
      <c r="C16" s="940"/>
      <c r="D16" s="940" t="str">
        <f t="shared" ref="D16:I17" si="1">+D10</f>
        <v>Washington, DC</v>
      </c>
      <c r="E16" s="973">
        <f t="shared" si="1"/>
        <v>1</v>
      </c>
      <c r="F16" s="973">
        <f t="shared" si="1"/>
        <v>1</v>
      </c>
      <c r="G16" s="973">
        <f t="shared" si="1"/>
        <v>6</v>
      </c>
      <c r="H16" s="973">
        <f t="shared" si="1"/>
        <v>1</v>
      </c>
      <c r="I16" s="973">
        <f t="shared" si="1"/>
        <v>0</v>
      </c>
      <c r="J16" s="974">
        <f>ROUND(J10*F10*E10,0)</f>
        <v>573</v>
      </c>
      <c r="K16" s="975">
        <f>ROUND(K10*E10*F10*G10,0)</f>
        <v>1446</v>
      </c>
      <c r="L16" s="975">
        <f>ROUND(L10*E10*F10,0)</f>
        <v>0</v>
      </c>
      <c r="M16" s="975">
        <f>ROUND(M10*H10*F10*(G10+1),0)</f>
        <v>852</v>
      </c>
      <c r="N16" s="975">
        <f>ROUND((N10*I10*F10*E10),0)</f>
        <v>0</v>
      </c>
      <c r="O16" s="976">
        <f>O10*E10*F10*(G10+1)</f>
        <v>140</v>
      </c>
      <c r="P16" s="964">
        <f>SUM(J16:O16)</f>
        <v>3011</v>
      </c>
      <c r="Q16" s="930">
        <f>P16*($Q$9)</f>
        <v>903.3</v>
      </c>
    </row>
    <row r="17" spans="1:17">
      <c r="A17" s="957">
        <f t="shared" si="0"/>
        <v>2</v>
      </c>
      <c r="B17" s="940" t="str">
        <f t="shared" si="0"/>
        <v>Washington, DC</v>
      </c>
      <c r="C17" s="940"/>
      <c r="D17" s="940" t="str">
        <f t="shared" si="1"/>
        <v>Mons, Belgium</v>
      </c>
      <c r="E17" s="973">
        <f t="shared" si="1"/>
        <v>1</v>
      </c>
      <c r="F17" s="973">
        <f t="shared" si="1"/>
        <v>1</v>
      </c>
      <c r="G17" s="973">
        <f t="shared" si="1"/>
        <v>6</v>
      </c>
      <c r="H17" s="973">
        <f t="shared" si="1"/>
        <v>1</v>
      </c>
      <c r="I17" s="973">
        <f t="shared" si="1"/>
        <v>0</v>
      </c>
      <c r="J17" s="974">
        <f>ROUND(J11*F11*E11,0)</f>
        <v>1924</v>
      </c>
      <c r="K17" s="975">
        <f>ROUND(K11*E11*F11*G11,0)</f>
        <v>0</v>
      </c>
      <c r="L17" s="975">
        <f>ROUND(L11*E11*F11,0)</f>
        <v>0</v>
      </c>
      <c r="M17" s="975">
        <f>ROUND(M11*H11*F11*(G11+1),0)</f>
        <v>1014</v>
      </c>
      <c r="N17" s="975">
        <f>ROUND((N11*I11*F11*E11),0)</f>
        <v>0</v>
      </c>
      <c r="O17" s="976">
        <f>O11*E11*F11*(G11+1)</f>
        <v>140</v>
      </c>
      <c r="P17" s="964">
        <f>SUM(J17:O17)</f>
        <v>3078</v>
      </c>
      <c r="Q17" s="930">
        <f>P17*($Q$9)</f>
        <v>923.4</v>
      </c>
    </row>
    <row r="18" spans="1:17">
      <c r="A18" s="957">
        <f t="shared" si="0"/>
        <v>3</v>
      </c>
      <c r="B18" s="940" t="str">
        <f t="shared" si="0"/>
        <v>Mons, Belgium</v>
      </c>
      <c r="C18" s="940"/>
      <c r="D18" s="940" t="str">
        <f t="shared" ref="D18:I18" si="2">+D12</f>
        <v>Denver, CO</v>
      </c>
      <c r="E18" s="973">
        <f t="shared" si="2"/>
        <v>1</v>
      </c>
      <c r="F18" s="973">
        <f t="shared" si="2"/>
        <v>1</v>
      </c>
      <c r="G18" s="973">
        <f t="shared" si="2"/>
        <v>0</v>
      </c>
      <c r="H18" s="973">
        <f t="shared" si="2"/>
        <v>0</v>
      </c>
      <c r="I18" s="973">
        <f t="shared" si="2"/>
        <v>0</v>
      </c>
      <c r="J18" s="974">
        <f>ROUND(J12*F12*E12,0)</f>
        <v>1028</v>
      </c>
      <c r="K18" s="975">
        <f>ROUND(K12*E12*F12*G12,0)</f>
        <v>0</v>
      </c>
      <c r="L18" s="975">
        <f>ROUND(L12*E12*F12,0)</f>
        <v>0</v>
      </c>
      <c r="M18" s="975">
        <f>ROUND(M12*H12*F12*(G12+1),0)</f>
        <v>0</v>
      </c>
      <c r="N18" s="975">
        <f>ROUND((N12*I12*F12*E12),0)</f>
        <v>0</v>
      </c>
      <c r="O18" s="976">
        <f>O12*E12*F12*(G12+1)</f>
        <v>20</v>
      </c>
      <c r="P18" s="964">
        <f>SUM(J18:O18)</f>
        <v>1048</v>
      </c>
      <c r="Q18" s="930">
        <f>P18*($Q$9)</f>
        <v>314.39999999999998</v>
      </c>
    </row>
    <row r="19" spans="1:17" ht="9" customHeight="1">
      <c r="A19" s="966"/>
      <c r="B19" s="967"/>
      <c r="C19" s="967"/>
      <c r="D19" s="967"/>
      <c r="E19" s="978"/>
      <c r="F19" s="978"/>
      <c r="G19" s="978"/>
      <c r="H19" s="978"/>
      <c r="I19" s="978"/>
      <c r="J19" s="969"/>
      <c r="K19" s="970"/>
      <c r="L19" s="970"/>
      <c r="M19" s="970"/>
      <c r="N19" s="970"/>
      <c r="O19" s="971"/>
      <c r="P19" s="972"/>
      <c r="Q19" s="926"/>
    </row>
    <row r="20" spans="1:17">
      <c r="A20" s="939"/>
      <c r="B20" s="940"/>
      <c r="C20" s="940"/>
      <c r="D20" s="940"/>
      <c r="E20" s="953"/>
      <c r="F20" s="953"/>
      <c r="G20" s="953"/>
      <c r="H20" s="953"/>
      <c r="I20" s="953"/>
      <c r="J20" s="974"/>
      <c r="K20" s="975"/>
      <c r="L20" s="975"/>
      <c r="M20" s="975"/>
      <c r="N20" s="975"/>
      <c r="O20" s="976"/>
      <c r="P20" s="964"/>
      <c r="Q20" s="926"/>
    </row>
    <row r="21" spans="1:17" ht="16.5" thickBot="1">
      <c r="A21" s="939" t="s">
        <v>956</v>
      </c>
      <c r="B21" s="979"/>
      <c r="C21" s="979"/>
      <c r="D21" s="940"/>
      <c r="E21" s="953"/>
      <c r="F21" s="953"/>
      <c r="G21" s="953"/>
      <c r="H21" s="953"/>
      <c r="I21" s="953"/>
      <c r="J21" s="980">
        <f t="shared" ref="J21:O21" si="3">SUM(J16:J19)</f>
        <v>3525</v>
      </c>
      <c r="K21" s="981">
        <f t="shared" si="3"/>
        <v>1446</v>
      </c>
      <c r="L21" s="981">
        <f t="shared" si="3"/>
        <v>0</v>
      </c>
      <c r="M21" s="981">
        <f t="shared" si="3"/>
        <v>1866</v>
      </c>
      <c r="N21" s="981">
        <f t="shared" si="3"/>
        <v>0</v>
      </c>
      <c r="O21" s="982">
        <f t="shared" si="3"/>
        <v>300</v>
      </c>
      <c r="P21" s="983">
        <f>SUM(P16:P19)</f>
        <v>7137</v>
      </c>
      <c r="Q21" s="983">
        <f>SUM(Q16:Q19)</f>
        <v>2141.1</v>
      </c>
    </row>
    <row r="22" spans="1:17" ht="16.5" thickBot="1">
      <c r="A22" s="984"/>
      <c r="B22" s="985"/>
      <c r="C22" s="985"/>
      <c r="D22" s="985"/>
      <c r="E22" s="986"/>
      <c r="F22" s="986"/>
      <c r="G22" s="986"/>
      <c r="H22" s="986"/>
      <c r="I22" s="986"/>
      <c r="J22" s="987"/>
      <c r="K22" s="987"/>
      <c r="L22" s="987"/>
      <c r="M22" s="987"/>
      <c r="N22" s="987"/>
      <c r="O22" s="988"/>
      <c r="P22" s="989"/>
      <c r="Q22" s="926"/>
    </row>
    <row r="23" spans="1:17" ht="16.5" thickTop="1">
      <c r="Q23" s="926"/>
    </row>
    <row r="27" spans="1:17">
      <c r="A27" s="990" t="s">
        <v>875</v>
      </c>
      <c r="Q27" s="926"/>
    </row>
    <row r="28" spans="1:17">
      <c r="A28" s="924" t="s">
        <v>876</v>
      </c>
      <c r="Q28" s="926"/>
    </row>
    <row r="29" spans="1:17">
      <c r="B29" s="926" t="s">
        <v>877</v>
      </c>
      <c r="Q29" s="926"/>
    </row>
    <row r="30" spans="1:17">
      <c r="B30" s="926" t="s">
        <v>878</v>
      </c>
      <c r="Q30" s="926"/>
    </row>
    <row r="31" spans="1:17">
      <c r="B31" s="926" t="s">
        <v>879</v>
      </c>
      <c r="Q31" s="926"/>
    </row>
    <row r="32" spans="1:17">
      <c r="B32" s="926" t="s">
        <v>880</v>
      </c>
      <c r="Q32" s="926"/>
    </row>
    <row r="33" spans="1:17">
      <c r="A33" s="926"/>
      <c r="B33" s="926" t="s">
        <v>881</v>
      </c>
      <c r="Q33" s="926"/>
    </row>
    <row r="34" spans="1:17">
      <c r="B34" s="926" t="s">
        <v>882</v>
      </c>
      <c r="Q34" s="926"/>
    </row>
    <row r="35" spans="1:17" ht="12" customHeight="1">
      <c r="Q35" s="926"/>
    </row>
    <row r="36" spans="1:17">
      <c r="A36" s="924" t="s">
        <v>883</v>
      </c>
      <c r="Q36" s="926"/>
    </row>
    <row r="37" spans="1:17">
      <c r="B37" s="926" t="s">
        <v>884</v>
      </c>
      <c r="C37" s="991"/>
      <c r="D37" s="991"/>
      <c r="E37" s="992"/>
      <c r="F37" s="992"/>
      <c r="G37" s="992"/>
      <c r="H37" s="992"/>
      <c r="I37" s="992"/>
      <c r="J37" s="993"/>
      <c r="Q37" s="926"/>
    </row>
    <row r="38" spans="1:17">
      <c r="B38" s="926" t="s">
        <v>885</v>
      </c>
      <c r="C38" s="991"/>
      <c r="D38" s="991"/>
      <c r="E38" s="992"/>
      <c r="F38" s="992"/>
      <c r="G38" s="992"/>
      <c r="H38" s="992"/>
      <c r="I38" s="992"/>
      <c r="J38" s="993"/>
      <c r="Q38" s="926"/>
    </row>
    <row r="39" spans="1:17">
      <c r="A39" s="994" t="s">
        <v>886</v>
      </c>
      <c r="B39" s="926" t="s">
        <v>887</v>
      </c>
      <c r="Q39" s="926"/>
    </row>
    <row r="40" spans="1:17">
      <c r="A40" s="994"/>
      <c r="B40" s="926" t="s">
        <v>888</v>
      </c>
      <c r="Q40" s="926"/>
    </row>
    <row r="41" spans="1:17">
      <c r="B41" s="926" t="s">
        <v>889</v>
      </c>
      <c r="Q41" s="926"/>
    </row>
    <row r="42" spans="1:17">
      <c r="Q42" s="926"/>
    </row>
  </sheetData>
  <mergeCells count="3">
    <mergeCell ref="B10:C10"/>
    <mergeCell ref="B11:C11"/>
    <mergeCell ref="B12:C12"/>
  </mergeCells>
  <printOptions horizontalCentered="1"/>
  <pageMargins left="0.5" right="0.5" top="0.75" bottom="0.75" header="0.5" footer="0.5"/>
  <pageSetup scale="55" orientation="landscape" cellComments="asDisplayed" horizontalDpi="300" verticalDpi="300" r:id="rId1"/>
  <headerFooter alignWithMargins="0"/>
  <rowBreaks count="1" manualBreakCount="1">
    <brk id="23" max="15" man="1"/>
  </rowBreaks>
</worksheet>
</file>

<file path=xl/worksheets/sheet20.xml><?xml version="1.0" encoding="utf-8"?>
<worksheet xmlns="http://schemas.openxmlformats.org/spreadsheetml/2006/main" xmlns:r="http://schemas.openxmlformats.org/officeDocument/2006/relationships">
  <sheetPr codeName="Sheet13" enableFormatConditionsCalculation="0">
    <tabColor indexed="10"/>
  </sheetPr>
  <dimension ref="A1:R57"/>
  <sheetViews>
    <sheetView showGridLines="0" zoomScale="85" zoomScaleNormal="85" workbookViewId="0">
      <pane xSplit="5" ySplit="8" topLeftCell="F9" activePane="bottomRight" state="frozen"/>
      <selection activeCell="F47" sqref="F47"/>
      <selection pane="topRight" activeCell="F47" sqref="F47"/>
      <selection pane="bottomLeft" activeCell="F47" sqref="F47"/>
      <selection pane="bottomRight" activeCell="G23" sqref="G23"/>
    </sheetView>
  </sheetViews>
  <sheetFormatPr defaultRowHeight="12.75"/>
  <cols>
    <col min="1" max="1" width="4.140625" style="4" bestFit="1" customWidth="1"/>
    <col min="2" max="2" width="19.5703125" style="4" bestFit="1" customWidth="1"/>
    <col min="3" max="3" width="26.28515625" style="4" customWidth="1"/>
    <col min="4" max="4" width="8.140625" style="488" customWidth="1"/>
    <col min="5" max="5" width="12.7109375" style="489" customWidth="1"/>
    <col min="6" max="14" width="13.140625" style="4" customWidth="1"/>
    <col min="15" max="15" width="15.140625" style="4" customWidth="1"/>
    <col min="16" max="16384" width="9.140625" style="4"/>
  </cols>
  <sheetData>
    <row r="1" spans="1:18">
      <c r="B1" s="4" t="s">
        <v>610</v>
      </c>
      <c r="C1" s="4" t="str">
        <f>InputSheet!D4</f>
        <v>P-12246</v>
      </c>
    </row>
    <row r="2" spans="1:18">
      <c r="B2" s="4" t="s">
        <v>666</v>
      </c>
      <c r="C2" s="4" t="str">
        <f>InputSheet!D1</f>
        <v>NCSA HQ 7010</v>
      </c>
    </row>
    <row r="3" spans="1:18">
      <c r="B3" s="4" t="s">
        <v>611</v>
      </c>
      <c r="C3" s="4" t="str">
        <f>InputSheet!D3</f>
        <v>ManTech Telecommunications and Information Systems Corporation</v>
      </c>
    </row>
    <row r="4" spans="1:18" s="379" customFormat="1" ht="13.5" thickBot="1">
      <c r="B4" s="379" t="s">
        <v>612</v>
      </c>
      <c r="C4" s="379" t="str">
        <f>InputSheet!D2</f>
        <v>CIS Consultant Services</v>
      </c>
      <c r="D4" s="490"/>
      <c r="E4" s="491"/>
      <c r="F4" s="492"/>
      <c r="G4" s="492"/>
      <c r="H4" s="492"/>
      <c r="I4" s="492"/>
      <c r="J4" s="492"/>
      <c r="K4" s="492"/>
      <c r="L4" s="492"/>
      <c r="M4" s="492"/>
      <c r="N4" s="492"/>
      <c r="O4" s="492"/>
    </row>
    <row r="5" spans="1:18">
      <c r="F5" s="493"/>
      <c r="G5" s="493"/>
      <c r="H5" s="493"/>
      <c r="I5" s="493"/>
      <c r="J5" s="493"/>
      <c r="K5" s="493"/>
      <c r="L5" s="493"/>
      <c r="M5" s="493"/>
      <c r="N5" s="493"/>
      <c r="O5" s="493"/>
    </row>
    <row r="6" spans="1:18" s="499" customFormat="1" ht="15.75" thickBot="1">
      <c r="A6" s="387"/>
      <c r="B6" s="494"/>
      <c r="C6" s="495"/>
      <c r="D6" s="496"/>
      <c r="E6" s="497"/>
      <c r="F6" s="498">
        <v>1</v>
      </c>
      <c r="G6" s="498">
        <f>F6+1</f>
        <v>2</v>
      </c>
      <c r="H6" s="498">
        <f t="shared" ref="H6:O6" si="0">G6+1</f>
        <v>3</v>
      </c>
      <c r="I6" s="498">
        <f t="shared" si="0"/>
        <v>4</v>
      </c>
      <c r="J6" s="498">
        <f t="shared" si="0"/>
        <v>5</v>
      </c>
      <c r="K6" s="498">
        <f t="shared" si="0"/>
        <v>6</v>
      </c>
      <c r="L6" s="498">
        <f t="shared" si="0"/>
        <v>7</v>
      </c>
      <c r="M6" s="498">
        <f t="shared" si="0"/>
        <v>8</v>
      </c>
      <c r="N6" s="498">
        <f t="shared" si="0"/>
        <v>9</v>
      </c>
      <c r="O6" s="498">
        <f t="shared" si="0"/>
        <v>10</v>
      </c>
    </row>
    <row r="7" spans="1:18" s="500" customFormat="1" ht="13.5" thickBot="1">
      <c r="B7" s="501" t="s">
        <v>73</v>
      </c>
      <c r="D7" s="502"/>
      <c r="E7" s="503" t="s">
        <v>128</v>
      </c>
      <c r="F7" s="504" t="str">
        <f>VLOOKUP(F$6,'WBS Task Descriptions'!$A$10:$C$249,2,FALSE)</f>
        <v>0101</v>
      </c>
      <c r="G7" s="505" t="str">
        <f>VLOOKUP(G$6,'WBS Task Descriptions'!$A$10:$C$249,2,FALSE)</f>
        <v>0102</v>
      </c>
      <c r="H7" s="505" t="str">
        <f>VLOOKUP(H$6,'WBS Task Descriptions'!$A$10:$C$249,2,FALSE)</f>
        <v>0103</v>
      </c>
      <c r="I7" s="505" t="str">
        <f>VLOOKUP(I$6,'WBS Task Descriptions'!$A$10:$C$249,2,FALSE)</f>
        <v>0104</v>
      </c>
      <c r="J7" s="505" t="str">
        <f>VLOOKUP(J$6,'WBS Task Descriptions'!$A$10:$C$249,2,FALSE)</f>
        <v>0105</v>
      </c>
      <c r="K7" s="505" t="str">
        <f>VLOOKUP(K$6,'WBS Task Descriptions'!$A$10:$C$249,2,FALSE)</f>
        <v>0106</v>
      </c>
      <c r="L7" s="505" t="str">
        <f>VLOOKUP(L$6,'WBS Task Descriptions'!$A$10:$C$249,2,FALSE)</f>
        <v>0107</v>
      </c>
      <c r="M7" s="505" t="str">
        <f>VLOOKUP(M$6,'WBS Task Descriptions'!$A$10:$C$249,2,FALSE)</f>
        <v>0108</v>
      </c>
      <c r="N7" s="505" t="str">
        <f>VLOOKUP(N$6,'WBS Task Descriptions'!$A$10:$C$249,2,FALSE)</f>
        <v>0109</v>
      </c>
      <c r="O7" s="506" t="str">
        <f>VLOOKUP(O$6,'WBS Task Descriptions'!$A$10:$C$249,2,FALSE)</f>
        <v>0110</v>
      </c>
      <c r="R7" s="507" t="s">
        <v>54</v>
      </c>
    </row>
    <row r="8" spans="1:18" s="493" customFormat="1" ht="26.25" thickBot="1">
      <c r="B8" s="508"/>
      <c r="C8" s="509"/>
      <c r="D8" s="510"/>
      <c r="E8" s="511" t="s">
        <v>129</v>
      </c>
      <c r="F8" s="512" t="str">
        <f>VLOOKUP(F$6,'WBS Task Descriptions'!$A$10:$C$249,3,FALSE)</f>
        <v>WBS Description #1</v>
      </c>
      <c r="G8" s="513" t="str">
        <f>VLOOKUP(G$6,'WBS Task Descriptions'!$A$10:$C$249,3,FALSE)</f>
        <v>WBS Description #2</v>
      </c>
      <c r="H8" s="513" t="str">
        <f>VLOOKUP(H$6,'WBS Task Descriptions'!$A$10:$C$249,3,FALSE)</f>
        <v>WBS Description #3</v>
      </c>
      <c r="I8" s="513" t="str">
        <f>VLOOKUP(I$6,'WBS Task Descriptions'!$A$10:$C$249,3,FALSE)</f>
        <v>WBS Description #4</v>
      </c>
      <c r="J8" s="513" t="str">
        <f>VLOOKUP(J$6,'WBS Task Descriptions'!$A$10:$C$249,3,FALSE)</f>
        <v>WBS Description #5</v>
      </c>
      <c r="K8" s="513" t="str">
        <f>VLOOKUP(K$6,'WBS Task Descriptions'!$A$10:$C$249,3,FALSE)</f>
        <v>WBS Description #6</v>
      </c>
      <c r="L8" s="513" t="str">
        <f>VLOOKUP(L$6,'WBS Task Descriptions'!$A$10:$C$249,3,FALSE)</f>
        <v>WBS Description #7</v>
      </c>
      <c r="M8" s="513" t="str">
        <f>VLOOKUP(M$6,'WBS Task Descriptions'!$A$10:$C$249,3,FALSE)</f>
        <v>WBS Description #8</v>
      </c>
      <c r="N8" s="513" t="str">
        <f>VLOOKUP(N$6,'WBS Task Descriptions'!$A$10:$C$249,3,FALSE)</f>
        <v>WBS Description #9</v>
      </c>
      <c r="O8" s="514" t="str">
        <f>VLOOKUP(O$6,'WBS Task Descriptions'!$A$10:$C$249,3,FALSE)</f>
        <v>WBS Description #10</v>
      </c>
      <c r="R8" s="515" t="str">
        <f>IF((OR((E8=""),(E8&gt;0))),"1","0")</f>
        <v>1</v>
      </c>
    </row>
    <row r="9" spans="1:18" s="516" customFormat="1">
      <c r="B9" s="517" t="s">
        <v>74</v>
      </c>
      <c r="C9" s="518" t="s">
        <v>75</v>
      </c>
      <c r="D9" s="519" t="s">
        <v>628</v>
      </c>
      <c r="E9" s="520" t="s">
        <v>76</v>
      </c>
      <c r="F9" s="521" t="s">
        <v>602</v>
      </c>
      <c r="G9" s="518" t="s">
        <v>602</v>
      </c>
      <c r="H9" s="518" t="s">
        <v>602</v>
      </c>
      <c r="I9" s="518" t="s">
        <v>602</v>
      </c>
      <c r="J9" s="518" t="s">
        <v>602</v>
      </c>
      <c r="K9" s="518" t="s">
        <v>602</v>
      </c>
      <c r="L9" s="518" t="s">
        <v>602</v>
      </c>
      <c r="M9" s="518" t="s">
        <v>602</v>
      </c>
      <c r="N9" s="518" t="s">
        <v>602</v>
      </c>
      <c r="O9" s="522" t="s">
        <v>602</v>
      </c>
      <c r="R9" s="515" t="str">
        <f t="shared" ref="R9:R56" si="1">IF((OR((E9=""),(E9&gt;0))),"1","0")</f>
        <v>1</v>
      </c>
    </row>
    <row r="10" spans="1:18" s="3" customFormat="1">
      <c r="B10" s="384"/>
      <c r="C10" s="523"/>
      <c r="D10" s="524"/>
      <c r="E10" s="525"/>
      <c r="F10" s="526"/>
      <c r="G10" s="523"/>
      <c r="H10" s="523"/>
      <c r="I10" s="523"/>
      <c r="J10" s="523"/>
      <c r="K10" s="523"/>
      <c r="L10" s="523"/>
      <c r="M10" s="523"/>
      <c r="N10" s="523"/>
      <c r="O10" s="527"/>
      <c r="R10" s="515" t="str">
        <f t="shared" si="1"/>
        <v>1</v>
      </c>
    </row>
    <row r="11" spans="1:18">
      <c r="B11" s="151" t="s">
        <v>712</v>
      </c>
      <c r="C11" s="152"/>
      <c r="D11" s="153"/>
      <c r="E11" s="154"/>
      <c r="F11" s="155"/>
      <c r="G11" s="156"/>
      <c r="H11" s="156"/>
      <c r="I11" s="156"/>
      <c r="J11" s="156"/>
      <c r="K11" s="156"/>
      <c r="L11" s="156"/>
      <c r="M11" s="156"/>
      <c r="N11" s="156"/>
      <c r="O11" s="157"/>
      <c r="R11" s="515" t="str">
        <f t="shared" si="1"/>
        <v>1</v>
      </c>
    </row>
    <row r="12" spans="1:18">
      <c r="A12" s="4">
        <v>1</v>
      </c>
      <c r="B12" s="158" t="str">
        <f t="shared" ref="B12:B31" si="2">VLOOKUP($A12,DL,2,FALSE)</f>
        <v xml:space="preserve">LAN/Wan Engineer </v>
      </c>
      <c r="C12" s="159"/>
      <c r="D12" s="160" t="s">
        <v>623</v>
      </c>
      <c r="E12" s="528">
        <f>SUBTOTAL(9,F12:O12)</f>
        <v>0</v>
      </c>
      <c r="F12" s="150">
        <v>0</v>
      </c>
      <c r="G12" s="184">
        <v>0</v>
      </c>
      <c r="H12" s="184">
        <v>0</v>
      </c>
      <c r="I12" s="184">
        <v>0</v>
      </c>
      <c r="J12" s="184">
        <v>0</v>
      </c>
      <c r="K12" s="184">
        <v>0</v>
      </c>
      <c r="L12" s="184">
        <v>0</v>
      </c>
      <c r="M12" s="184">
        <v>0</v>
      </c>
      <c r="N12" s="184">
        <v>0</v>
      </c>
      <c r="O12" s="185">
        <v>0</v>
      </c>
      <c r="R12" s="515" t="str">
        <f t="shared" si="1"/>
        <v>0</v>
      </c>
    </row>
    <row r="13" spans="1:18">
      <c r="A13" s="4">
        <f t="shared" ref="A13:A21" si="3">A12+1</f>
        <v>2</v>
      </c>
      <c r="B13" s="183" t="str">
        <f t="shared" si="2"/>
        <v>Functional Services Administrator</v>
      </c>
      <c r="C13" s="159"/>
      <c r="D13" s="161" t="str">
        <f t="shared" ref="D13:D21" si="4">D12</f>
        <v>Govt</v>
      </c>
      <c r="E13" s="529">
        <f t="shared" ref="E13:E21" si="5">SUBTOTAL(9,F13:O13)</f>
        <v>0</v>
      </c>
      <c r="F13" s="149">
        <v>0</v>
      </c>
      <c r="G13" s="186">
        <v>0</v>
      </c>
      <c r="H13" s="186">
        <v>0</v>
      </c>
      <c r="I13" s="186">
        <v>0</v>
      </c>
      <c r="J13" s="186">
        <v>0</v>
      </c>
      <c r="K13" s="186">
        <v>0</v>
      </c>
      <c r="L13" s="186">
        <v>0</v>
      </c>
      <c r="M13" s="186">
        <v>0</v>
      </c>
      <c r="N13" s="186">
        <v>0</v>
      </c>
      <c r="O13" s="187">
        <v>0</v>
      </c>
      <c r="R13" s="515" t="str">
        <f t="shared" si="1"/>
        <v>0</v>
      </c>
    </row>
    <row r="14" spans="1:18">
      <c r="A14" s="4">
        <f t="shared" si="3"/>
        <v>3</v>
      </c>
      <c r="B14" s="183" t="str">
        <f t="shared" si="2"/>
        <v>Functional Services Administrator</v>
      </c>
      <c r="C14" s="159"/>
      <c r="D14" s="161" t="str">
        <f t="shared" si="4"/>
        <v>Govt</v>
      </c>
      <c r="E14" s="529">
        <f t="shared" si="5"/>
        <v>0</v>
      </c>
      <c r="F14" s="149">
        <v>0</v>
      </c>
      <c r="G14" s="186">
        <v>0</v>
      </c>
      <c r="H14" s="186">
        <v>0</v>
      </c>
      <c r="I14" s="186">
        <v>0</v>
      </c>
      <c r="J14" s="186">
        <v>0</v>
      </c>
      <c r="K14" s="186">
        <v>0</v>
      </c>
      <c r="L14" s="186">
        <v>0</v>
      </c>
      <c r="M14" s="186">
        <v>0</v>
      </c>
      <c r="N14" s="186">
        <v>0</v>
      </c>
      <c r="O14" s="187">
        <v>0</v>
      </c>
      <c r="R14" s="515" t="str">
        <f t="shared" si="1"/>
        <v>0</v>
      </c>
    </row>
    <row r="15" spans="1:18">
      <c r="A15" s="4">
        <f t="shared" si="3"/>
        <v>4</v>
      </c>
      <c r="B15" s="183" t="str">
        <f t="shared" si="2"/>
        <v>Functional Services Administrator</v>
      </c>
      <c r="C15" s="159"/>
      <c r="D15" s="161" t="str">
        <f t="shared" si="4"/>
        <v>Govt</v>
      </c>
      <c r="E15" s="529">
        <f t="shared" si="5"/>
        <v>0</v>
      </c>
      <c r="F15" s="149">
        <v>0</v>
      </c>
      <c r="G15" s="186">
        <v>0</v>
      </c>
      <c r="H15" s="186">
        <v>0</v>
      </c>
      <c r="I15" s="186">
        <v>0</v>
      </c>
      <c r="J15" s="186">
        <v>0</v>
      </c>
      <c r="K15" s="186">
        <v>0</v>
      </c>
      <c r="L15" s="186">
        <v>0</v>
      </c>
      <c r="M15" s="186">
        <v>0</v>
      </c>
      <c r="N15" s="186">
        <v>0</v>
      </c>
      <c r="O15" s="187">
        <v>0</v>
      </c>
      <c r="R15" s="515" t="str">
        <f t="shared" si="1"/>
        <v>0</v>
      </c>
    </row>
    <row r="16" spans="1:18">
      <c r="A16" s="4">
        <f t="shared" si="3"/>
        <v>5</v>
      </c>
      <c r="B16" s="183" t="str">
        <f t="shared" si="2"/>
        <v>Service Desk</v>
      </c>
      <c r="C16" s="159"/>
      <c r="D16" s="161" t="str">
        <f t="shared" si="4"/>
        <v>Govt</v>
      </c>
      <c r="E16" s="529">
        <f t="shared" si="5"/>
        <v>0</v>
      </c>
      <c r="F16" s="149">
        <v>0</v>
      </c>
      <c r="G16" s="186">
        <v>0</v>
      </c>
      <c r="H16" s="186">
        <v>0</v>
      </c>
      <c r="I16" s="186">
        <v>0</v>
      </c>
      <c r="J16" s="186">
        <v>0</v>
      </c>
      <c r="K16" s="186">
        <v>0</v>
      </c>
      <c r="L16" s="186">
        <v>0</v>
      </c>
      <c r="M16" s="186">
        <v>0</v>
      </c>
      <c r="N16" s="186">
        <v>0</v>
      </c>
      <c r="O16" s="187">
        <v>0</v>
      </c>
      <c r="R16" s="515" t="str">
        <f t="shared" si="1"/>
        <v>0</v>
      </c>
    </row>
    <row r="17" spans="1:18">
      <c r="A17" s="4">
        <f t="shared" si="3"/>
        <v>6</v>
      </c>
      <c r="B17" s="183" t="str">
        <f t="shared" si="2"/>
        <v>Service Desk</v>
      </c>
      <c r="C17" s="159"/>
      <c r="D17" s="161" t="str">
        <f t="shared" si="4"/>
        <v>Govt</v>
      </c>
      <c r="E17" s="529">
        <f t="shared" si="5"/>
        <v>0</v>
      </c>
      <c r="F17" s="149">
        <v>0</v>
      </c>
      <c r="G17" s="186">
        <v>0</v>
      </c>
      <c r="H17" s="186">
        <v>0</v>
      </c>
      <c r="I17" s="186">
        <v>0</v>
      </c>
      <c r="J17" s="186">
        <v>0</v>
      </c>
      <c r="K17" s="186">
        <v>0</v>
      </c>
      <c r="L17" s="186">
        <v>0</v>
      </c>
      <c r="M17" s="186">
        <v>0</v>
      </c>
      <c r="N17" s="186">
        <v>0</v>
      </c>
      <c r="O17" s="187">
        <v>0</v>
      </c>
      <c r="R17" s="515" t="str">
        <f t="shared" si="1"/>
        <v>0</v>
      </c>
    </row>
    <row r="18" spans="1:18">
      <c r="A18" s="4">
        <f t="shared" si="3"/>
        <v>7</v>
      </c>
      <c r="B18" s="183" t="str">
        <f t="shared" si="2"/>
        <v>CIS Training Supervisor</v>
      </c>
      <c r="C18" s="159"/>
      <c r="D18" s="161" t="str">
        <f t="shared" si="4"/>
        <v>Govt</v>
      </c>
      <c r="E18" s="529">
        <f t="shared" si="5"/>
        <v>0</v>
      </c>
      <c r="F18" s="149">
        <v>0</v>
      </c>
      <c r="G18" s="186">
        <v>0</v>
      </c>
      <c r="H18" s="186">
        <v>0</v>
      </c>
      <c r="I18" s="186">
        <v>0</v>
      </c>
      <c r="J18" s="186">
        <v>0</v>
      </c>
      <c r="K18" s="186">
        <v>0</v>
      </c>
      <c r="L18" s="186">
        <v>0</v>
      </c>
      <c r="M18" s="186">
        <v>0</v>
      </c>
      <c r="N18" s="186">
        <v>0</v>
      </c>
      <c r="O18" s="187">
        <v>0</v>
      </c>
      <c r="R18" s="515" t="str">
        <f t="shared" si="1"/>
        <v>0</v>
      </c>
    </row>
    <row r="19" spans="1:18">
      <c r="A19" s="4">
        <f t="shared" si="3"/>
        <v>8</v>
      </c>
      <c r="B19" s="183" t="str">
        <f t="shared" si="2"/>
        <v>CIS Trainer</v>
      </c>
      <c r="C19" s="159"/>
      <c r="D19" s="161" t="str">
        <f t="shared" si="4"/>
        <v>Govt</v>
      </c>
      <c r="E19" s="529">
        <f t="shared" si="5"/>
        <v>0</v>
      </c>
      <c r="F19" s="149">
        <v>0</v>
      </c>
      <c r="G19" s="186">
        <v>0</v>
      </c>
      <c r="H19" s="186">
        <v>0</v>
      </c>
      <c r="I19" s="186">
        <v>0</v>
      </c>
      <c r="J19" s="186">
        <v>0</v>
      </c>
      <c r="K19" s="186">
        <v>0</v>
      </c>
      <c r="L19" s="186">
        <v>0</v>
      </c>
      <c r="M19" s="186">
        <v>0</v>
      </c>
      <c r="N19" s="186">
        <v>0</v>
      </c>
      <c r="O19" s="187">
        <v>0</v>
      </c>
      <c r="R19" s="515" t="str">
        <f t="shared" si="1"/>
        <v>0</v>
      </c>
    </row>
    <row r="20" spans="1:18">
      <c r="A20" s="4">
        <f t="shared" si="3"/>
        <v>9</v>
      </c>
      <c r="B20" s="183" t="str">
        <f t="shared" si="2"/>
        <v>Radio Technician</v>
      </c>
      <c r="C20" s="159"/>
      <c r="D20" s="161" t="str">
        <f t="shared" si="4"/>
        <v>Govt</v>
      </c>
      <c r="E20" s="529">
        <f t="shared" si="5"/>
        <v>0</v>
      </c>
      <c r="F20" s="149">
        <v>0</v>
      </c>
      <c r="G20" s="186">
        <v>0</v>
      </c>
      <c r="H20" s="186">
        <v>0</v>
      </c>
      <c r="I20" s="186">
        <v>0</v>
      </c>
      <c r="J20" s="186">
        <v>0</v>
      </c>
      <c r="K20" s="186">
        <v>0</v>
      </c>
      <c r="L20" s="186">
        <v>0</v>
      </c>
      <c r="M20" s="186">
        <v>0</v>
      </c>
      <c r="N20" s="186">
        <v>0</v>
      </c>
      <c r="O20" s="187">
        <v>0</v>
      </c>
      <c r="R20" s="515" t="str">
        <f t="shared" si="1"/>
        <v>0</v>
      </c>
    </row>
    <row r="21" spans="1:18">
      <c r="A21" s="4">
        <f t="shared" si="3"/>
        <v>10</v>
      </c>
      <c r="B21" s="183" t="str">
        <f t="shared" si="2"/>
        <v>Radio Technician</v>
      </c>
      <c r="C21" s="159"/>
      <c r="D21" s="161" t="str">
        <f t="shared" si="4"/>
        <v>Govt</v>
      </c>
      <c r="E21" s="529">
        <f t="shared" si="5"/>
        <v>0</v>
      </c>
      <c r="F21" s="149">
        <v>0</v>
      </c>
      <c r="G21" s="186">
        <v>0</v>
      </c>
      <c r="H21" s="186">
        <v>0</v>
      </c>
      <c r="I21" s="186">
        <v>0</v>
      </c>
      <c r="J21" s="186">
        <v>0</v>
      </c>
      <c r="K21" s="186">
        <v>0</v>
      </c>
      <c r="L21" s="186">
        <v>0</v>
      </c>
      <c r="M21" s="186">
        <v>0</v>
      </c>
      <c r="N21" s="186">
        <v>0</v>
      </c>
      <c r="O21" s="187">
        <v>0</v>
      </c>
      <c r="R21" s="515" t="str">
        <f t="shared" si="1"/>
        <v>0</v>
      </c>
    </row>
    <row r="22" spans="1:18">
      <c r="A22" s="4">
        <f t="shared" ref="A22:A31" si="6">A21+1</f>
        <v>11</v>
      </c>
      <c r="B22" s="183" t="str">
        <f t="shared" si="2"/>
        <v>Network Administrator</v>
      </c>
      <c r="C22" s="159"/>
      <c r="D22" s="161" t="str">
        <f t="shared" ref="D22:D31" si="7">D21</f>
        <v>Govt</v>
      </c>
      <c r="E22" s="529">
        <f t="shared" ref="E22:E31" si="8">SUBTOTAL(9,F22:O22)</f>
        <v>0</v>
      </c>
      <c r="F22" s="149">
        <v>0</v>
      </c>
      <c r="G22" s="186">
        <v>0</v>
      </c>
      <c r="H22" s="186">
        <v>0</v>
      </c>
      <c r="I22" s="186">
        <v>0</v>
      </c>
      <c r="J22" s="186">
        <v>0</v>
      </c>
      <c r="K22" s="186">
        <v>0</v>
      </c>
      <c r="L22" s="186">
        <v>0</v>
      </c>
      <c r="M22" s="186">
        <v>0</v>
      </c>
      <c r="N22" s="186">
        <v>0</v>
      </c>
      <c r="O22" s="187">
        <v>0</v>
      </c>
      <c r="R22" s="515" t="str">
        <f t="shared" ref="R22:R31" si="9">IF((OR((E22=""),(E22&gt;0))),"1","0")</f>
        <v>0</v>
      </c>
    </row>
    <row r="23" spans="1:18">
      <c r="A23" s="4">
        <f t="shared" si="6"/>
        <v>12</v>
      </c>
      <c r="B23" s="183" t="str">
        <f t="shared" si="2"/>
        <v>System Administrator</v>
      </c>
      <c r="C23" s="159"/>
      <c r="D23" s="161" t="str">
        <f t="shared" si="7"/>
        <v>Govt</v>
      </c>
      <c r="E23" s="529">
        <f t="shared" si="8"/>
        <v>0</v>
      </c>
      <c r="F23" s="149">
        <v>0</v>
      </c>
      <c r="G23" s="186">
        <v>0</v>
      </c>
      <c r="H23" s="186">
        <v>0</v>
      </c>
      <c r="I23" s="186">
        <v>0</v>
      </c>
      <c r="J23" s="186">
        <v>0</v>
      </c>
      <c r="K23" s="186">
        <v>0</v>
      </c>
      <c r="L23" s="186">
        <v>0</v>
      </c>
      <c r="M23" s="186">
        <v>0</v>
      </c>
      <c r="N23" s="186">
        <v>0</v>
      </c>
      <c r="O23" s="187">
        <v>0</v>
      </c>
      <c r="R23" s="515" t="str">
        <f t="shared" si="9"/>
        <v>0</v>
      </c>
    </row>
    <row r="24" spans="1:18">
      <c r="A24" s="4">
        <f t="shared" si="6"/>
        <v>13</v>
      </c>
      <c r="B24" s="183" t="str">
        <f t="shared" si="2"/>
        <v>Configuration Manager</v>
      </c>
      <c r="C24" s="159"/>
      <c r="D24" s="161" t="str">
        <f t="shared" si="7"/>
        <v>Govt</v>
      </c>
      <c r="E24" s="529">
        <f t="shared" si="8"/>
        <v>0</v>
      </c>
      <c r="F24" s="149">
        <v>0</v>
      </c>
      <c r="G24" s="186">
        <v>0</v>
      </c>
      <c r="H24" s="186">
        <v>0</v>
      </c>
      <c r="I24" s="186">
        <v>0</v>
      </c>
      <c r="J24" s="186">
        <v>0</v>
      </c>
      <c r="K24" s="186">
        <v>0</v>
      </c>
      <c r="L24" s="186">
        <v>0</v>
      </c>
      <c r="M24" s="186">
        <v>0</v>
      </c>
      <c r="N24" s="186">
        <v>0</v>
      </c>
      <c r="O24" s="187">
        <v>0</v>
      </c>
      <c r="R24" s="515" t="str">
        <f t="shared" si="9"/>
        <v>0</v>
      </c>
    </row>
    <row r="25" spans="1:18">
      <c r="A25" s="4">
        <f t="shared" si="6"/>
        <v>14</v>
      </c>
      <c r="B25" s="183" t="str">
        <f t="shared" si="2"/>
        <v>Hardware Technician</v>
      </c>
      <c r="C25" s="159"/>
      <c r="D25" s="161" t="str">
        <f t="shared" si="7"/>
        <v>Govt</v>
      </c>
      <c r="E25" s="529">
        <f t="shared" si="8"/>
        <v>0</v>
      </c>
      <c r="F25" s="149">
        <v>0</v>
      </c>
      <c r="G25" s="186">
        <v>0</v>
      </c>
      <c r="H25" s="186">
        <v>0</v>
      </c>
      <c r="I25" s="186">
        <v>0</v>
      </c>
      <c r="J25" s="186">
        <v>0</v>
      </c>
      <c r="K25" s="186">
        <v>0</v>
      </c>
      <c r="L25" s="186">
        <v>0</v>
      </c>
      <c r="M25" s="186">
        <v>0</v>
      </c>
      <c r="N25" s="186">
        <v>0</v>
      </c>
      <c r="O25" s="187">
        <v>0</v>
      </c>
      <c r="R25" s="515" t="str">
        <f t="shared" si="9"/>
        <v>0</v>
      </c>
    </row>
    <row r="26" spans="1:18">
      <c r="A26" s="4">
        <f t="shared" si="6"/>
        <v>15</v>
      </c>
      <c r="B26" s="183" t="str">
        <f t="shared" si="2"/>
        <v>Repair/Exchange Specialist</v>
      </c>
      <c r="C26" s="159"/>
      <c r="D26" s="161" t="str">
        <f t="shared" si="7"/>
        <v>Govt</v>
      </c>
      <c r="E26" s="529">
        <f t="shared" si="8"/>
        <v>0</v>
      </c>
      <c r="F26" s="149">
        <v>0</v>
      </c>
      <c r="G26" s="186">
        <v>0</v>
      </c>
      <c r="H26" s="186">
        <v>0</v>
      </c>
      <c r="I26" s="186">
        <v>0</v>
      </c>
      <c r="J26" s="186">
        <v>0</v>
      </c>
      <c r="K26" s="186">
        <v>0</v>
      </c>
      <c r="L26" s="186">
        <v>0</v>
      </c>
      <c r="M26" s="186">
        <v>0</v>
      </c>
      <c r="N26" s="186">
        <v>0</v>
      </c>
      <c r="O26" s="187">
        <v>0</v>
      </c>
      <c r="R26" s="515" t="str">
        <f t="shared" si="9"/>
        <v>0</v>
      </c>
    </row>
    <row r="27" spans="1:18">
      <c r="A27" s="4">
        <f t="shared" si="6"/>
        <v>16</v>
      </c>
      <c r="B27" s="183" t="str">
        <f t="shared" si="2"/>
        <v>PMO Cost</v>
      </c>
      <c r="C27" s="159"/>
      <c r="D27" s="161" t="str">
        <f t="shared" si="7"/>
        <v>Govt</v>
      </c>
      <c r="E27" s="529">
        <f t="shared" si="8"/>
        <v>0</v>
      </c>
      <c r="F27" s="149">
        <v>0</v>
      </c>
      <c r="G27" s="186">
        <v>0</v>
      </c>
      <c r="H27" s="186">
        <v>0</v>
      </c>
      <c r="I27" s="186">
        <v>0</v>
      </c>
      <c r="J27" s="186">
        <v>0</v>
      </c>
      <c r="K27" s="186">
        <v>0</v>
      </c>
      <c r="L27" s="186">
        <v>0</v>
      </c>
      <c r="M27" s="186">
        <v>0</v>
      </c>
      <c r="N27" s="186">
        <v>0</v>
      </c>
      <c r="O27" s="187">
        <v>0</v>
      </c>
      <c r="R27" s="515" t="str">
        <f t="shared" si="9"/>
        <v>0</v>
      </c>
    </row>
    <row r="28" spans="1:18">
      <c r="A28" s="4">
        <f t="shared" si="6"/>
        <v>17</v>
      </c>
      <c r="B28" s="183" t="str">
        <f t="shared" si="2"/>
        <v>Project Controller Cost</v>
      </c>
      <c r="C28" s="159"/>
      <c r="D28" s="161" t="str">
        <f t="shared" si="7"/>
        <v>Govt</v>
      </c>
      <c r="E28" s="529">
        <f t="shared" si="8"/>
        <v>0</v>
      </c>
      <c r="F28" s="149">
        <v>0</v>
      </c>
      <c r="G28" s="186">
        <v>0</v>
      </c>
      <c r="H28" s="186">
        <v>0</v>
      </c>
      <c r="I28" s="186">
        <v>0</v>
      </c>
      <c r="J28" s="186">
        <v>0</v>
      </c>
      <c r="K28" s="186">
        <v>0</v>
      </c>
      <c r="L28" s="186">
        <v>0</v>
      </c>
      <c r="M28" s="186">
        <v>0</v>
      </c>
      <c r="N28" s="186">
        <v>0</v>
      </c>
      <c r="O28" s="187">
        <v>0</v>
      </c>
      <c r="R28" s="515" t="str">
        <f t="shared" si="9"/>
        <v>0</v>
      </c>
    </row>
    <row r="29" spans="1:18">
      <c r="A29" s="4">
        <f t="shared" si="6"/>
        <v>18</v>
      </c>
      <c r="B29" s="183" t="e">
        <f t="shared" si="2"/>
        <v>#N/A</v>
      </c>
      <c r="C29" s="159"/>
      <c r="D29" s="161" t="str">
        <f t="shared" si="7"/>
        <v>Govt</v>
      </c>
      <c r="E29" s="529">
        <f t="shared" si="8"/>
        <v>0</v>
      </c>
      <c r="F29" s="149">
        <v>0</v>
      </c>
      <c r="G29" s="186">
        <v>0</v>
      </c>
      <c r="H29" s="186">
        <v>0</v>
      </c>
      <c r="I29" s="186">
        <v>0</v>
      </c>
      <c r="J29" s="186">
        <v>0</v>
      </c>
      <c r="K29" s="186">
        <v>0</v>
      </c>
      <c r="L29" s="186">
        <v>0</v>
      </c>
      <c r="M29" s="186">
        <v>0</v>
      </c>
      <c r="N29" s="186">
        <v>0</v>
      </c>
      <c r="O29" s="187">
        <v>0</v>
      </c>
      <c r="R29" s="515" t="str">
        <f t="shared" si="9"/>
        <v>0</v>
      </c>
    </row>
    <row r="30" spans="1:18">
      <c r="A30" s="4">
        <f t="shared" si="6"/>
        <v>19</v>
      </c>
      <c r="B30" s="183" t="e">
        <f t="shared" si="2"/>
        <v>#N/A</v>
      </c>
      <c r="C30" s="159"/>
      <c r="D30" s="161" t="str">
        <f t="shared" si="7"/>
        <v>Govt</v>
      </c>
      <c r="E30" s="529">
        <f t="shared" si="8"/>
        <v>0</v>
      </c>
      <c r="F30" s="149">
        <v>0</v>
      </c>
      <c r="G30" s="186">
        <v>0</v>
      </c>
      <c r="H30" s="186">
        <v>0</v>
      </c>
      <c r="I30" s="186">
        <v>0</v>
      </c>
      <c r="J30" s="186">
        <v>0</v>
      </c>
      <c r="K30" s="186">
        <v>0</v>
      </c>
      <c r="L30" s="186">
        <v>0</v>
      </c>
      <c r="M30" s="186">
        <v>0</v>
      </c>
      <c r="N30" s="186">
        <v>0</v>
      </c>
      <c r="O30" s="187">
        <v>0</v>
      </c>
      <c r="R30" s="515" t="str">
        <f t="shared" si="9"/>
        <v>0</v>
      </c>
    </row>
    <row r="31" spans="1:18" ht="13.5" thickBot="1">
      <c r="A31" s="4">
        <f t="shared" si="6"/>
        <v>20</v>
      </c>
      <c r="B31" s="183" t="e">
        <f t="shared" si="2"/>
        <v>#N/A</v>
      </c>
      <c r="C31" s="159"/>
      <c r="D31" s="161" t="str">
        <f t="shared" si="7"/>
        <v>Govt</v>
      </c>
      <c r="E31" s="529">
        <f t="shared" si="8"/>
        <v>0</v>
      </c>
      <c r="F31" s="188">
        <v>0</v>
      </c>
      <c r="G31" s="189">
        <v>0</v>
      </c>
      <c r="H31" s="189">
        <v>0</v>
      </c>
      <c r="I31" s="189">
        <v>0</v>
      </c>
      <c r="J31" s="189">
        <v>0</v>
      </c>
      <c r="K31" s="189">
        <v>0</v>
      </c>
      <c r="L31" s="189">
        <v>0</v>
      </c>
      <c r="M31" s="189">
        <v>0</v>
      </c>
      <c r="N31" s="189">
        <v>0</v>
      </c>
      <c r="O31" s="190">
        <v>0</v>
      </c>
      <c r="R31" s="515" t="str">
        <f t="shared" si="9"/>
        <v>0</v>
      </c>
    </row>
    <row r="32" spans="1:18" s="530" customFormat="1" ht="13.5" thickTop="1">
      <c r="B32" s="531" t="s">
        <v>77</v>
      </c>
      <c r="C32" s="532"/>
      <c r="D32" s="533"/>
      <c r="E32" s="534">
        <f>SUM(E12:E31)</f>
        <v>0</v>
      </c>
      <c r="F32" s="535">
        <f t="shared" ref="F32:O32" si="10">SUM(F12:F31)</f>
        <v>0</v>
      </c>
      <c r="G32" s="536">
        <f t="shared" si="10"/>
        <v>0</v>
      </c>
      <c r="H32" s="536">
        <f t="shared" si="10"/>
        <v>0</v>
      </c>
      <c r="I32" s="536">
        <f t="shared" si="10"/>
        <v>0</v>
      </c>
      <c r="J32" s="536">
        <f t="shared" si="10"/>
        <v>0</v>
      </c>
      <c r="K32" s="536">
        <f t="shared" si="10"/>
        <v>0</v>
      </c>
      <c r="L32" s="536">
        <f t="shared" si="10"/>
        <v>0</v>
      </c>
      <c r="M32" s="536">
        <f t="shared" si="10"/>
        <v>0</v>
      </c>
      <c r="N32" s="536">
        <f t="shared" si="10"/>
        <v>0</v>
      </c>
      <c r="O32" s="537">
        <f t="shared" si="10"/>
        <v>0</v>
      </c>
      <c r="R32" s="515" t="str">
        <f t="shared" si="1"/>
        <v>0</v>
      </c>
    </row>
    <row r="33" spans="1:18">
      <c r="B33" s="538"/>
      <c r="C33" s="539"/>
      <c r="D33" s="540"/>
      <c r="E33" s="541"/>
      <c r="F33" s="432"/>
      <c r="G33" s="431"/>
      <c r="H33" s="431"/>
      <c r="I33" s="431"/>
      <c r="J33" s="431"/>
      <c r="K33" s="431"/>
      <c r="L33" s="431"/>
      <c r="M33" s="431"/>
      <c r="N33" s="431"/>
      <c r="O33" s="542"/>
      <c r="R33" s="515" t="str">
        <f t="shared" si="1"/>
        <v>1</v>
      </c>
    </row>
    <row r="34" spans="1:18">
      <c r="B34" s="162" t="s">
        <v>78</v>
      </c>
      <c r="C34" s="163"/>
      <c r="D34" s="191"/>
      <c r="E34" s="154"/>
      <c r="F34" s="179"/>
      <c r="G34" s="164"/>
      <c r="H34" s="164"/>
      <c r="I34" s="164"/>
      <c r="J34" s="164"/>
      <c r="K34" s="164"/>
      <c r="L34" s="164"/>
      <c r="M34" s="164"/>
      <c r="N34" s="164"/>
      <c r="O34" s="165"/>
      <c r="R34" s="515" t="str">
        <f t="shared" si="1"/>
        <v>1</v>
      </c>
    </row>
    <row r="35" spans="1:18">
      <c r="A35" s="4">
        <f>A31+1</f>
        <v>21</v>
      </c>
      <c r="B35" s="166" t="s">
        <v>79</v>
      </c>
      <c r="C35" s="543"/>
      <c r="D35" s="544"/>
      <c r="E35" s="545">
        <f>SUBTOTAL(9,F35:O35)</f>
        <v>0</v>
      </c>
      <c r="F35" s="180">
        <v>0</v>
      </c>
      <c r="G35" s="167">
        <v>0</v>
      </c>
      <c r="H35" s="167">
        <v>0</v>
      </c>
      <c r="I35" s="167">
        <v>0</v>
      </c>
      <c r="J35" s="167">
        <v>0</v>
      </c>
      <c r="K35" s="167">
        <v>0</v>
      </c>
      <c r="L35" s="167">
        <v>0</v>
      </c>
      <c r="M35" s="167">
        <v>0</v>
      </c>
      <c r="N35" s="167">
        <v>0</v>
      </c>
      <c r="O35" s="168">
        <v>0</v>
      </c>
      <c r="R35" s="515" t="str">
        <f t="shared" si="1"/>
        <v>0</v>
      </c>
    </row>
    <row r="36" spans="1:18">
      <c r="A36" s="4">
        <f>A35+1</f>
        <v>22</v>
      </c>
      <c r="B36" s="169" t="s">
        <v>80</v>
      </c>
      <c r="C36" s="546"/>
      <c r="D36" s="544"/>
      <c r="E36" s="545">
        <f>SUBTOTAL(9,F36:O36)</f>
        <v>0</v>
      </c>
      <c r="F36" s="181">
        <v>0</v>
      </c>
      <c r="G36" s="170">
        <v>0</v>
      </c>
      <c r="H36" s="170">
        <v>0</v>
      </c>
      <c r="I36" s="170">
        <v>0</v>
      </c>
      <c r="J36" s="170">
        <v>0</v>
      </c>
      <c r="K36" s="170">
        <v>0</v>
      </c>
      <c r="L36" s="170">
        <v>0</v>
      </c>
      <c r="M36" s="170">
        <v>0</v>
      </c>
      <c r="N36" s="170">
        <v>0</v>
      </c>
      <c r="O36" s="171">
        <v>0</v>
      </c>
      <c r="R36" s="515" t="str">
        <f t="shared" si="1"/>
        <v>0</v>
      </c>
    </row>
    <row r="37" spans="1:18">
      <c r="A37" s="4">
        <f>A36+1</f>
        <v>23</v>
      </c>
      <c r="B37" s="169" t="s">
        <v>81</v>
      </c>
      <c r="C37" s="546"/>
      <c r="D37" s="544"/>
      <c r="E37" s="545">
        <f>SUBTOTAL(9,F37:O37)</f>
        <v>0</v>
      </c>
      <c r="F37" s="181">
        <v>0</v>
      </c>
      <c r="G37" s="170">
        <v>0</v>
      </c>
      <c r="H37" s="170">
        <v>0</v>
      </c>
      <c r="I37" s="170">
        <v>0</v>
      </c>
      <c r="J37" s="170">
        <v>0</v>
      </c>
      <c r="K37" s="170">
        <v>0</v>
      </c>
      <c r="L37" s="170">
        <v>0</v>
      </c>
      <c r="M37" s="170">
        <v>0</v>
      </c>
      <c r="N37" s="170">
        <v>0</v>
      </c>
      <c r="O37" s="171">
        <v>0</v>
      </c>
      <c r="R37" s="515" t="str">
        <f t="shared" si="1"/>
        <v>0</v>
      </c>
    </row>
    <row r="38" spans="1:18">
      <c r="A38" s="4">
        <f>A37+1</f>
        <v>24</v>
      </c>
      <c r="B38" s="169" t="s">
        <v>82</v>
      </c>
      <c r="C38" s="546"/>
      <c r="D38" s="544"/>
      <c r="E38" s="545">
        <f>SUBTOTAL(9,F38:O38)</f>
        <v>0</v>
      </c>
      <c r="F38" s="181">
        <v>0</v>
      </c>
      <c r="G38" s="170">
        <v>0</v>
      </c>
      <c r="H38" s="170">
        <v>0</v>
      </c>
      <c r="I38" s="170">
        <v>0</v>
      </c>
      <c r="J38" s="170">
        <v>0</v>
      </c>
      <c r="K38" s="170">
        <v>0</v>
      </c>
      <c r="L38" s="170">
        <v>0</v>
      </c>
      <c r="M38" s="170">
        <v>0</v>
      </c>
      <c r="N38" s="170">
        <v>0</v>
      </c>
      <c r="O38" s="171">
        <v>0</v>
      </c>
      <c r="R38" s="515" t="str">
        <f t="shared" si="1"/>
        <v>0</v>
      </c>
    </row>
    <row r="39" spans="1:18" ht="13.5" thickBot="1">
      <c r="A39" s="4">
        <f>A38+1</f>
        <v>25</v>
      </c>
      <c r="B39" s="169" t="s">
        <v>83</v>
      </c>
      <c r="C39" s="546"/>
      <c r="D39" s="544"/>
      <c r="E39" s="545">
        <f>SUBTOTAL(9,F39:O39)</f>
        <v>0</v>
      </c>
      <c r="F39" s="181">
        <v>0</v>
      </c>
      <c r="G39" s="170">
        <v>0</v>
      </c>
      <c r="H39" s="170">
        <v>0</v>
      </c>
      <c r="I39" s="170">
        <v>0</v>
      </c>
      <c r="J39" s="170">
        <v>0</v>
      </c>
      <c r="K39" s="170">
        <v>0</v>
      </c>
      <c r="L39" s="170">
        <v>0</v>
      </c>
      <c r="M39" s="170">
        <v>0</v>
      </c>
      <c r="N39" s="170">
        <v>0</v>
      </c>
      <c r="O39" s="171">
        <v>0</v>
      </c>
      <c r="R39" s="515" t="str">
        <f t="shared" si="1"/>
        <v>0</v>
      </c>
    </row>
    <row r="40" spans="1:18" s="530" customFormat="1" ht="13.5" thickTop="1">
      <c r="A40" s="260"/>
      <c r="B40" s="531" t="s">
        <v>84</v>
      </c>
      <c r="C40" s="532"/>
      <c r="D40" s="533"/>
      <c r="E40" s="547">
        <f>SUM(E35:E39)</f>
        <v>0</v>
      </c>
      <c r="F40" s="548">
        <f t="shared" ref="F40:O40" si="11">SUM(F35:F39)</f>
        <v>0</v>
      </c>
      <c r="G40" s="549">
        <f t="shared" si="11"/>
        <v>0</v>
      </c>
      <c r="H40" s="549">
        <f t="shared" si="11"/>
        <v>0</v>
      </c>
      <c r="I40" s="549">
        <f t="shared" si="11"/>
        <v>0</v>
      </c>
      <c r="J40" s="549">
        <f t="shared" si="11"/>
        <v>0</v>
      </c>
      <c r="K40" s="549">
        <f t="shared" si="11"/>
        <v>0</v>
      </c>
      <c r="L40" s="549">
        <f t="shared" si="11"/>
        <v>0</v>
      </c>
      <c r="M40" s="549">
        <f t="shared" si="11"/>
        <v>0</v>
      </c>
      <c r="N40" s="549">
        <f t="shared" si="11"/>
        <v>0</v>
      </c>
      <c r="O40" s="550">
        <f t="shared" si="11"/>
        <v>0</v>
      </c>
      <c r="R40" s="515" t="str">
        <f t="shared" si="1"/>
        <v>0</v>
      </c>
    </row>
    <row r="41" spans="1:18">
      <c r="A41" s="28"/>
      <c r="B41" s="369"/>
      <c r="C41" s="28"/>
      <c r="D41" s="30"/>
      <c r="E41" s="551"/>
      <c r="F41" s="552"/>
      <c r="G41" s="553"/>
      <c r="H41" s="553"/>
      <c r="I41" s="553"/>
      <c r="J41" s="553"/>
      <c r="K41" s="553"/>
      <c r="L41" s="553"/>
      <c r="M41" s="553"/>
      <c r="N41" s="553"/>
      <c r="O41" s="554"/>
      <c r="R41" s="515" t="str">
        <f t="shared" si="1"/>
        <v>1</v>
      </c>
    </row>
    <row r="42" spans="1:18" s="3" customFormat="1">
      <c r="B42" s="172" t="s">
        <v>616</v>
      </c>
      <c r="C42" s="173"/>
      <c r="D42" s="174"/>
      <c r="E42" s="175"/>
      <c r="F42" s="176"/>
      <c r="G42" s="177"/>
      <c r="H42" s="177"/>
      <c r="I42" s="177"/>
      <c r="J42" s="177"/>
      <c r="K42" s="177"/>
      <c r="L42" s="177"/>
      <c r="M42" s="177"/>
      <c r="N42" s="177"/>
      <c r="O42" s="178"/>
      <c r="R42" s="515" t="str">
        <f t="shared" si="1"/>
        <v>1</v>
      </c>
    </row>
    <row r="43" spans="1:18">
      <c r="A43" s="4">
        <f>A39+1</f>
        <v>26</v>
      </c>
      <c r="B43" s="166" t="s">
        <v>85</v>
      </c>
      <c r="C43" s="543"/>
      <c r="D43" s="555"/>
      <c r="E43" s="556">
        <f>SUBTOTAL(9,F43:O43)</f>
        <v>0</v>
      </c>
      <c r="F43" s="180">
        <v>0</v>
      </c>
      <c r="G43" s="167">
        <v>0</v>
      </c>
      <c r="H43" s="167">
        <v>0</v>
      </c>
      <c r="I43" s="167">
        <v>0</v>
      </c>
      <c r="J43" s="167">
        <v>0</v>
      </c>
      <c r="K43" s="167">
        <v>0</v>
      </c>
      <c r="L43" s="167">
        <v>0</v>
      </c>
      <c r="M43" s="167">
        <v>0</v>
      </c>
      <c r="N43" s="167">
        <v>0</v>
      </c>
      <c r="O43" s="168">
        <v>0</v>
      </c>
      <c r="R43" s="515" t="str">
        <f t="shared" si="1"/>
        <v>0</v>
      </c>
    </row>
    <row r="44" spans="1:18">
      <c r="A44" s="4">
        <f>A43+1</f>
        <v>27</v>
      </c>
      <c r="B44" s="169" t="s">
        <v>86</v>
      </c>
      <c r="C44" s="546"/>
      <c r="D44" s="544"/>
      <c r="E44" s="545">
        <f>SUBTOTAL(9,F44:O44)</f>
        <v>0</v>
      </c>
      <c r="F44" s="181">
        <v>0</v>
      </c>
      <c r="G44" s="170">
        <v>0</v>
      </c>
      <c r="H44" s="170">
        <v>0</v>
      </c>
      <c r="I44" s="170">
        <v>0</v>
      </c>
      <c r="J44" s="170">
        <v>0</v>
      </c>
      <c r="K44" s="170">
        <v>0</v>
      </c>
      <c r="L44" s="170">
        <v>0</v>
      </c>
      <c r="M44" s="170">
        <v>0</v>
      </c>
      <c r="N44" s="170">
        <v>0</v>
      </c>
      <c r="O44" s="171">
        <v>0</v>
      </c>
      <c r="R44" s="515" t="str">
        <f t="shared" si="1"/>
        <v>0</v>
      </c>
    </row>
    <row r="45" spans="1:18">
      <c r="A45" s="4">
        <f>A44+1</f>
        <v>28</v>
      </c>
      <c r="B45" s="169" t="s">
        <v>87</v>
      </c>
      <c r="C45" s="546"/>
      <c r="D45" s="544"/>
      <c r="E45" s="545">
        <f>SUBTOTAL(9,F45:O45)</f>
        <v>0</v>
      </c>
      <c r="F45" s="181">
        <v>0</v>
      </c>
      <c r="G45" s="170">
        <v>0</v>
      </c>
      <c r="H45" s="170">
        <v>0</v>
      </c>
      <c r="I45" s="170">
        <v>0</v>
      </c>
      <c r="J45" s="170">
        <v>0</v>
      </c>
      <c r="K45" s="170">
        <v>0</v>
      </c>
      <c r="L45" s="170">
        <v>0</v>
      </c>
      <c r="M45" s="170">
        <v>0</v>
      </c>
      <c r="N45" s="170">
        <v>0</v>
      </c>
      <c r="O45" s="171">
        <v>0</v>
      </c>
      <c r="R45" s="515" t="str">
        <f t="shared" si="1"/>
        <v>0</v>
      </c>
    </row>
    <row r="46" spans="1:18">
      <c r="A46" s="4">
        <f>A45+1</f>
        <v>29</v>
      </c>
      <c r="B46" s="169" t="s">
        <v>88</v>
      </c>
      <c r="C46" s="546"/>
      <c r="D46" s="544"/>
      <c r="E46" s="545">
        <f>SUBTOTAL(9,F46:O46)</f>
        <v>0</v>
      </c>
      <c r="F46" s="181">
        <v>0</v>
      </c>
      <c r="G46" s="170">
        <v>0</v>
      </c>
      <c r="H46" s="170">
        <v>0</v>
      </c>
      <c r="I46" s="170">
        <v>0</v>
      </c>
      <c r="J46" s="170">
        <v>0</v>
      </c>
      <c r="K46" s="170">
        <v>0</v>
      </c>
      <c r="L46" s="170">
        <v>0</v>
      </c>
      <c r="M46" s="170">
        <v>0</v>
      </c>
      <c r="N46" s="170">
        <v>0</v>
      </c>
      <c r="O46" s="171">
        <v>0</v>
      </c>
      <c r="R46" s="515" t="str">
        <f t="shared" si="1"/>
        <v>0</v>
      </c>
    </row>
    <row r="47" spans="1:18" ht="13.5" thickBot="1">
      <c r="A47" s="4">
        <f>A46+1</f>
        <v>30</v>
      </c>
      <c r="B47" s="169" t="s">
        <v>89</v>
      </c>
      <c r="C47" s="546"/>
      <c r="D47" s="544"/>
      <c r="E47" s="545">
        <f>SUBTOTAL(9,F47:O47)</f>
        <v>0</v>
      </c>
      <c r="F47" s="181">
        <v>0</v>
      </c>
      <c r="G47" s="170">
        <v>0</v>
      </c>
      <c r="H47" s="170">
        <v>0</v>
      </c>
      <c r="I47" s="170">
        <v>0</v>
      </c>
      <c r="J47" s="170">
        <v>0</v>
      </c>
      <c r="K47" s="170">
        <v>0</v>
      </c>
      <c r="L47" s="170">
        <v>0</v>
      </c>
      <c r="M47" s="170">
        <v>0</v>
      </c>
      <c r="N47" s="170">
        <v>0</v>
      </c>
      <c r="O47" s="171">
        <v>0</v>
      </c>
      <c r="R47" s="515" t="str">
        <f t="shared" si="1"/>
        <v>0</v>
      </c>
    </row>
    <row r="48" spans="1:18" s="530" customFormat="1" ht="13.5" thickTop="1">
      <c r="A48" s="260"/>
      <c r="B48" s="531" t="s">
        <v>90</v>
      </c>
      <c r="C48" s="532"/>
      <c r="D48" s="533"/>
      <c r="E48" s="547">
        <f t="shared" ref="E48:O48" si="12">SUM(E43:E47)</f>
        <v>0</v>
      </c>
      <c r="F48" s="548">
        <f t="shared" si="12"/>
        <v>0</v>
      </c>
      <c r="G48" s="549">
        <f t="shared" si="12"/>
        <v>0</v>
      </c>
      <c r="H48" s="549">
        <f t="shared" si="12"/>
        <v>0</v>
      </c>
      <c r="I48" s="549">
        <f t="shared" si="12"/>
        <v>0</v>
      </c>
      <c r="J48" s="549">
        <f t="shared" si="12"/>
        <v>0</v>
      </c>
      <c r="K48" s="549">
        <f t="shared" si="12"/>
        <v>0</v>
      </c>
      <c r="L48" s="549">
        <f t="shared" si="12"/>
        <v>0</v>
      </c>
      <c r="M48" s="549">
        <f t="shared" si="12"/>
        <v>0</v>
      </c>
      <c r="N48" s="549">
        <f t="shared" si="12"/>
        <v>0</v>
      </c>
      <c r="O48" s="550">
        <f t="shared" si="12"/>
        <v>0</v>
      </c>
      <c r="R48" s="515" t="str">
        <f t="shared" si="1"/>
        <v>0</v>
      </c>
    </row>
    <row r="49" spans="1:18">
      <c r="B49" s="369"/>
      <c r="C49" s="28"/>
      <c r="D49" s="30"/>
      <c r="E49" s="557"/>
      <c r="F49" s="369"/>
      <c r="G49" s="28"/>
      <c r="H49" s="28"/>
      <c r="I49" s="28"/>
      <c r="J49" s="28"/>
      <c r="K49" s="28"/>
      <c r="L49" s="28"/>
      <c r="M49" s="28"/>
      <c r="N49" s="28"/>
      <c r="O49" s="383"/>
      <c r="R49" s="515" t="str">
        <f t="shared" si="1"/>
        <v>1</v>
      </c>
    </row>
    <row r="50" spans="1:18" s="3" customFormat="1">
      <c r="B50" s="172" t="s">
        <v>39</v>
      </c>
      <c r="C50" s="173"/>
      <c r="D50" s="174"/>
      <c r="E50" s="175"/>
      <c r="F50" s="176"/>
      <c r="G50" s="177"/>
      <c r="H50" s="177"/>
      <c r="I50" s="177"/>
      <c r="J50" s="177"/>
      <c r="K50" s="177"/>
      <c r="L50" s="177"/>
      <c r="M50" s="177"/>
      <c r="N50" s="177"/>
      <c r="O50" s="178"/>
      <c r="R50" s="515" t="str">
        <f t="shared" si="1"/>
        <v>1</v>
      </c>
    </row>
    <row r="51" spans="1:18">
      <c r="A51" s="4">
        <f>A47+1</f>
        <v>31</v>
      </c>
      <c r="B51" s="166" t="str">
        <f>InputSheet!C149</f>
        <v>Segovia, Inc.</v>
      </c>
      <c r="C51" s="543"/>
      <c r="D51" s="555"/>
      <c r="E51" s="556">
        <f>SUBTOTAL(9,F51:O51)</f>
        <v>0</v>
      </c>
      <c r="F51" s="180">
        <v>0</v>
      </c>
      <c r="G51" s="167">
        <v>0</v>
      </c>
      <c r="H51" s="167">
        <v>0</v>
      </c>
      <c r="I51" s="167">
        <v>0</v>
      </c>
      <c r="J51" s="167">
        <v>0</v>
      </c>
      <c r="K51" s="167">
        <v>0</v>
      </c>
      <c r="L51" s="167">
        <v>0</v>
      </c>
      <c r="M51" s="167">
        <v>0</v>
      </c>
      <c r="N51" s="167">
        <v>0</v>
      </c>
      <c r="O51" s="168">
        <v>0</v>
      </c>
      <c r="R51" s="515" t="str">
        <f t="shared" si="1"/>
        <v>0</v>
      </c>
    </row>
    <row r="52" spans="1:18">
      <c r="A52" s="4">
        <f>A51+1</f>
        <v>32</v>
      </c>
      <c r="B52" s="169" t="str">
        <f>InputSheet!C150</f>
        <v>Briggs and Sons</v>
      </c>
      <c r="C52" s="546"/>
      <c r="D52" s="544"/>
      <c r="E52" s="545">
        <f>SUBTOTAL(9,F52:O52)</f>
        <v>0</v>
      </c>
      <c r="F52" s="181">
        <v>0</v>
      </c>
      <c r="G52" s="170">
        <v>0</v>
      </c>
      <c r="H52" s="170">
        <v>0</v>
      </c>
      <c r="I52" s="170">
        <v>0</v>
      </c>
      <c r="J52" s="170">
        <v>0</v>
      </c>
      <c r="K52" s="170">
        <v>0</v>
      </c>
      <c r="L52" s="170">
        <v>0</v>
      </c>
      <c r="M52" s="170">
        <v>0</v>
      </c>
      <c r="N52" s="170">
        <v>0</v>
      </c>
      <c r="O52" s="171">
        <v>0</v>
      </c>
      <c r="R52" s="515" t="str">
        <f t="shared" si="1"/>
        <v>0</v>
      </c>
    </row>
    <row r="53" spans="1:18">
      <c r="A53" s="4">
        <f>A52+1</f>
        <v>33</v>
      </c>
      <c r="B53" s="169" t="str">
        <f>InputSheet!C151</f>
        <v>Yvan</v>
      </c>
      <c r="C53" s="546"/>
      <c r="D53" s="544"/>
      <c r="E53" s="545">
        <f>SUBTOTAL(9,F53:O53)</f>
        <v>0</v>
      </c>
      <c r="F53" s="181">
        <v>0</v>
      </c>
      <c r="G53" s="170">
        <v>0</v>
      </c>
      <c r="H53" s="170">
        <v>0</v>
      </c>
      <c r="I53" s="170">
        <v>0</v>
      </c>
      <c r="J53" s="170">
        <v>0</v>
      </c>
      <c r="K53" s="170">
        <v>0</v>
      </c>
      <c r="L53" s="170">
        <v>0</v>
      </c>
      <c r="M53" s="170">
        <v>0</v>
      </c>
      <c r="N53" s="170">
        <v>0</v>
      </c>
      <c r="O53" s="171">
        <v>0</v>
      </c>
      <c r="R53" s="515" t="str">
        <f t="shared" si="1"/>
        <v>0</v>
      </c>
    </row>
    <row r="54" spans="1:18">
      <c r="A54" s="4">
        <f>A53+1</f>
        <v>34</v>
      </c>
      <c r="B54" s="169" t="str">
        <f>InputSheet!C152</f>
        <v>Sub 4</v>
      </c>
      <c r="C54" s="546"/>
      <c r="D54" s="544"/>
      <c r="E54" s="545">
        <f>SUBTOTAL(9,F54:O54)</f>
        <v>0</v>
      </c>
      <c r="F54" s="181">
        <v>0</v>
      </c>
      <c r="G54" s="170">
        <v>0</v>
      </c>
      <c r="H54" s="170">
        <v>0</v>
      </c>
      <c r="I54" s="170">
        <v>0</v>
      </c>
      <c r="J54" s="170">
        <v>0</v>
      </c>
      <c r="K54" s="170">
        <v>0</v>
      </c>
      <c r="L54" s="170">
        <v>0</v>
      </c>
      <c r="M54" s="170">
        <v>0</v>
      </c>
      <c r="N54" s="170">
        <v>0</v>
      </c>
      <c r="O54" s="171">
        <v>0</v>
      </c>
      <c r="R54" s="515" t="str">
        <f t="shared" si="1"/>
        <v>0</v>
      </c>
    </row>
    <row r="55" spans="1:18" ht="13.5" thickBot="1">
      <c r="A55" s="4">
        <f>A54+1</f>
        <v>35</v>
      </c>
      <c r="B55" s="169" t="str">
        <f>InputSheet!C153</f>
        <v>Sub 5</v>
      </c>
      <c r="C55" s="546"/>
      <c r="D55" s="544"/>
      <c r="E55" s="545">
        <f>SUBTOTAL(9,F55:O55)</f>
        <v>0</v>
      </c>
      <c r="F55" s="181">
        <v>0</v>
      </c>
      <c r="G55" s="170">
        <v>0</v>
      </c>
      <c r="H55" s="170">
        <v>0</v>
      </c>
      <c r="I55" s="170">
        <v>0</v>
      </c>
      <c r="J55" s="170">
        <v>0</v>
      </c>
      <c r="K55" s="170">
        <v>0</v>
      </c>
      <c r="L55" s="170">
        <v>0</v>
      </c>
      <c r="M55" s="170">
        <v>0</v>
      </c>
      <c r="N55" s="170">
        <v>0</v>
      </c>
      <c r="O55" s="171">
        <v>0</v>
      </c>
      <c r="R55" s="515" t="str">
        <f t="shared" si="1"/>
        <v>0</v>
      </c>
    </row>
    <row r="56" spans="1:18" s="530" customFormat="1" ht="14.25" thickTop="1" thickBot="1">
      <c r="A56" s="260"/>
      <c r="B56" s="558" t="s">
        <v>90</v>
      </c>
      <c r="C56" s="559"/>
      <c r="D56" s="560"/>
      <c r="E56" s="561">
        <f t="shared" ref="E56:O56" si="13">SUM(E51:E55)</f>
        <v>0</v>
      </c>
      <c r="F56" s="562">
        <f t="shared" si="13"/>
        <v>0</v>
      </c>
      <c r="G56" s="563">
        <f t="shared" si="13"/>
        <v>0</v>
      </c>
      <c r="H56" s="563">
        <f t="shared" si="13"/>
        <v>0</v>
      </c>
      <c r="I56" s="563">
        <f t="shared" si="13"/>
        <v>0</v>
      </c>
      <c r="J56" s="563">
        <f t="shared" si="13"/>
        <v>0</v>
      </c>
      <c r="K56" s="563">
        <f t="shared" si="13"/>
        <v>0</v>
      </c>
      <c r="L56" s="563">
        <f t="shared" si="13"/>
        <v>0</v>
      </c>
      <c r="M56" s="563">
        <f t="shared" si="13"/>
        <v>0</v>
      </c>
      <c r="N56" s="563">
        <f t="shared" si="13"/>
        <v>0</v>
      </c>
      <c r="O56" s="564">
        <f t="shared" si="13"/>
        <v>0</v>
      </c>
      <c r="R56" s="515" t="str">
        <f t="shared" si="1"/>
        <v>0</v>
      </c>
    </row>
    <row r="57" spans="1:18">
      <c r="E57" s="557"/>
    </row>
  </sheetData>
  <autoFilter ref="R7:R56"/>
  <phoneticPr fontId="23" type="noConversion"/>
  <dataValidations count="1">
    <dataValidation type="list" allowBlank="1" showInputMessage="1" showErrorMessage="1" error="Please enter either Government (Govt) or Contractor (Contr) for each labor category." sqref="D12:D31">
      <formula1>"Govt,Contr"</formula1>
    </dataValidation>
  </dataValidations>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sheetPr codeName="Sheet14" enableFormatConditionsCalculation="0">
    <tabColor indexed="10"/>
  </sheetPr>
  <dimension ref="A1:C250"/>
  <sheetViews>
    <sheetView showGridLines="0" zoomScaleNormal="100" zoomScaleSheetLayoutView="115" workbookViewId="0">
      <selection activeCell="B6" sqref="B6"/>
    </sheetView>
  </sheetViews>
  <sheetFormatPr defaultRowHeight="12.75"/>
  <cols>
    <col min="1" max="1" width="4" style="4" bestFit="1" customWidth="1"/>
    <col min="2" max="2" width="11.85546875" style="4" bestFit="1" customWidth="1"/>
    <col min="3" max="3" width="33.42578125" style="4" customWidth="1"/>
    <col min="4" max="16384" width="9.140625" style="4"/>
  </cols>
  <sheetData>
    <row r="1" spans="1:3">
      <c r="B1" s="4" t="str">
        <f>'WBS Staffing1'!B1</f>
        <v>PL:</v>
      </c>
      <c r="C1" s="4" t="str">
        <f>'WBS Staffing1'!C1</f>
        <v>P-12246</v>
      </c>
    </row>
    <row r="2" spans="1:3">
      <c r="B2" s="4" t="str">
        <f>'WBS Staffing1'!B2</f>
        <v>RFP:</v>
      </c>
      <c r="C2" s="4" t="str">
        <f>'WBS Staffing1'!C2</f>
        <v>NCSA HQ 7010</v>
      </c>
    </row>
    <row r="3" spans="1:3">
      <c r="B3" s="4" t="str">
        <f>'WBS Staffing1'!B3</f>
        <v>Offeror:</v>
      </c>
      <c r="C3" s="4" t="str">
        <f>'WBS Staffing1'!C3</f>
        <v>ManTech Telecommunications and Information Systems Corporation</v>
      </c>
    </row>
    <row r="4" spans="1:3">
      <c r="B4" s="4" t="str">
        <f>'WBS Staffing1'!B4</f>
        <v>Title:</v>
      </c>
      <c r="C4" s="4" t="str">
        <f>'WBS Staffing1'!C4</f>
        <v>CIS Consultant Services</v>
      </c>
    </row>
    <row r="5" spans="1:3">
      <c r="B5" s="4" t="s">
        <v>613</v>
      </c>
      <c r="C5" s="4" t="s">
        <v>95</v>
      </c>
    </row>
    <row r="7" spans="1:3" ht="15.75">
      <c r="B7" s="565"/>
      <c r="C7" s="566"/>
    </row>
    <row r="8" spans="1:3" ht="13.5" thickBot="1"/>
    <row r="9" spans="1:3" ht="13.5" thickBot="1">
      <c r="B9" s="193" t="s">
        <v>96</v>
      </c>
      <c r="C9" s="194" t="s">
        <v>97</v>
      </c>
    </row>
    <row r="10" spans="1:3">
      <c r="A10" s="4">
        <f t="shared" ref="A10:A19" si="0">A9+1</f>
        <v>1</v>
      </c>
      <c r="B10" s="724" t="s">
        <v>98</v>
      </c>
      <c r="C10" s="725" t="s">
        <v>130</v>
      </c>
    </row>
    <row r="11" spans="1:3">
      <c r="A11" s="4">
        <f t="shared" si="0"/>
        <v>2</v>
      </c>
      <c r="B11" s="726" t="s">
        <v>99</v>
      </c>
      <c r="C11" s="727" t="s">
        <v>131</v>
      </c>
    </row>
    <row r="12" spans="1:3">
      <c r="A12" s="4">
        <f t="shared" si="0"/>
        <v>3</v>
      </c>
      <c r="B12" s="726" t="s">
        <v>100</v>
      </c>
      <c r="C12" s="727" t="s">
        <v>132</v>
      </c>
    </row>
    <row r="13" spans="1:3">
      <c r="A13" s="4">
        <f t="shared" si="0"/>
        <v>4</v>
      </c>
      <c r="B13" s="726" t="s">
        <v>101</v>
      </c>
      <c r="C13" s="727" t="s">
        <v>133</v>
      </c>
    </row>
    <row r="14" spans="1:3">
      <c r="A14" s="4">
        <f t="shared" si="0"/>
        <v>5</v>
      </c>
      <c r="B14" s="726" t="s">
        <v>102</v>
      </c>
      <c r="C14" s="727" t="s">
        <v>134</v>
      </c>
    </row>
    <row r="15" spans="1:3">
      <c r="A15" s="4">
        <f t="shared" si="0"/>
        <v>6</v>
      </c>
      <c r="B15" s="726" t="s">
        <v>103</v>
      </c>
      <c r="C15" s="727" t="s">
        <v>135</v>
      </c>
    </row>
    <row r="16" spans="1:3">
      <c r="A16" s="4">
        <f t="shared" si="0"/>
        <v>7</v>
      </c>
      <c r="B16" s="726" t="s">
        <v>104</v>
      </c>
      <c r="C16" s="727" t="s">
        <v>136</v>
      </c>
    </row>
    <row r="17" spans="1:3">
      <c r="A17" s="4">
        <f t="shared" si="0"/>
        <v>8</v>
      </c>
      <c r="B17" s="726" t="s">
        <v>105</v>
      </c>
      <c r="C17" s="727" t="s">
        <v>137</v>
      </c>
    </row>
    <row r="18" spans="1:3">
      <c r="A18" s="4">
        <f t="shared" si="0"/>
        <v>9</v>
      </c>
      <c r="B18" s="726" t="s">
        <v>106</v>
      </c>
      <c r="C18" s="727" t="s">
        <v>138</v>
      </c>
    </row>
    <row r="19" spans="1:3">
      <c r="A19" s="4">
        <f t="shared" si="0"/>
        <v>10</v>
      </c>
      <c r="B19" s="726" t="s">
        <v>107</v>
      </c>
      <c r="C19" s="727" t="s">
        <v>139</v>
      </c>
    </row>
    <row r="20" spans="1:3">
      <c r="A20" s="4">
        <f t="shared" ref="A20:A38" si="1">A19+1</f>
        <v>11</v>
      </c>
      <c r="B20" s="726" t="s">
        <v>108</v>
      </c>
      <c r="C20" s="727" t="s">
        <v>140</v>
      </c>
    </row>
    <row r="21" spans="1:3">
      <c r="A21" s="4">
        <f t="shared" si="1"/>
        <v>12</v>
      </c>
      <c r="B21" s="726" t="s">
        <v>109</v>
      </c>
      <c r="C21" s="727" t="s">
        <v>141</v>
      </c>
    </row>
    <row r="22" spans="1:3">
      <c r="A22" s="4">
        <f t="shared" si="1"/>
        <v>13</v>
      </c>
      <c r="B22" s="726" t="s">
        <v>110</v>
      </c>
      <c r="C22" s="727" t="s">
        <v>142</v>
      </c>
    </row>
    <row r="23" spans="1:3">
      <c r="A23" s="4">
        <f t="shared" si="1"/>
        <v>14</v>
      </c>
      <c r="B23" s="726" t="s">
        <v>111</v>
      </c>
      <c r="C23" s="727" t="s">
        <v>143</v>
      </c>
    </row>
    <row r="24" spans="1:3">
      <c r="A24" s="4">
        <f t="shared" si="1"/>
        <v>15</v>
      </c>
      <c r="B24" s="726" t="s">
        <v>112</v>
      </c>
      <c r="C24" s="727" t="s">
        <v>144</v>
      </c>
    </row>
    <row r="25" spans="1:3">
      <c r="A25" s="4">
        <f t="shared" si="1"/>
        <v>16</v>
      </c>
      <c r="B25" s="726" t="s">
        <v>113</v>
      </c>
      <c r="C25" s="727" t="s">
        <v>145</v>
      </c>
    </row>
    <row r="26" spans="1:3">
      <c r="A26" s="4">
        <f t="shared" si="1"/>
        <v>17</v>
      </c>
      <c r="B26" s="726" t="s">
        <v>114</v>
      </c>
      <c r="C26" s="727" t="s">
        <v>146</v>
      </c>
    </row>
    <row r="27" spans="1:3">
      <c r="A27" s="4">
        <f t="shared" si="1"/>
        <v>18</v>
      </c>
      <c r="B27" s="726" t="s">
        <v>115</v>
      </c>
      <c r="C27" s="727" t="s">
        <v>147</v>
      </c>
    </row>
    <row r="28" spans="1:3">
      <c r="A28" s="4">
        <f t="shared" si="1"/>
        <v>19</v>
      </c>
      <c r="B28" s="726" t="s">
        <v>116</v>
      </c>
      <c r="C28" s="727" t="s">
        <v>148</v>
      </c>
    </row>
    <row r="29" spans="1:3">
      <c r="A29" s="4">
        <f t="shared" si="1"/>
        <v>20</v>
      </c>
      <c r="B29" s="726" t="s">
        <v>117</v>
      </c>
      <c r="C29" s="727" t="s">
        <v>149</v>
      </c>
    </row>
    <row r="30" spans="1:3">
      <c r="A30" s="4">
        <f t="shared" si="1"/>
        <v>21</v>
      </c>
      <c r="B30" s="726" t="s">
        <v>118</v>
      </c>
      <c r="C30" s="727" t="s">
        <v>150</v>
      </c>
    </row>
    <row r="31" spans="1:3">
      <c r="A31" s="4">
        <f t="shared" si="1"/>
        <v>22</v>
      </c>
      <c r="B31" s="726" t="s">
        <v>119</v>
      </c>
      <c r="C31" s="727" t="s">
        <v>151</v>
      </c>
    </row>
    <row r="32" spans="1:3">
      <c r="A32" s="4">
        <f t="shared" si="1"/>
        <v>23</v>
      </c>
      <c r="B32" s="726" t="s">
        <v>120</v>
      </c>
      <c r="C32" s="727" t="s">
        <v>152</v>
      </c>
    </row>
    <row r="33" spans="1:3">
      <c r="A33" s="4">
        <f t="shared" si="1"/>
        <v>24</v>
      </c>
      <c r="B33" s="726" t="s">
        <v>121</v>
      </c>
      <c r="C33" s="727" t="s">
        <v>153</v>
      </c>
    </row>
    <row r="34" spans="1:3">
      <c r="A34" s="4">
        <f t="shared" si="1"/>
        <v>25</v>
      </c>
      <c r="B34" s="726" t="s">
        <v>122</v>
      </c>
      <c r="C34" s="727" t="s">
        <v>154</v>
      </c>
    </row>
    <row r="35" spans="1:3">
      <c r="A35" s="4">
        <f t="shared" si="1"/>
        <v>26</v>
      </c>
      <c r="B35" s="726" t="s">
        <v>123</v>
      </c>
      <c r="C35" s="727" t="s">
        <v>155</v>
      </c>
    </row>
    <row r="36" spans="1:3">
      <c r="A36" s="4">
        <f t="shared" si="1"/>
        <v>27</v>
      </c>
      <c r="B36" s="726" t="s">
        <v>124</v>
      </c>
      <c r="C36" s="727" t="s">
        <v>156</v>
      </c>
    </row>
    <row r="37" spans="1:3">
      <c r="A37" s="4">
        <f t="shared" si="1"/>
        <v>28</v>
      </c>
      <c r="B37" s="726" t="s">
        <v>125</v>
      </c>
      <c r="C37" s="727" t="s">
        <v>157</v>
      </c>
    </row>
    <row r="38" spans="1:3">
      <c r="A38" s="4">
        <f t="shared" si="1"/>
        <v>29</v>
      </c>
      <c r="B38" s="726" t="s">
        <v>126</v>
      </c>
      <c r="C38" s="727" t="s">
        <v>158</v>
      </c>
    </row>
    <row r="39" spans="1:3">
      <c r="A39" s="4">
        <f t="shared" ref="A39:A102" si="2">A38+1</f>
        <v>30</v>
      </c>
      <c r="B39" s="726" t="s">
        <v>127</v>
      </c>
      <c r="C39" s="727" t="s">
        <v>159</v>
      </c>
    </row>
    <row r="40" spans="1:3">
      <c r="A40" s="4">
        <f t="shared" si="2"/>
        <v>31</v>
      </c>
      <c r="B40" s="726" t="s">
        <v>160</v>
      </c>
      <c r="C40" s="727" t="s">
        <v>170</v>
      </c>
    </row>
    <row r="41" spans="1:3">
      <c r="A41" s="4">
        <f t="shared" si="2"/>
        <v>32</v>
      </c>
      <c r="B41" s="726" t="s">
        <v>161</v>
      </c>
      <c r="C41" s="727" t="s">
        <v>171</v>
      </c>
    </row>
    <row r="42" spans="1:3">
      <c r="A42" s="4">
        <f t="shared" si="2"/>
        <v>33</v>
      </c>
      <c r="B42" s="726" t="s">
        <v>162</v>
      </c>
      <c r="C42" s="727" t="s">
        <v>172</v>
      </c>
    </row>
    <row r="43" spans="1:3">
      <c r="A43" s="4">
        <f t="shared" si="2"/>
        <v>34</v>
      </c>
      <c r="B43" s="726" t="s">
        <v>163</v>
      </c>
      <c r="C43" s="727" t="s">
        <v>173</v>
      </c>
    </row>
    <row r="44" spans="1:3">
      <c r="A44" s="4">
        <f t="shared" si="2"/>
        <v>35</v>
      </c>
      <c r="B44" s="726" t="s">
        <v>164</v>
      </c>
      <c r="C44" s="727" t="s">
        <v>174</v>
      </c>
    </row>
    <row r="45" spans="1:3">
      <c r="A45" s="4">
        <f t="shared" si="2"/>
        <v>36</v>
      </c>
      <c r="B45" s="726" t="s">
        <v>165</v>
      </c>
      <c r="C45" s="727" t="s">
        <v>175</v>
      </c>
    </row>
    <row r="46" spans="1:3">
      <c r="A46" s="4">
        <f t="shared" si="2"/>
        <v>37</v>
      </c>
      <c r="B46" s="726" t="s">
        <v>166</v>
      </c>
      <c r="C46" s="727" t="s">
        <v>176</v>
      </c>
    </row>
    <row r="47" spans="1:3">
      <c r="A47" s="4">
        <f t="shared" si="2"/>
        <v>38</v>
      </c>
      <c r="B47" s="726" t="s">
        <v>167</v>
      </c>
      <c r="C47" s="727" t="s">
        <v>177</v>
      </c>
    </row>
    <row r="48" spans="1:3">
      <c r="A48" s="4">
        <f t="shared" si="2"/>
        <v>39</v>
      </c>
      <c r="B48" s="726" t="s">
        <v>168</v>
      </c>
      <c r="C48" s="727" t="s">
        <v>178</v>
      </c>
    </row>
    <row r="49" spans="1:3">
      <c r="A49" s="4">
        <f t="shared" si="2"/>
        <v>40</v>
      </c>
      <c r="B49" s="726" t="s">
        <v>169</v>
      </c>
      <c r="C49" s="727" t="s">
        <v>179</v>
      </c>
    </row>
    <row r="50" spans="1:3">
      <c r="A50" s="4">
        <f t="shared" si="2"/>
        <v>41</v>
      </c>
      <c r="B50" s="726" t="s">
        <v>180</v>
      </c>
      <c r="C50" s="727" t="s">
        <v>181</v>
      </c>
    </row>
    <row r="51" spans="1:3">
      <c r="A51" s="4">
        <f t="shared" si="2"/>
        <v>42</v>
      </c>
      <c r="B51" s="726" t="s">
        <v>182</v>
      </c>
      <c r="C51" s="727" t="s">
        <v>183</v>
      </c>
    </row>
    <row r="52" spans="1:3">
      <c r="A52" s="4">
        <f t="shared" si="2"/>
        <v>43</v>
      </c>
      <c r="B52" s="726" t="s">
        <v>184</v>
      </c>
      <c r="C52" s="727" t="s">
        <v>185</v>
      </c>
    </row>
    <row r="53" spans="1:3">
      <c r="A53" s="4">
        <f t="shared" si="2"/>
        <v>44</v>
      </c>
      <c r="B53" s="726" t="s">
        <v>186</v>
      </c>
      <c r="C53" s="727" t="s">
        <v>187</v>
      </c>
    </row>
    <row r="54" spans="1:3">
      <c r="A54" s="4">
        <f t="shared" si="2"/>
        <v>45</v>
      </c>
      <c r="B54" s="726" t="s">
        <v>188</v>
      </c>
      <c r="C54" s="727" t="s">
        <v>189</v>
      </c>
    </row>
    <row r="55" spans="1:3">
      <c r="A55" s="4">
        <f t="shared" si="2"/>
        <v>46</v>
      </c>
      <c r="B55" s="726" t="s">
        <v>190</v>
      </c>
      <c r="C55" s="727" t="s">
        <v>191</v>
      </c>
    </row>
    <row r="56" spans="1:3">
      <c r="A56" s="4">
        <f t="shared" si="2"/>
        <v>47</v>
      </c>
      <c r="B56" s="726" t="s">
        <v>192</v>
      </c>
      <c r="C56" s="727" t="s">
        <v>193</v>
      </c>
    </row>
    <row r="57" spans="1:3">
      <c r="A57" s="4">
        <f t="shared" si="2"/>
        <v>48</v>
      </c>
      <c r="B57" s="726" t="s">
        <v>194</v>
      </c>
      <c r="C57" s="727" t="s">
        <v>195</v>
      </c>
    </row>
    <row r="58" spans="1:3">
      <c r="A58" s="4">
        <f t="shared" si="2"/>
        <v>49</v>
      </c>
      <c r="B58" s="726" t="s">
        <v>196</v>
      </c>
      <c r="C58" s="727" t="s">
        <v>197</v>
      </c>
    </row>
    <row r="59" spans="1:3">
      <c r="A59" s="4">
        <f t="shared" si="2"/>
        <v>50</v>
      </c>
      <c r="B59" s="726" t="s">
        <v>198</v>
      </c>
      <c r="C59" s="727" t="s">
        <v>199</v>
      </c>
    </row>
    <row r="60" spans="1:3">
      <c r="A60" s="4">
        <f t="shared" si="2"/>
        <v>51</v>
      </c>
      <c r="B60" s="726" t="s">
        <v>200</v>
      </c>
      <c r="C60" s="727" t="s">
        <v>201</v>
      </c>
    </row>
    <row r="61" spans="1:3">
      <c r="A61" s="4">
        <f t="shared" si="2"/>
        <v>52</v>
      </c>
      <c r="B61" s="726" t="s">
        <v>202</v>
      </c>
      <c r="C61" s="727" t="s">
        <v>203</v>
      </c>
    </row>
    <row r="62" spans="1:3">
      <c r="A62" s="4">
        <f t="shared" si="2"/>
        <v>53</v>
      </c>
      <c r="B62" s="726" t="s">
        <v>204</v>
      </c>
      <c r="C62" s="727" t="s">
        <v>205</v>
      </c>
    </row>
    <row r="63" spans="1:3">
      <c r="A63" s="4">
        <f t="shared" si="2"/>
        <v>54</v>
      </c>
      <c r="B63" s="726" t="s">
        <v>206</v>
      </c>
      <c r="C63" s="727" t="s">
        <v>207</v>
      </c>
    </row>
    <row r="64" spans="1:3">
      <c r="A64" s="4">
        <f t="shared" si="2"/>
        <v>55</v>
      </c>
      <c r="B64" s="726" t="s">
        <v>208</v>
      </c>
      <c r="C64" s="727" t="s">
        <v>209</v>
      </c>
    </row>
    <row r="65" spans="1:3">
      <c r="A65" s="4">
        <f t="shared" si="2"/>
        <v>56</v>
      </c>
      <c r="B65" s="726" t="s">
        <v>210</v>
      </c>
      <c r="C65" s="727" t="s">
        <v>211</v>
      </c>
    </row>
    <row r="66" spans="1:3">
      <c r="A66" s="4">
        <f t="shared" si="2"/>
        <v>57</v>
      </c>
      <c r="B66" s="726" t="s">
        <v>212</v>
      </c>
      <c r="C66" s="727" t="s">
        <v>213</v>
      </c>
    </row>
    <row r="67" spans="1:3">
      <c r="A67" s="4">
        <f t="shared" si="2"/>
        <v>58</v>
      </c>
      <c r="B67" s="726" t="s">
        <v>214</v>
      </c>
      <c r="C67" s="727" t="s">
        <v>215</v>
      </c>
    </row>
    <row r="68" spans="1:3">
      <c r="A68" s="4">
        <f t="shared" si="2"/>
        <v>59</v>
      </c>
      <c r="B68" s="726" t="s">
        <v>216</v>
      </c>
      <c r="C68" s="727" t="s">
        <v>217</v>
      </c>
    </row>
    <row r="69" spans="1:3">
      <c r="A69" s="4">
        <f t="shared" si="2"/>
        <v>60</v>
      </c>
      <c r="B69" s="726" t="s">
        <v>218</v>
      </c>
      <c r="C69" s="727" t="s">
        <v>219</v>
      </c>
    </row>
    <row r="70" spans="1:3">
      <c r="A70" s="4">
        <f t="shared" si="2"/>
        <v>61</v>
      </c>
      <c r="B70" s="726" t="s">
        <v>220</v>
      </c>
      <c r="C70" s="727" t="s">
        <v>221</v>
      </c>
    </row>
    <row r="71" spans="1:3">
      <c r="A71" s="4">
        <f t="shared" si="2"/>
        <v>62</v>
      </c>
      <c r="B71" s="726" t="s">
        <v>222</v>
      </c>
      <c r="C71" s="727" t="s">
        <v>223</v>
      </c>
    </row>
    <row r="72" spans="1:3">
      <c r="A72" s="4">
        <f t="shared" si="2"/>
        <v>63</v>
      </c>
      <c r="B72" s="726" t="s">
        <v>224</v>
      </c>
      <c r="C72" s="727" t="s">
        <v>225</v>
      </c>
    </row>
    <row r="73" spans="1:3">
      <c r="A73" s="4">
        <f t="shared" si="2"/>
        <v>64</v>
      </c>
      <c r="B73" s="726" t="s">
        <v>226</v>
      </c>
      <c r="C73" s="727" t="s">
        <v>227</v>
      </c>
    </row>
    <row r="74" spans="1:3">
      <c r="A74" s="4">
        <f t="shared" si="2"/>
        <v>65</v>
      </c>
      <c r="B74" s="726" t="s">
        <v>228</v>
      </c>
      <c r="C74" s="727" t="s">
        <v>229</v>
      </c>
    </row>
    <row r="75" spans="1:3">
      <c r="A75" s="4">
        <f t="shared" si="2"/>
        <v>66</v>
      </c>
      <c r="B75" s="726" t="s">
        <v>230</v>
      </c>
      <c r="C75" s="727" t="s">
        <v>231</v>
      </c>
    </row>
    <row r="76" spans="1:3">
      <c r="A76" s="4">
        <f t="shared" si="2"/>
        <v>67</v>
      </c>
      <c r="B76" s="726" t="s">
        <v>232</v>
      </c>
      <c r="C76" s="727" t="s">
        <v>233</v>
      </c>
    </row>
    <row r="77" spans="1:3">
      <c r="A77" s="4">
        <f t="shared" si="2"/>
        <v>68</v>
      </c>
      <c r="B77" s="726" t="s">
        <v>234</v>
      </c>
      <c r="C77" s="727" t="s">
        <v>235</v>
      </c>
    </row>
    <row r="78" spans="1:3">
      <c r="A78" s="4">
        <f t="shared" si="2"/>
        <v>69</v>
      </c>
      <c r="B78" s="726" t="s">
        <v>236</v>
      </c>
      <c r="C78" s="727" t="s">
        <v>237</v>
      </c>
    </row>
    <row r="79" spans="1:3">
      <c r="A79" s="4">
        <f t="shared" si="2"/>
        <v>70</v>
      </c>
      <c r="B79" s="726" t="s">
        <v>238</v>
      </c>
      <c r="C79" s="727" t="s">
        <v>239</v>
      </c>
    </row>
    <row r="80" spans="1:3">
      <c r="A80" s="4">
        <f t="shared" si="2"/>
        <v>71</v>
      </c>
      <c r="B80" s="726" t="s">
        <v>240</v>
      </c>
      <c r="C80" s="727" t="s">
        <v>241</v>
      </c>
    </row>
    <row r="81" spans="1:3">
      <c r="A81" s="4">
        <f t="shared" si="2"/>
        <v>72</v>
      </c>
      <c r="B81" s="726" t="s">
        <v>242</v>
      </c>
      <c r="C81" s="727" t="s">
        <v>243</v>
      </c>
    </row>
    <row r="82" spans="1:3">
      <c r="A82" s="4">
        <f t="shared" si="2"/>
        <v>73</v>
      </c>
      <c r="B82" s="726" t="s">
        <v>244</v>
      </c>
      <c r="C82" s="727" t="s">
        <v>245</v>
      </c>
    </row>
    <row r="83" spans="1:3">
      <c r="A83" s="4">
        <f t="shared" si="2"/>
        <v>74</v>
      </c>
      <c r="B83" s="726" t="s">
        <v>246</v>
      </c>
      <c r="C83" s="727" t="s">
        <v>247</v>
      </c>
    </row>
    <row r="84" spans="1:3">
      <c r="A84" s="4">
        <f t="shared" si="2"/>
        <v>75</v>
      </c>
      <c r="B84" s="726" t="s">
        <v>248</v>
      </c>
      <c r="C84" s="727" t="s">
        <v>249</v>
      </c>
    </row>
    <row r="85" spans="1:3">
      <c r="A85" s="4">
        <f t="shared" si="2"/>
        <v>76</v>
      </c>
      <c r="B85" s="726" t="s">
        <v>250</v>
      </c>
      <c r="C85" s="727" t="s">
        <v>251</v>
      </c>
    </row>
    <row r="86" spans="1:3">
      <c r="A86" s="4">
        <f t="shared" si="2"/>
        <v>77</v>
      </c>
      <c r="B86" s="726" t="s">
        <v>252</v>
      </c>
      <c r="C86" s="727" t="s">
        <v>253</v>
      </c>
    </row>
    <row r="87" spans="1:3">
      <c r="A87" s="4">
        <f t="shared" si="2"/>
        <v>78</v>
      </c>
      <c r="B87" s="726" t="s">
        <v>254</v>
      </c>
      <c r="C87" s="727" t="s">
        <v>255</v>
      </c>
    </row>
    <row r="88" spans="1:3">
      <c r="A88" s="4">
        <f t="shared" si="2"/>
        <v>79</v>
      </c>
      <c r="B88" s="726" t="s">
        <v>256</v>
      </c>
      <c r="C88" s="727" t="s">
        <v>257</v>
      </c>
    </row>
    <row r="89" spans="1:3">
      <c r="A89" s="4">
        <f t="shared" si="2"/>
        <v>80</v>
      </c>
      <c r="B89" s="726" t="s">
        <v>258</v>
      </c>
      <c r="C89" s="727" t="s">
        <v>259</v>
      </c>
    </row>
    <row r="90" spans="1:3">
      <c r="A90" s="4">
        <f t="shared" si="2"/>
        <v>81</v>
      </c>
      <c r="B90" s="726" t="s">
        <v>260</v>
      </c>
      <c r="C90" s="727" t="s">
        <v>261</v>
      </c>
    </row>
    <row r="91" spans="1:3">
      <c r="A91" s="4">
        <f t="shared" si="2"/>
        <v>82</v>
      </c>
      <c r="B91" s="726" t="s">
        <v>262</v>
      </c>
      <c r="C91" s="727" t="s">
        <v>263</v>
      </c>
    </row>
    <row r="92" spans="1:3">
      <c r="A92" s="4">
        <f t="shared" si="2"/>
        <v>83</v>
      </c>
      <c r="B92" s="726" t="s">
        <v>264</v>
      </c>
      <c r="C92" s="727" t="s">
        <v>265</v>
      </c>
    </row>
    <row r="93" spans="1:3">
      <c r="A93" s="4">
        <f t="shared" si="2"/>
        <v>84</v>
      </c>
      <c r="B93" s="726" t="s">
        <v>266</v>
      </c>
      <c r="C93" s="727" t="s">
        <v>267</v>
      </c>
    </row>
    <row r="94" spans="1:3">
      <c r="A94" s="4">
        <f t="shared" si="2"/>
        <v>85</v>
      </c>
      <c r="B94" s="726" t="s">
        <v>268</v>
      </c>
      <c r="C94" s="727" t="s">
        <v>269</v>
      </c>
    </row>
    <row r="95" spans="1:3">
      <c r="A95" s="4">
        <f t="shared" si="2"/>
        <v>86</v>
      </c>
      <c r="B95" s="726" t="s">
        <v>270</v>
      </c>
      <c r="C95" s="727" t="s">
        <v>271</v>
      </c>
    </row>
    <row r="96" spans="1:3">
      <c r="A96" s="4">
        <f t="shared" si="2"/>
        <v>87</v>
      </c>
      <c r="B96" s="726" t="s">
        <v>272</v>
      </c>
      <c r="C96" s="727" t="s">
        <v>273</v>
      </c>
    </row>
    <row r="97" spans="1:3">
      <c r="A97" s="4">
        <f t="shared" si="2"/>
        <v>88</v>
      </c>
      <c r="B97" s="726" t="s">
        <v>274</v>
      </c>
      <c r="C97" s="727" t="s">
        <v>275</v>
      </c>
    </row>
    <row r="98" spans="1:3">
      <c r="A98" s="4">
        <f t="shared" si="2"/>
        <v>89</v>
      </c>
      <c r="B98" s="726" t="s">
        <v>276</v>
      </c>
      <c r="C98" s="727" t="s">
        <v>277</v>
      </c>
    </row>
    <row r="99" spans="1:3">
      <c r="A99" s="4">
        <f t="shared" si="2"/>
        <v>90</v>
      </c>
      <c r="B99" s="726" t="s">
        <v>278</v>
      </c>
      <c r="C99" s="727" t="s">
        <v>279</v>
      </c>
    </row>
    <row r="100" spans="1:3">
      <c r="A100" s="4">
        <f t="shared" si="2"/>
        <v>91</v>
      </c>
      <c r="B100" s="726" t="s">
        <v>280</v>
      </c>
      <c r="C100" s="727" t="s">
        <v>281</v>
      </c>
    </row>
    <row r="101" spans="1:3">
      <c r="A101" s="4">
        <f t="shared" si="2"/>
        <v>92</v>
      </c>
      <c r="B101" s="726" t="s">
        <v>282</v>
      </c>
      <c r="C101" s="727" t="s">
        <v>283</v>
      </c>
    </row>
    <row r="102" spans="1:3">
      <c r="A102" s="4">
        <f t="shared" si="2"/>
        <v>93</v>
      </c>
      <c r="B102" s="726" t="s">
        <v>284</v>
      </c>
      <c r="C102" s="727" t="s">
        <v>285</v>
      </c>
    </row>
    <row r="103" spans="1:3">
      <c r="A103" s="4">
        <f t="shared" ref="A103:A166" si="3">A102+1</f>
        <v>94</v>
      </c>
      <c r="B103" s="726" t="s">
        <v>286</v>
      </c>
      <c r="C103" s="727" t="s">
        <v>287</v>
      </c>
    </row>
    <row r="104" spans="1:3">
      <c r="A104" s="4">
        <f t="shared" si="3"/>
        <v>95</v>
      </c>
      <c r="B104" s="726" t="s">
        <v>288</v>
      </c>
      <c r="C104" s="727" t="s">
        <v>289</v>
      </c>
    </row>
    <row r="105" spans="1:3">
      <c r="A105" s="4">
        <f t="shared" si="3"/>
        <v>96</v>
      </c>
      <c r="B105" s="726" t="s">
        <v>290</v>
      </c>
      <c r="C105" s="727" t="s">
        <v>291</v>
      </c>
    </row>
    <row r="106" spans="1:3">
      <c r="A106" s="4">
        <f t="shared" si="3"/>
        <v>97</v>
      </c>
      <c r="B106" s="726" t="s">
        <v>292</v>
      </c>
      <c r="C106" s="727" t="s">
        <v>293</v>
      </c>
    </row>
    <row r="107" spans="1:3">
      <c r="A107" s="4">
        <f t="shared" si="3"/>
        <v>98</v>
      </c>
      <c r="B107" s="726" t="s">
        <v>294</v>
      </c>
      <c r="C107" s="727" t="s">
        <v>295</v>
      </c>
    </row>
    <row r="108" spans="1:3">
      <c r="A108" s="4">
        <f t="shared" si="3"/>
        <v>99</v>
      </c>
      <c r="B108" s="726" t="s">
        <v>296</v>
      </c>
      <c r="C108" s="727" t="s">
        <v>297</v>
      </c>
    </row>
    <row r="109" spans="1:3">
      <c r="A109" s="4">
        <f t="shared" si="3"/>
        <v>100</v>
      </c>
      <c r="B109" s="726" t="s">
        <v>298</v>
      </c>
      <c r="C109" s="727" t="s">
        <v>299</v>
      </c>
    </row>
    <row r="110" spans="1:3">
      <c r="A110" s="4">
        <f t="shared" si="3"/>
        <v>101</v>
      </c>
      <c r="B110" s="726" t="s">
        <v>300</v>
      </c>
      <c r="C110" s="727" t="s">
        <v>301</v>
      </c>
    </row>
    <row r="111" spans="1:3">
      <c r="A111" s="4">
        <f t="shared" si="3"/>
        <v>102</v>
      </c>
      <c r="B111" s="726" t="s">
        <v>302</v>
      </c>
      <c r="C111" s="727" t="s">
        <v>303</v>
      </c>
    </row>
    <row r="112" spans="1:3">
      <c r="A112" s="4">
        <f t="shared" si="3"/>
        <v>103</v>
      </c>
      <c r="B112" s="726" t="s">
        <v>304</v>
      </c>
      <c r="C112" s="727" t="s">
        <v>305</v>
      </c>
    </row>
    <row r="113" spans="1:3">
      <c r="A113" s="4">
        <f t="shared" si="3"/>
        <v>104</v>
      </c>
      <c r="B113" s="726" t="s">
        <v>306</v>
      </c>
      <c r="C113" s="727" t="s">
        <v>307</v>
      </c>
    </row>
    <row r="114" spans="1:3">
      <c r="A114" s="4">
        <f t="shared" si="3"/>
        <v>105</v>
      </c>
      <c r="B114" s="726" t="s">
        <v>308</v>
      </c>
      <c r="C114" s="727" t="s">
        <v>309</v>
      </c>
    </row>
    <row r="115" spans="1:3">
      <c r="A115" s="4">
        <f t="shared" si="3"/>
        <v>106</v>
      </c>
      <c r="B115" s="726" t="s">
        <v>310</v>
      </c>
      <c r="C115" s="727" t="s">
        <v>311</v>
      </c>
    </row>
    <row r="116" spans="1:3">
      <c r="A116" s="4">
        <f t="shared" si="3"/>
        <v>107</v>
      </c>
      <c r="B116" s="726" t="s">
        <v>312</v>
      </c>
      <c r="C116" s="727" t="s">
        <v>313</v>
      </c>
    </row>
    <row r="117" spans="1:3">
      <c r="A117" s="4">
        <f t="shared" si="3"/>
        <v>108</v>
      </c>
      <c r="B117" s="726" t="s">
        <v>314</v>
      </c>
      <c r="C117" s="727" t="s">
        <v>315</v>
      </c>
    </row>
    <row r="118" spans="1:3">
      <c r="A118" s="4">
        <f t="shared" si="3"/>
        <v>109</v>
      </c>
      <c r="B118" s="726" t="s">
        <v>316</v>
      </c>
      <c r="C118" s="727" t="s">
        <v>317</v>
      </c>
    </row>
    <row r="119" spans="1:3">
      <c r="A119" s="4">
        <f t="shared" si="3"/>
        <v>110</v>
      </c>
      <c r="B119" s="726" t="s">
        <v>318</v>
      </c>
      <c r="C119" s="727" t="s">
        <v>319</v>
      </c>
    </row>
    <row r="120" spans="1:3">
      <c r="A120" s="4">
        <f t="shared" si="3"/>
        <v>111</v>
      </c>
      <c r="B120" s="726" t="s">
        <v>320</v>
      </c>
      <c r="C120" s="727" t="s">
        <v>321</v>
      </c>
    </row>
    <row r="121" spans="1:3">
      <c r="A121" s="4">
        <f t="shared" si="3"/>
        <v>112</v>
      </c>
      <c r="B121" s="726" t="s">
        <v>322</v>
      </c>
      <c r="C121" s="727" t="s">
        <v>323</v>
      </c>
    </row>
    <row r="122" spans="1:3">
      <c r="A122" s="4">
        <f t="shared" si="3"/>
        <v>113</v>
      </c>
      <c r="B122" s="726" t="s">
        <v>324</v>
      </c>
      <c r="C122" s="727" t="s">
        <v>325</v>
      </c>
    </row>
    <row r="123" spans="1:3">
      <c r="A123" s="4">
        <f t="shared" si="3"/>
        <v>114</v>
      </c>
      <c r="B123" s="726" t="s">
        <v>326</v>
      </c>
      <c r="C123" s="727" t="s">
        <v>327</v>
      </c>
    </row>
    <row r="124" spans="1:3">
      <c r="A124" s="4">
        <f t="shared" si="3"/>
        <v>115</v>
      </c>
      <c r="B124" s="726" t="s">
        <v>328</v>
      </c>
      <c r="C124" s="727" t="s">
        <v>329</v>
      </c>
    </row>
    <row r="125" spans="1:3">
      <c r="A125" s="4">
        <f t="shared" si="3"/>
        <v>116</v>
      </c>
      <c r="B125" s="726" t="s">
        <v>330</v>
      </c>
      <c r="C125" s="727" t="s">
        <v>331</v>
      </c>
    </row>
    <row r="126" spans="1:3">
      <c r="A126" s="4">
        <f t="shared" si="3"/>
        <v>117</v>
      </c>
      <c r="B126" s="726" t="s">
        <v>332</v>
      </c>
      <c r="C126" s="727" t="s">
        <v>333</v>
      </c>
    </row>
    <row r="127" spans="1:3">
      <c r="A127" s="4">
        <f t="shared" si="3"/>
        <v>118</v>
      </c>
      <c r="B127" s="726" t="s">
        <v>334</v>
      </c>
      <c r="C127" s="727" t="s">
        <v>335</v>
      </c>
    </row>
    <row r="128" spans="1:3">
      <c r="A128" s="4">
        <f t="shared" si="3"/>
        <v>119</v>
      </c>
      <c r="B128" s="726" t="s">
        <v>336</v>
      </c>
      <c r="C128" s="727" t="s">
        <v>337</v>
      </c>
    </row>
    <row r="129" spans="1:3">
      <c r="A129" s="4">
        <f t="shared" si="3"/>
        <v>120</v>
      </c>
      <c r="B129" s="726" t="s">
        <v>338</v>
      </c>
      <c r="C129" s="727" t="s">
        <v>339</v>
      </c>
    </row>
    <row r="130" spans="1:3">
      <c r="A130" s="4">
        <f t="shared" si="3"/>
        <v>121</v>
      </c>
      <c r="B130" s="726" t="s">
        <v>340</v>
      </c>
      <c r="C130" s="727" t="s">
        <v>341</v>
      </c>
    </row>
    <row r="131" spans="1:3">
      <c r="A131" s="4">
        <f t="shared" si="3"/>
        <v>122</v>
      </c>
      <c r="B131" s="726" t="s">
        <v>342</v>
      </c>
      <c r="C131" s="727" t="s">
        <v>343</v>
      </c>
    </row>
    <row r="132" spans="1:3">
      <c r="A132" s="4">
        <f t="shared" si="3"/>
        <v>123</v>
      </c>
      <c r="B132" s="726" t="s">
        <v>344</v>
      </c>
      <c r="C132" s="727" t="s">
        <v>345</v>
      </c>
    </row>
    <row r="133" spans="1:3">
      <c r="A133" s="4">
        <f t="shared" si="3"/>
        <v>124</v>
      </c>
      <c r="B133" s="726" t="s">
        <v>346</v>
      </c>
      <c r="C133" s="727" t="s">
        <v>347</v>
      </c>
    </row>
    <row r="134" spans="1:3">
      <c r="A134" s="4">
        <f t="shared" si="3"/>
        <v>125</v>
      </c>
      <c r="B134" s="726" t="s">
        <v>348</v>
      </c>
      <c r="C134" s="727" t="s">
        <v>349</v>
      </c>
    </row>
    <row r="135" spans="1:3">
      <c r="A135" s="4">
        <f t="shared" si="3"/>
        <v>126</v>
      </c>
      <c r="B135" s="726" t="s">
        <v>350</v>
      </c>
      <c r="C135" s="727" t="s">
        <v>351</v>
      </c>
    </row>
    <row r="136" spans="1:3">
      <c r="A136" s="4">
        <f t="shared" si="3"/>
        <v>127</v>
      </c>
      <c r="B136" s="726" t="s">
        <v>352</v>
      </c>
      <c r="C136" s="727" t="s">
        <v>353</v>
      </c>
    </row>
    <row r="137" spans="1:3">
      <c r="A137" s="4">
        <f t="shared" si="3"/>
        <v>128</v>
      </c>
      <c r="B137" s="726" t="s">
        <v>354</v>
      </c>
      <c r="C137" s="727" t="s">
        <v>355</v>
      </c>
    </row>
    <row r="138" spans="1:3">
      <c r="A138" s="4">
        <f t="shared" si="3"/>
        <v>129</v>
      </c>
      <c r="B138" s="726" t="s">
        <v>356</v>
      </c>
      <c r="C138" s="727" t="s">
        <v>357</v>
      </c>
    </row>
    <row r="139" spans="1:3">
      <c r="A139" s="4">
        <f t="shared" si="3"/>
        <v>130</v>
      </c>
      <c r="B139" s="726" t="s">
        <v>358</v>
      </c>
      <c r="C139" s="727" t="s">
        <v>359</v>
      </c>
    </row>
    <row r="140" spans="1:3">
      <c r="A140" s="4">
        <f t="shared" si="3"/>
        <v>131</v>
      </c>
      <c r="B140" s="726" t="s">
        <v>360</v>
      </c>
      <c r="C140" s="727" t="s">
        <v>361</v>
      </c>
    </row>
    <row r="141" spans="1:3">
      <c r="A141" s="4">
        <f t="shared" si="3"/>
        <v>132</v>
      </c>
      <c r="B141" s="726" t="s">
        <v>362</v>
      </c>
      <c r="C141" s="727" t="s">
        <v>363</v>
      </c>
    </row>
    <row r="142" spans="1:3">
      <c r="A142" s="4">
        <f t="shared" si="3"/>
        <v>133</v>
      </c>
      <c r="B142" s="726" t="s">
        <v>364</v>
      </c>
      <c r="C142" s="727" t="s">
        <v>365</v>
      </c>
    </row>
    <row r="143" spans="1:3">
      <c r="A143" s="4">
        <f t="shared" si="3"/>
        <v>134</v>
      </c>
      <c r="B143" s="726" t="s">
        <v>366</v>
      </c>
      <c r="C143" s="727" t="s">
        <v>367</v>
      </c>
    </row>
    <row r="144" spans="1:3">
      <c r="A144" s="4">
        <f t="shared" si="3"/>
        <v>135</v>
      </c>
      <c r="B144" s="726" t="s">
        <v>368</v>
      </c>
      <c r="C144" s="727" t="s">
        <v>369</v>
      </c>
    </row>
    <row r="145" spans="1:3">
      <c r="A145" s="4">
        <f t="shared" si="3"/>
        <v>136</v>
      </c>
      <c r="B145" s="726" t="s">
        <v>370</v>
      </c>
      <c r="C145" s="727" t="s">
        <v>371</v>
      </c>
    </row>
    <row r="146" spans="1:3">
      <c r="A146" s="4">
        <f t="shared" si="3"/>
        <v>137</v>
      </c>
      <c r="B146" s="726" t="s">
        <v>372</v>
      </c>
      <c r="C146" s="727" t="s">
        <v>373</v>
      </c>
    </row>
    <row r="147" spans="1:3">
      <c r="A147" s="4">
        <f t="shared" si="3"/>
        <v>138</v>
      </c>
      <c r="B147" s="726" t="s">
        <v>374</v>
      </c>
      <c r="C147" s="727" t="s">
        <v>375</v>
      </c>
    </row>
    <row r="148" spans="1:3">
      <c r="A148" s="4">
        <f t="shared" si="3"/>
        <v>139</v>
      </c>
      <c r="B148" s="726" t="s">
        <v>376</v>
      </c>
      <c r="C148" s="727" t="s">
        <v>377</v>
      </c>
    </row>
    <row r="149" spans="1:3">
      <c r="A149" s="4">
        <f t="shared" si="3"/>
        <v>140</v>
      </c>
      <c r="B149" s="726" t="s">
        <v>378</v>
      </c>
      <c r="C149" s="727" t="s">
        <v>379</v>
      </c>
    </row>
    <row r="150" spans="1:3">
      <c r="A150" s="4">
        <f t="shared" si="3"/>
        <v>141</v>
      </c>
      <c r="B150" s="726" t="s">
        <v>380</v>
      </c>
      <c r="C150" s="727" t="s">
        <v>381</v>
      </c>
    </row>
    <row r="151" spans="1:3">
      <c r="A151" s="4">
        <f t="shared" si="3"/>
        <v>142</v>
      </c>
      <c r="B151" s="726" t="s">
        <v>382</v>
      </c>
      <c r="C151" s="727" t="s">
        <v>383</v>
      </c>
    </row>
    <row r="152" spans="1:3">
      <c r="A152" s="4">
        <f t="shared" si="3"/>
        <v>143</v>
      </c>
      <c r="B152" s="726" t="s">
        <v>384</v>
      </c>
      <c r="C152" s="727" t="s">
        <v>385</v>
      </c>
    </row>
    <row r="153" spans="1:3">
      <c r="A153" s="4">
        <f t="shared" si="3"/>
        <v>144</v>
      </c>
      <c r="B153" s="726" t="s">
        <v>386</v>
      </c>
      <c r="C153" s="727" t="s">
        <v>387</v>
      </c>
    </row>
    <row r="154" spans="1:3">
      <c r="A154" s="4">
        <f t="shared" si="3"/>
        <v>145</v>
      </c>
      <c r="B154" s="726" t="s">
        <v>388</v>
      </c>
      <c r="C154" s="727" t="s">
        <v>389</v>
      </c>
    </row>
    <row r="155" spans="1:3">
      <c r="A155" s="4">
        <f t="shared" si="3"/>
        <v>146</v>
      </c>
      <c r="B155" s="726" t="s">
        <v>390</v>
      </c>
      <c r="C155" s="727" t="s">
        <v>391</v>
      </c>
    </row>
    <row r="156" spans="1:3">
      <c r="A156" s="4">
        <f t="shared" si="3"/>
        <v>147</v>
      </c>
      <c r="B156" s="726" t="s">
        <v>392</v>
      </c>
      <c r="C156" s="727" t="s">
        <v>393</v>
      </c>
    </row>
    <row r="157" spans="1:3">
      <c r="A157" s="4">
        <f t="shared" si="3"/>
        <v>148</v>
      </c>
      <c r="B157" s="726" t="s">
        <v>394</v>
      </c>
      <c r="C157" s="727" t="s">
        <v>395</v>
      </c>
    </row>
    <row r="158" spans="1:3">
      <c r="A158" s="4">
        <f t="shared" si="3"/>
        <v>149</v>
      </c>
      <c r="B158" s="726" t="s">
        <v>396</v>
      </c>
      <c r="C158" s="727" t="s">
        <v>397</v>
      </c>
    </row>
    <row r="159" spans="1:3">
      <c r="A159" s="4">
        <f t="shared" si="3"/>
        <v>150</v>
      </c>
      <c r="B159" s="726" t="s">
        <v>398</v>
      </c>
      <c r="C159" s="727" t="s">
        <v>399</v>
      </c>
    </row>
    <row r="160" spans="1:3">
      <c r="A160" s="4">
        <f t="shared" si="3"/>
        <v>151</v>
      </c>
      <c r="B160" s="726" t="s">
        <v>400</v>
      </c>
      <c r="C160" s="727" t="s">
        <v>401</v>
      </c>
    </row>
    <row r="161" spans="1:3">
      <c r="A161" s="4">
        <f t="shared" si="3"/>
        <v>152</v>
      </c>
      <c r="B161" s="726" t="s">
        <v>402</v>
      </c>
      <c r="C161" s="727" t="s">
        <v>403</v>
      </c>
    </row>
    <row r="162" spans="1:3">
      <c r="A162" s="4">
        <f t="shared" si="3"/>
        <v>153</v>
      </c>
      <c r="B162" s="726" t="s">
        <v>404</v>
      </c>
      <c r="C162" s="727" t="s">
        <v>405</v>
      </c>
    </row>
    <row r="163" spans="1:3">
      <c r="A163" s="4">
        <f t="shared" si="3"/>
        <v>154</v>
      </c>
      <c r="B163" s="726" t="s">
        <v>406</v>
      </c>
      <c r="C163" s="727" t="s">
        <v>407</v>
      </c>
    </row>
    <row r="164" spans="1:3">
      <c r="A164" s="4">
        <f t="shared" si="3"/>
        <v>155</v>
      </c>
      <c r="B164" s="726" t="s">
        <v>408</v>
      </c>
      <c r="C164" s="727" t="s">
        <v>409</v>
      </c>
    </row>
    <row r="165" spans="1:3">
      <c r="A165" s="4">
        <f t="shared" si="3"/>
        <v>156</v>
      </c>
      <c r="B165" s="726" t="s">
        <v>410</v>
      </c>
      <c r="C165" s="727" t="s">
        <v>411</v>
      </c>
    </row>
    <row r="166" spans="1:3">
      <c r="A166" s="4">
        <f t="shared" si="3"/>
        <v>157</v>
      </c>
      <c r="B166" s="726" t="s">
        <v>412</v>
      </c>
      <c r="C166" s="727" t="s">
        <v>413</v>
      </c>
    </row>
    <row r="167" spans="1:3">
      <c r="A167" s="4">
        <f t="shared" ref="A167:A230" si="4">A166+1</f>
        <v>158</v>
      </c>
      <c r="B167" s="726" t="s">
        <v>414</v>
      </c>
      <c r="C167" s="727" t="s">
        <v>415</v>
      </c>
    </row>
    <row r="168" spans="1:3">
      <c r="A168" s="4">
        <f t="shared" si="4"/>
        <v>159</v>
      </c>
      <c r="B168" s="726" t="s">
        <v>416</v>
      </c>
      <c r="C168" s="727" t="s">
        <v>417</v>
      </c>
    </row>
    <row r="169" spans="1:3">
      <c r="A169" s="4">
        <f t="shared" si="4"/>
        <v>160</v>
      </c>
      <c r="B169" s="726" t="s">
        <v>418</v>
      </c>
      <c r="C169" s="727" t="s">
        <v>419</v>
      </c>
    </row>
    <row r="170" spans="1:3">
      <c r="A170" s="4">
        <f t="shared" si="4"/>
        <v>161</v>
      </c>
      <c r="B170" s="726" t="s">
        <v>420</v>
      </c>
      <c r="C170" s="727" t="s">
        <v>421</v>
      </c>
    </row>
    <row r="171" spans="1:3">
      <c r="A171" s="4">
        <f t="shared" si="4"/>
        <v>162</v>
      </c>
      <c r="B171" s="726" t="s">
        <v>422</v>
      </c>
      <c r="C171" s="727" t="s">
        <v>423</v>
      </c>
    </row>
    <row r="172" spans="1:3">
      <c r="A172" s="4">
        <f t="shared" si="4"/>
        <v>163</v>
      </c>
      <c r="B172" s="726" t="s">
        <v>424</v>
      </c>
      <c r="C172" s="727" t="s">
        <v>425</v>
      </c>
    </row>
    <row r="173" spans="1:3">
      <c r="A173" s="4">
        <f t="shared" si="4"/>
        <v>164</v>
      </c>
      <c r="B173" s="726" t="s">
        <v>426</v>
      </c>
      <c r="C173" s="727" t="s">
        <v>427</v>
      </c>
    </row>
    <row r="174" spans="1:3">
      <c r="A174" s="4">
        <f t="shared" si="4"/>
        <v>165</v>
      </c>
      <c r="B174" s="726" t="s">
        <v>428</v>
      </c>
      <c r="C174" s="727" t="s">
        <v>429</v>
      </c>
    </row>
    <row r="175" spans="1:3">
      <c r="A175" s="4">
        <f t="shared" si="4"/>
        <v>166</v>
      </c>
      <c r="B175" s="726" t="s">
        <v>430</v>
      </c>
      <c r="C175" s="727" t="s">
        <v>431</v>
      </c>
    </row>
    <row r="176" spans="1:3">
      <c r="A176" s="4">
        <f t="shared" si="4"/>
        <v>167</v>
      </c>
      <c r="B176" s="726" t="s">
        <v>432</v>
      </c>
      <c r="C176" s="727" t="s">
        <v>433</v>
      </c>
    </row>
    <row r="177" spans="1:3">
      <c r="A177" s="4">
        <f t="shared" si="4"/>
        <v>168</v>
      </c>
      <c r="B177" s="726" t="s">
        <v>434</v>
      </c>
      <c r="C177" s="727" t="s">
        <v>435</v>
      </c>
    </row>
    <row r="178" spans="1:3">
      <c r="A178" s="4">
        <f t="shared" si="4"/>
        <v>169</v>
      </c>
      <c r="B178" s="726" t="s">
        <v>436</v>
      </c>
      <c r="C178" s="727" t="s">
        <v>437</v>
      </c>
    </row>
    <row r="179" spans="1:3">
      <c r="A179" s="4">
        <f t="shared" si="4"/>
        <v>170</v>
      </c>
      <c r="B179" s="726" t="s">
        <v>438</v>
      </c>
      <c r="C179" s="727" t="s">
        <v>439</v>
      </c>
    </row>
    <row r="180" spans="1:3">
      <c r="A180" s="4">
        <f t="shared" si="4"/>
        <v>171</v>
      </c>
      <c r="B180" s="726" t="s">
        <v>440</v>
      </c>
      <c r="C180" s="727" t="s">
        <v>441</v>
      </c>
    </row>
    <row r="181" spans="1:3">
      <c r="A181" s="4">
        <f t="shared" si="4"/>
        <v>172</v>
      </c>
      <c r="B181" s="726" t="s">
        <v>442</v>
      </c>
      <c r="C181" s="727" t="s">
        <v>443</v>
      </c>
    </row>
    <row r="182" spans="1:3">
      <c r="A182" s="4">
        <f t="shared" si="4"/>
        <v>173</v>
      </c>
      <c r="B182" s="726" t="s">
        <v>444</v>
      </c>
      <c r="C182" s="727" t="s">
        <v>445</v>
      </c>
    </row>
    <row r="183" spans="1:3">
      <c r="A183" s="4">
        <f t="shared" si="4"/>
        <v>174</v>
      </c>
      <c r="B183" s="726" t="s">
        <v>446</v>
      </c>
      <c r="C183" s="727" t="s">
        <v>447</v>
      </c>
    </row>
    <row r="184" spans="1:3">
      <c r="A184" s="4">
        <f t="shared" si="4"/>
        <v>175</v>
      </c>
      <c r="B184" s="726" t="s">
        <v>448</v>
      </c>
      <c r="C184" s="727" t="s">
        <v>449</v>
      </c>
    </row>
    <row r="185" spans="1:3">
      <c r="A185" s="4">
        <f t="shared" si="4"/>
        <v>176</v>
      </c>
      <c r="B185" s="726" t="s">
        <v>450</v>
      </c>
      <c r="C185" s="727" t="s">
        <v>451</v>
      </c>
    </row>
    <row r="186" spans="1:3">
      <c r="A186" s="4">
        <f t="shared" si="4"/>
        <v>177</v>
      </c>
      <c r="B186" s="726" t="s">
        <v>452</v>
      </c>
      <c r="C186" s="727" t="s">
        <v>453</v>
      </c>
    </row>
    <row r="187" spans="1:3">
      <c r="A187" s="4">
        <f t="shared" si="4"/>
        <v>178</v>
      </c>
      <c r="B187" s="726" t="s">
        <v>454</v>
      </c>
      <c r="C187" s="727" t="s">
        <v>455</v>
      </c>
    </row>
    <row r="188" spans="1:3">
      <c r="A188" s="4">
        <f t="shared" si="4"/>
        <v>179</v>
      </c>
      <c r="B188" s="726" t="s">
        <v>456</v>
      </c>
      <c r="C188" s="727" t="s">
        <v>457</v>
      </c>
    </row>
    <row r="189" spans="1:3">
      <c r="A189" s="4">
        <f t="shared" si="4"/>
        <v>180</v>
      </c>
      <c r="B189" s="726" t="s">
        <v>458</v>
      </c>
      <c r="C189" s="727" t="s">
        <v>459</v>
      </c>
    </row>
    <row r="190" spans="1:3">
      <c r="A190" s="4">
        <f t="shared" si="4"/>
        <v>181</v>
      </c>
      <c r="B190" s="726" t="s">
        <v>460</v>
      </c>
      <c r="C190" s="727" t="s">
        <v>461</v>
      </c>
    </row>
    <row r="191" spans="1:3">
      <c r="A191" s="4">
        <f t="shared" si="4"/>
        <v>182</v>
      </c>
      <c r="B191" s="726" t="s">
        <v>462</v>
      </c>
      <c r="C191" s="727" t="s">
        <v>463</v>
      </c>
    </row>
    <row r="192" spans="1:3">
      <c r="A192" s="4">
        <f t="shared" si="4"/>
        <v>183</v>
      </c>
      <c r="B192" s="726" t="s">
        <v>464</v>
      </c>
      <c r="C192" s="727" t="s">
        <v>465</v>
      </c>
    </row>
    <row r="193" spans="1:3">
      <c r="A193" s="4">
        <f t="shared" si="4"/>
        <v>184</v>
      </c>
      <c r="B193" s="726" t="s">
        <v>466</v>
      </c>
      <c r="C193" s="727" t="s">
        <v>467</v>
      </c>
    </row>
    <row r="194" spans="1:3">
      <c r="A194" s="4">
        <f t="shared" si="4"/>
        <v>185</v>
      </c>
      <c r="B194" s="726" t="s">
        <v>468</v>
      </c>
      <c r="C194" s="727" t="s">
        <v>469</v>
      </c>
    </row>
    <row r="195" spans="1:3">
      <c r="A195" s="4">
        <f t="shared" si="4"/>
        <v>186</v>
      </c>
      <c r="B195" s="726" t="s">
        <v>470</v>
      </c>
      <c r="C195" s="727" t="s">
        <v>471</v>
      </c>
    </row>
    <row r="196" spans="1:3">
      <c r="A196" s="4">
        <f t="shared" si="4"/>
        <v>187</v>
      </c>
      <c r="B196" s="726" t="s">
        <v>472</v>
      </c>
      <c r="C196" s="727" t="s">
        <v>473</v>
      </c>
    </row>
    <row r="197" spans="1:3">
      <c r="A197" s="4">
        <f t="shared" si="4"/>
        <v>188</v>
      </c>
      <c r="B197" s="726" t="s">
        <v>474</v>
      </c>
      <c r="C197" s="727" t="s">
        <v>475</v>
      </c>
    </row>
    <row r="198" spans="1:3">
      <c r="A198" s="4">
        <f t="shared" si="4"/>
        <v>189</v>
      </c>
      <c r="B198" s="726" t="s">
        <v>476</v>
      </c>
      <c r="C198" s="727" t="s">
        <v>477</v>
      </c>
    </row>
    <row r="199" spans="1:3">
      <c r="A199" s="4">
        <f t="shared" si="4"/>
        <v>190</v>
      </c>
      <c r="B199" s="726" t="s">
        <v>478</v>
      </c>
      <c r="C199" s="727" t="s">
        <v>479</v>
      </c>
    </row>
    <row r="200" spans="1:3">
      <c r="A200" s="4">
        <f t="shared" si="4"/>
        <v>191</v>
      </c>
      <c r="B200" s="726" t="s">
        <v>480</v>
      </c>
      <c r="C200" s="727" t="s">
        <v>481</v>
      </c>
    </row>
    <row r="201" spans="1:3">
      <c r="A201" s="4">
        <f t="shared" si="4"/>
        <v>192</v>
      </c>
      <c r="B201" s="726" t="s">
        <v>482</v>
      </c>
      <c r="C201" s="727" t="s">
        <v>483</v>
      </c>
    </row>
    <row r="202" spans="1:3">
      <c r="A202" s="4">
        <f t="shared" si="4"/>
        <v>193</v>
      </c>
      <c r="B202" s="726" t="s">
        <v>484</v>
      </c>
      <c r="C202" s="727" t="s">
        <v>485</v>
      </c>
    </row>
    <row r="203" spans="1:3">
      <c r="A203" s="4">
        <f t="shared" si="4"/>
        <v>194</v>
      </c>
      <c r="B203" s="726" t="s">
        <v>486</v>
      </c>
      <c r="C203" s="727" t="s">
        <v>487</v>
      </c>
    </row>
    <row r="204" spans="1:3">
      <c r="A204" s="4">
        <f t="shared" si="4"/>
        <v>195</v>
      </c>
      <c r="B204" s="726" t="s">
        <v>488</v>
      </c>
      <c r="C204" s="727" t="s">
        <v>489</v>
      </c>
    </row>
    <row r="205" spans="1:3">
      <c r="A205" s="4">
        <f t="shared" si="4"/>
        <v>196</v>
      </c>
      <c r="B205" s="726" t="s">
        <v>490</v>
      </c>
      <c r="C205" s="727" t="s">
        <v>491</v>
      </c>
    </row>
    <row r="206" spans="1:3">
      <c r="A206" s="4">
        <f t="shared" si="4"/>
        <v>197</v>
      </c>
      <c r="B206" s="726" t="s">
        <v>492</v>
      </c>
      <c r="C206" s="727" t="s">
        <v>493</v>
      </c>
    </row>
    <row r="207" spans="1:3">
      <c r="A207" s="4">
        <f t="shared" si="4"/>
        <v>198</v>
      </c>
      <c r="B207" s="726" t="s">
        <v>499</v>
      </c>
      <c r="C207" s="727" t="s">
        <v>500</v>
      </c>
    </row>
    <row r="208" spans="1:3">
      <c r="A208" s="4">
        <f t="shared" si="4"/>
        <v>199</v>
      </c>
      <c r="B208" s="726" t="s">
        <v>501</v>
      </c>
      <c r="C208" s="727" t="s">
        <v>502</v>
      </c>
    </row>
    <row r="209" spans="1:3">
      <c r="A209" s="4">
        <f t="shared" si="4"/>
        <v>200</v>
      </c>
      <c r="B209" s="726" t="s">
        <v>503</v>
      </c>
      <c r="C209" s="727" t="s">
        <v>504</v>
      </c>
    </row>
    <row r="210" spans="1:3">
      <c r="A210" s="4">
        <f t="shared" si="4"/>
        <v>201</v>
      </c>
      <c r="B210" s="726" t="s">
        <v>505</v>
      </c>
      <c r="C210" s="727" t="s">
        <v>506</v>
      </c>
    </row>
    <row r="211" spans="1:3">
      <c r="A211" s="4">
        <f t="shared" si="4"/>
        <v>202</v>
      </c>
      <c r="B211" s="726" t="s">
        <v>507</v>
      </c>
      <c r="C211" s="727" t="s">
        <v>508</v>
      </c>
    </row>
    <row r="212" spans="1:3">
      <c r="A212" s="4">
        <f t="shared" si="4"/>
        <v>203</v>
      </c>
      <c r="B212" s="726" t="s">
        <v>509</v>
      </c>
      <c r="C212" s="727" t="s">
        <v>510</v>
      </c>
    </row>
    <row r="213" spans="1:3">
      <c r="A213" s="4">
        <f t="shared" si="4"/>
        <v>204</v>
      </c>
      <c r="B213" s="726" t="s">
        <v>511</v>
      </c>
      <c r="C213" s="727" t="s">
        <v>512</v>
      </c>
    </row>
    <row r="214" spans="1:3">
      <c r="A214" s="4">
        <f t="shared" si="4"/>
        <v>205</v>
      </c>
      <c r="B214" s="726" t="s">
        <v>513</v>
      </c>
      <c r="C214" s="727" t="s">
        <v>514</v>
      </c>
    </row>
    <row r="215" spans="1:3">
      <c r="A215" s="4">
        <f t="shared" si="4"/>
        <v>206</v>
      </c>
      <c r="B215" s="726" t="s">
        <v>515</v>
      </c>
      <c r="C215" s="727" t="s">
        <v>516</v>
      </c>
    </row>
    <row r="216" spans="1:3">
      <c r="A216" s="4">
        <f t="shared" si="4"/>
        <v>207</v>
      </c>
      <c r="B216" s="726" t="s">
        <v>517</v>
      </c>
      <c r="C216" s="727" t="s">
        <v>518</v>
      </c>
    </row>
    <row r="217" spans="1:3">
      <c r="A217" s="4">
        <f t="shared" si="4"/>
        <v>208</v>
      </c>
      <c r="B217" s="726" t="s">
        <v>519</v>
      </c>
      <c r="C217" s="727" t="s">
        <v>520</v>
      </c>
    </row>
    <row r="218" spans="1:3">
      <c r="A218" s="4">
        <f t="shared" si="4"/>
        <v>209</v>
      </c>
      <c r="B218" s="726" t="s">
        <v>521</v>
      </c>
      <c r="C218" s="727" t="s">
        <v>522</v>
      </c>
    </row>
    <row r="219" spans="1:3">
      <c r="A219" s="4">
        <f t="shared" si="4"/>
        <v>210</v>
      </c>
      <c r="B219" s="726" t="s">
        <v>523</v>
      </c>
      <c r="C219" s="727" t="s">
        <v>524</v>
      </c>
    </row>
    <row r="220" spans="1:3">
      <c r="A220" s="4">
        <f t="shared" si="4"/>
        <v>211</v>
      </c>
      <c r="B220" s="726" t="s">
        <v>525</v>
      </c>
      <c r="C220" s="727" t="s">
        <v>526</v>
      </c>
    </row>
    <row r="221" spans="1:3">
      <c r="A221" s="4">
        <f t="shared" si="4"/>
        <v>212</v>
      </c>
      <c r="B221" s="726" t="s">
        <v>527</v>
      </c>
      <c r="C221" s="727" t="s">
        <v>528</v>
      </c>
    </row>
    <row r="222" spans="1:3">
      <c r="A222" s="4">
        <f t="shared" si="4"/>
        <v>213</v>
      </c>
      <c r="B222" s="726" t="s">
        <v>529</v>
      </c>
      <c r="C222" s="727" t="s">
        <v>530</v>
      </c>
    </row>
    <row r="223" spans="1:3">
      <c r="A223" s="4">
        <f t="shared" si="4"/>
        <v>214</v>
      </c>
      <c r="B223" s="726" t="s">
        <v>531</v>
      </c>
      <c r="C223" s="727" t="s">
        <v>532</v>
      </c>
    </row>
    <row r="224" spans="1:3">
      <c r="A224" s="4">
        <f t="shared" si="4"/>
        <v>215</v>
      </c>
      <c r="B224" s="726" t="s">
        <v>533</v>
      </c>
      <c r="C224" s="727" t="s">
        <v>534</v>
      </c>
    </row>
    <row r="225" spans="1:3">
      <c r="A225" s="4">
        <f t="shared" si="4"/>
        <v>216</v>
      </c>
      <c r="B225" s="726" t="s">
        <v>535</v>
      </c>
      <c r="C225" s="727" t="s">
        <v>536</v>
      </c>
    </row>
    <row r="226" spans="1:3">
      <c r="A226" s="4">
        <f t="shared" si="4"/>
        <v>217</v>
      </c>
      <c r="B226" s="726" t="s">
        <v>537</v>
      </c>
      <c r="C226" s="727" t="s">
        <v>538</v>
      </c>
    </row>
    <row r="227" spans="1:3">
      <c r="A227" s="4">
        <f t="shared" si="4"/>
        <v>218</v>
      </c>
      <c r="B227" s="726" t="s">
        <v>539</v>
      </c>
      <c r="C227" s="727" t="s">
        <v>540</v>
      </c>
    </row>
    <row r="228" spans="1:3">
      <c r="A228" s="4">
        <f t="shared" si="4"/>
        <v>219</v>
      </c>
      <c r="B228" s="726" t="s">
        <v>541</v>
      </c>
      <c r="C228" s="727" t="s">
        <v>542</v>
      </c>
    </row>
    <row r="229" spans="1:3">
      <c r="A229" s="4">
        <f t="shared" si="4"/>
        <v>220</v>
      </c>
      <c r="B229" s="726" t="s">
        <v>543</v>
      </c>
      <c r="C229" s="727" t="s">
        <v>544</v>
      </c>
    </row>
    <row r="230" spans="1:3">
      <c r="A230" s="4">
        <f t="shared" si="4"/>
        <v>221</v>
      </c>
      <c r="B230" s="726" t="s">
        <v>545</v>
      </c>
      <c r="C230" s="727" t="s">
        <v>546</v>
      </c>
    </row>
    <row r="231" spans="1:3">
      <c r="A231" s="4">
        <f t="shared" ref="A231:A249" si="5">A230+1</f>
        <v>222</v>
      </c>
      <c r="B231" s="726" t="s">
        <v>547</v>
      </c>
      <c r="C231" s="727" t="s">
        <v>548</v>
      </c>
    </row>
    <row r="232" spans="1:3">
      <c r="A232" s="4">
        <f t="shared" si="5"/>
        <v>223</v>
      </c>
      <c r="B232" s="726" t="s">
        <v>549</v>
      </c>
      <c r="C232" s="727" t="s">
        <v>550</v>
      </c>
    </row>
    <row r="233" spans="1:3">
      <c r="A233" s="4">
        <f t="shared" si="5"/>
        <v>224</v>
      </c>
      <c r="B233" s="726" t="s">
        <v>551</v>
      </c>
      <c r="C233" s="727" t="s">
        <v>552</v>
      </c>
    </row>
    <row r="234" spans="1:3">
      <c r="A234" s="4">
        <f t="shared" si="5"/>
        <v>225</v>
      </c>
      <c r="B234" s="726" t="s">
        <v>553</v>
      </c>
      <c r="C234" s="727" t="s">
        <v>554</v>
      </c>
    </row>
    <row r="235" spans="1:3">
      <c r="A235" s="4">
        <f t="shared" si="5"/>
        <v>226</v>
      </c>
      <c r="B235" s="726" t="s">
        <v>555</v>
      </c>
      <c r="C235" s="727" t="s">
        <v>556</v>
      </c>
    </row>
    <row r="236" spans="1:3">
      <c r="A236" s="4">
        <f t="shared" si="5"/>
        <v>227</v>
      </c>
      <c r="B236" s="726" t="s">
        <v>557</v>
      </c>
      <c r="C236" s="727" t="s">
        <v>558</v>
      </c>
    </row>
    <row r="237" spans="1:3">
      <c r="A237" s="4">
        <f t="shared" si="5"/>
        <v>228</v>
      </c>
      <c r="B237" s="726" t="s">
        <v>559</v>
      </c>
      <c r="C237" s="727" t="s">
        <v>560</v>
      </c>
    </row>
    <row r="238" spans="1:3">
      <c r="A238" s="4">
        <f t="shared" si="5"/>
        <v>229</v>
      </c>
      <c r="B238" s="726" t="s">
        <v>561</v>
      </c>
      <c r="C238" s="727" t="s">
        <v>562</v>
      </c>
    </row>
    <row r="239" spans="1:3">
      <c r="A239" s="4">
        <f t="shared" si="5"/>
        <v>230</v>
      </c>
      <c r="B239" s="726" t="s">
        <v>563</v>
      </c>
      <c r="C239" s="727" t="s">
        <v>564</v>
      </c>
    </row>
    <row r="240" spans="1:3">
      <c r="A240" s="4">
        <f t="shared" si="5"/>
        <v>231</v>
      </c>
      <c r="B240" s="726" t="s">
        <v>565</v>
      </c>
      <c r="C240" s="727" t="s">
        <v>566</v>
      </c>
    </row>
    <row r="241" spans="1:3">
      <c r="A241" s="4">
        <f t="shared" si="5"/>
        <v>232</v>
      </c>
      <c r="B241" s="726" t="s">
        <v>567</v>
      </c>
      <c r="C241" s="727" t="s">
        <v>568</v>
      </c>
    </row>
    <row r="242" spans="1:3">
      <c r="A242" s="4">
        <f t="shared" si="5"/>
        <v>233</v>
      </c>
      <c r="B242" s="726" t="s">
        <v>569</v>
      </c>
      <c r="C242" s="727" t="s">
        <v>570</v>
      </c>
    </row>
    <row r="243" spans="1:3">
      <c r="A243" s="4">
        <f t="shared" si="5"/>
        <v>234</v>
      </c>
      <c r="B243" s="726" t="s">
        <v>571</v>
      </c>
      <c r="C243" s="727" t="s">
        <v>572</v>
      </c>
    </row>
    <row r="244" spans="1:3">
      <c r="A244" s="4">
        <f t="shared" si="5"/>
        <v>235</v>
      </c>
      <c r="B244" s="726" t="s">
        <v>573</v>
      </c>
      <c r="C244" s="727" t="s">
        <v>574</v>
      </c>
    </row>
    <row r="245" spans="1:3">
      <c r="A245" s="4">
        <f t="shared" si="5"/>
        <v>236</v>
      </c>
      <c r="B245" s="726" t="s">
        <v>575</v>
      </c>
      <c r="C245" s="727" t="s">
        <v>576</v>
      </c>
    </row>
    <row r="246" spans="1:3">
      <c r="A246" s="4">
        <f t="shared" si="5"/>
        <v>237</v>
      </c>
      <c r="B246" s="726" t="s">
        <v>577</v>
      </c>
      <c r="C246" s="727" t="s">
        <v>578</v>
      </c>
    </row>
    <row r="247" spans="1:3">
      <c r="A247" s="4">
        <f t="shared" si="5"/>
        <v>238</v>
      </c>
      <c r="B247" s="726" t="s">
        <v>579</v>
      </c>
      <c r="C247" s="727" t="s">
        <v>580</v>
      </c>
    </row>
    <row r="248" spans="1:3">
      <c r="A248" s="4">
        <f t="shared" si="5"/>
        <v>239</v>
      </c>
      <c r="B248" s="726" t="s">
        <v>581</v>
      </c>
      <c r="C248" s="727" t="s">
        <v>582</v>
      </c>
    </row>
    <row r="249" spans="1:3" ht="13.5" thickBot="1">
      <c r="A249" s="4">
        <f t="shared" si="5"/>
        <v>240</v>
      </c>
      <c r="B249" s="728" t="s">
        <v>583</v>
      </c>
      <c r="C249" s="729" t="s">
        <v>584</v>
      </c>
    </row>
    <row r="250" spans="1:3">
      <c r="C250" s="567"/>
    </row>
  </sheetData>
  <phoneticPr fontId="23"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sheetPr codeName="Sheet15" enableFormatConditionsCalculation="0">
    <tabColor indexed="16"/>
  </sheetPr>
  <dimension ref="A1:BB46"/>
  <sheetViews>
    <sheetView showGridLines="0" view="pageBreakPreview" zoomScale="85" zoomScaleNormal="60" workbookViewId="0">
      <pane xSplit="3" ySplit="8" topLeftCell="D9" activePane="bottomRight" state="frozen"/>
      <selection activeCell="F47" sqref="F47"/>
      <selection pane="topRight" activeCell="F47" sqref="F47"/>
      <selection pane="bottomLeft" activeCell="F47" sqref="F47"/>
      <selection pane="bottomRight" activeCell="F2" sqref="F2"/>
    </sheetView>
  </sheetViews>
  <sheetFormatPr defaultRowHeight="12.75"/>
  <cols>
    <col min="1" max="1" width="4.140625" style="220" bestFit="1" customWidth="1"/>
    <col min="2" max="2" width="20.85546875" style="53" customWidth="1"/>
    <col min="3" max="3" width="24.42578125" style="53" customWidth="1"/>
    <col min="4" max="4" width="8.5703125" style="53" customWidth="1"/>
    <col min="5" max="5" width="12.42578125" style="4" customWidth="1"/>
    <col min="6" max="6" width="17.42578125" style="4" bestFit="1" customWidth="1"/>
    <col min="7" max="7" width="17.7109375" style="4" bestFit="1" customWidth="1"/>
    <col min="8" max="8" width="13.7109375" style="4" bestFit="1" customWidth="1"/>
    <col min="9" max="9" width="11.140625" style="50" bestFit="1" customWidth="1"/>
    <col min="10" max="10" width="14.42578125" style="53" bestFit="1" customWidth="1"/>
    <col min="11" max="12" width="9.28515625" style="53" bestFit="1" customWidth="1"/>
    <col min="13" max="13" width="10" style="4" bestFit="1" customWidth="1"/>
    <col min="14" max="14" width="13.42578125" style="4" customWidth="1"/>
    <col min="15" max="15" width="12.5703125" style="4" customWidth="1"/>
    <col min="16" max="16" width="10.5703125" style="4" bestFit="1" customWidth="1"/>
    <col min="17" max="17" width="8.5703125" style="4" bestFit="1" customWidth="1"/>
    <col min="18" max="18" width="9" style="4" bestFit="1" customWidth="1"/>
    <col min="19" max="19" width="14.42578125" style="53" bestFit="1" customWidth="1"/>
    <col min="20" max="21" width="9.28515625" style="53" bestFit="1" customWidth="1"/>
    <col min="22" max="22" width="10" style="4" bestFit="1" customWidth="1"/>
    <col min="23" max="23" width="13.42578125" style="4" customWidth="1"/>
    <col min="24" max="24" width="12.5703125" style="4" customWidth="1"/>
    <col min="25" max="25" width="10.5703125" style="4" bestFit="1" customWidth="1"/>
    <col min="26" max="26" width="8.5703125" style="4" bestFit="1" customWidth="1"/>
    <col min="27" max="27" width="10.5703125" style="4" bestFit="1" customWidth="1"/>
    <col min="28" max="28" width="14.42578125" style="53" bestFit="1" customWidth="1"/>
    <col min="29" max="30" width="9.28515625" style="53" bestFit="1" customWidth="1"/>
    <col min="31" max="31" width="10" style="4" bestFit="1" customWidth="1"/>
    <col min="32" max="32" width="13.42578125" style="4" customWidth="1"/>
    <col min="33" max="33" width="12.5703125" style="4" customWidth="1"/>
    <col min="34" max="34" width="10.5703125" style="4" bestFit="1" customWidth="1"/>
    <col min="35" max="35" width="8.5703125" style="4" bestFit="1" customWidth="1"/>
    <col min="36" max="36" width="10.5703125" style="4" bestFit="1" customWidth="1"/>
    <col min="37" max="37" width="14.42578125" style="53" bestFit="1" customWidth="1"/>
    <col min="38" max="39" width="9.28515625" style="53" bestFit="1" customWidth="1"/>
    <col min="40" max="40" width="10" style="4" bestFit="1" customWidth="1"/>
    <col min="41" max="41" width="13.42578125" style="4" customWidth="1"/>
    <col min="42" max="42" width="12.5703125" style="4" customWidth="1"/>
    <col min="43" max="43" width="10.5703125" style="4" bestFit="1" customWidth="1"/>
    <col min="44" max="44" width="8.5703125" style="4" bestFit="1" customWidth="1"/>
    <col min="45" max="45" width="10.5703125" style="4" bestFit="1" customWidth="1"/>
    <col min="46" max="46" width="14.42578125" style="53" bestFit="1" customWidth="1"/>
    <col min="47" max="48" width="9.28515625" style="53" bestFit="1" customWidth="1"/>
    <col min="49" max="49" width="10" style="4" bestFit="1" customWidth="1"/>
    <col min="50" max="50" width="13.42578125" style="4" customWidth="1"/>
    <col min="51" max="51" width="12.5703125" style="4" customWidth="1"/>
    <col min="52" max="52" width="10.5703125" style="4" bestFit="1" customWidth="1"/>
    <col min="53" max="53" width="8.5703125" style="4" bestFit="1" customWidth="1"/>
    <col min="54" max="54" width="10.5703125" style="4" bestFit="1" customWidth="1"/>
    <col min="55" max="16384" width="9.140625" style="4"/>
  </cols>
  <sheetData>
    <row r="1" spans="1:54">
      <c r="A1" s="568"/>
      <c r="B1" s="569" t="s">
        <v>666</v>
      </c>
      <c r="C1" s="569" t="str">
        <f>InputSheet!D1</f>
        <v>NCSA HQ 7010</v>
      </c>
      <c r="D1" s="54"/>
      <c r="E1" s="44"/>
      <c r="F1" s="44"/>
      <c r="G1" s="44"/>
      <c r="H1" s="44"/>
      <c r="J1" s="54"/>
      <c r="K1" s="54"/>
      <c r="L1" s="54"/>
      <c r="M1" s="44"/>
      <c r="N1" s="44"/>
      <c r="O1" s="44"/>
      <c r="P1" s="44"/>
      <c r="Q1" s="44"/>
      <c r="S1" s="54"/>
      <c r="T1" s="54"/>
      <c r="U1" s="54"/>
      <c r="V1" s="44"/>
      <c r="W1" s="44"/>
      <c r="X1" s="44"/>
      <c r="Y1" s="44"/>
      <c r="Z1" s="44"/>
      <c r="AB1" s="54"/>
      <c r="AC1" s="54"/>
      <c r="AD1" s="54"/>
      <c r="AE1" s="44"/>
      <c r="AF1" s="44"/>
      <c r="AG1" s="44"/>
      <c r="AH1" s="44"/>
      <c r="AI1" s="44"/>
      <c r="AK1" s="54"/>
      <c r="AL1" s="54"/>
      <c r="AM1" s="54"/>
      <c r="AN1" s="44"/>
      <c r="AO1" s="44"/>
      <c r="AP1" s="44"/>
      <c r="AQ1" s="44"/>
      <c r="AR1" s="44"/>
      <c r="AT1" s="54"/>
      <c r="AU1" s="54"/>
      <c r="AV1" s="54"/>
      <c r="AW1" s="44"/>
      <c r="AX1" s="44"/>
      <c r="AY1" s="44"/>
      <c r="AZ1" s="44"/>
      <c r="BA1" s="44"/>
    </row>
    <row r="2" spans="1:54">
      <c r="A2" s="568"/>
      <c r="B2" s="569" t="s">
        <v>612</v>
      </c>
      <c r="C2" s="569" t="str">
        <f>InputSheet!D2</f>
        <v>CIS Consultant Services</v>
      </c>
      <c r="D2" s="54"/>
      <c r="E2" s="44"/>
      <c r="F2" s="44"/>
      <c r="G2" s="44"/>
      <c r="H2" s="44"/>
      <c r="J2" s="54"/>
      <c r="K2" s="54"/>
      <c r="L2" s="54"/>
      <c r="M2" s="44"/>
      <c r="N2" s="44"/>
      <c r="O2" s="44"/>
      <c r="P2" s="44"/>
      <c r="Q2" s="44"/>
      <c r="S2" s="620"/>
      <c r="T2" s="620"/>
      <c r="U2" s="806"/>
      <c r="V2" s="8"/>
      <c r="W2" s="8"/>
      <c r="X2" s="8"/>
      <c r="Y2" s="8"/>
      <c r="Z2" s="8"/>
      <c r="AA2" s="8"/>
      <c r="AB2" s="54"/>
      <c r="AC2" s="54"/>
      <c r="AD2" s="54"/>
      <c r="AE2" s="44"/>
      <c r="AF2" s="44"/>
      <c r="AG2" s="44"/>
      <c r="AH2" s="44"/>
      <c r="AI2" s="44"/>
      <c r="AK2" s="54"/>
      <c r="AL2" s="54"/>
      <c r="AM2" s="54"/>
      <c r="AN2" s="44"/>
      <c r="AO2" s="44"/>
      <c r="AP2" s="44"/>
      <c r="AQ2" s="44"/>
      <c r="AR2" s="44"/>
      <c r="AT2" s="54"/>
      <c r="AU2" s="54"/>
      <c r="AV2" s="54"/>
      <c r="AW2" s="44"/>
      <c r="AX2" s="44"/>
      <c r="AY2" s="44"/>
      <c r="AZ2" s="44"/>
      <c r="BA2" s="44"/>
    </row>
    <row r="3" spans="1:54">
      <c r="A3" s="568"/>
      <c r="B3" s="569" t="s">
        <v>611</v>
      </c>
      <c r="C3" s="569" t="str">
        <f>InputSheet!D3</f>
        <v>ManTech Telecommunications and Information Systems Corporation</v>
      </c>
      <c r="D3" s="54"/>
      <c r="E3" s="44"/>
      <c r="F3" s="44"/>
      <c r="G3" s="44"/>
      <c r="H3" s="44"/>
      <c r="J3" s="54"/>
      <c r="K3" s="54"/>
      <c r="L3" s="54"/>
      <c r="M3" s="44"/>
      <c r="N3" s="44"/>
      <c r="O3" s="44"/>
      <c r="P3" s="44"/>
      <c r="Q3" s="44"/>
      <c r="S3" s="54"/>
      <c r="T3" s="54"/>
      <c r="U3" s="54"/>
      <c r="V3" s="44"/>
      <c r="W3" s="44"/>
      <c r="X3" s="44"/>
      <c r="Y3" s="44"/>
      <c r="Z3" s="44"/>
      <c r="AB3" s="54"/>
      <c r="AC3" s="54"/>
      <c r="AD3" s="54"/>
      <c r="AE3" s="44"/>
      <c r="AF3" s="44"/>
      <c r="AG3" s="44"/>
      <c r="AH3" s="44"/>
      <c r="AI3" s="44"/>
      <c r="AK3" s="54"/>
      <c r="AL3" s="54"/>
      <c r="AM3" s="54"/>
      <c r="AN3" s="44"/>
      <c r="AO3" s="44"/>
      <c r="AP3" s="44"/>
      <c r="AQ3" s="44"/>
      <c r="AR3" s="44"/>
      <c r="AT3" s="54"/>
      <c r="AU3" s="54"/>
      <c r="AV3" s="54"/>
      <c r="AW3" s="44"/>
      <c r="AX3" s="44"/>
      <c r="AY3" s="44"/>
      <c r="AZ3" s="44"/>
      <c r="BA3" s="44"/>
    </row>
    <row r="4" spans="1:54" ht="12.75" customHeight="1" thickBot="1">
      <c r="A4" s="568"/>
      <c r="B4" s="569" t="s">
        <v>610</v>
      </c>
      <c r="C4" s="569" t="str">
        <f>InputSheet!D4</f>
        <v>P-12246</v>
      </c>
      <c r="D4" s="54"/>
      <c r="E4" s="45"/>
      <c r="F4" s="570"/>
      <c r="G4" s="45"/>
      <c r="H4" s="45"/>
      <c r="J4" s="571"/>
      <c r="K4" s="571"/>
      <c r="L4" s="571"/>
      <c r="M4" s="45"/>
      <c r="N4" s="45"/>
      <c r="O4" s="570"/>
      <c r="P4" s="45"/>
      <c r="Q4" s="45"/>
      <c r="S4" s="571"/>
      <c r="T4" s="571"/>
      <c r="U4" s="571"/>
      <c r="V4" s="45"/>
      <c r="W4" s="45"/>
      <c r="X4" s="570"/>
      <c r="Y4" s="45"/>
      <c r="Z4" s="45"/>
      <c r="AB4" s="571"/>
      <c r="AC4" s="571"/>
      <c r="AD4" s="571"/>
      <c r="AE4" s="45"/>
      <c r="AF4" s="45"/>
      <c r="AG4" s="570"/>
      <c r="AH4" s="45"/>
      <c r="AI4" s="45"/>
      <c r="AK4" s="571"/>
      <c r="AL4" s="571"/>
      <c r="AM4" s="571"/>
      <c r="AN4" s="45"/>
      <c r="AO4" s="45"/>
      <c r="AP4" s="570"/>
      <c r="AQ4" s="45"/>
      <c r="AR4" s="45"/>
      <c r="AT4" s="571"/>
      <c r="AU4" s="571"/>
      <c r="AV4" s="571"/>
      <c r="AW4" s="45"/>
      <c r="AX4" s="45"/>
      <c r="AY4" s="570"/>
      <c r="AZ4" s="45"/>
      <c r="BA4" s="45"/>
    </row>
    <row r="5" spans="1:54" s="367" customFormat="1" ht="12.75" customHeight="1">
      <c r="A5" s="572"/>
      <c r="B5" s="573"/>
      <c r="C5" s="573"/>
      <c r="D5" s="573"/>
      <c r="E5" s="574"/>
      <c r="F5" s="575"/>
      <c r="G5" s="574"/>
      <c r="H5" s="574"/>
      <c r="I5" s="576"/>
      <c r="J5" s="573"/>
      <c r="K5" s="573"/>
      <c r="L5" s="573"/>
      <c r="M5" s="574"/>
      <c r="N5" s="574"/>
      <c r="O5" s="575"/>
      <c r="P5" s="574"/>
      <c r="Q5" s="574"/>
      <c r="S5" s="573"/>
      <c r="T5" s="573"/>
      <c r="U5" s="573"/>
      <c r="V5" s="574"/>
      <c r="W5" s="574"/>
      <c r="X5" s="575"/>
      <c r="Y5" s="574"/>
      <c r="Z5" s="574"/>
      <c r="AB5" s="573"/>
      <c r="AC5" s="573"/>
      <c r="AD5" s="573"/>
      <c r="AE5" s="574"/>
      <c r="AF5" s="574"/>
      <c r="AG5" s="575"/>
      <c r="AH5" s="574"/>
      <c r="AI5" s="574"/>
      <c r="AK5" s="573"/>
      <c r="AL5" s="573"/>
      <c r="AM5" s="573"/>
      <c r="AN5" s="574"/>
      <c r="AO5" s="574"/>
      <c r="AP5" s="575"/>
      <c r="AQ5" s="574"/>
      <c r="AR5" s="574"/>
      <c r="AT5" s="573"/>
      <c r="AU5" s="573"/>
      <c r="AV5" s="573"/>
      <c r="AW5" s="574"/>
      <c r="AX5" s="574"/>
      <c r="AY5" s="575"/>
      <c r="AZ5" s="574"/>
      <c r="BA5" s="574"/>
    </row>
    <row r="6" spans="1:54" ht="16.5" thickBot="1">
      <c r="B6" s="577" t="s">
        <v>738</v>
      </c>
      <c r="C6" s="55"/>
      <c r="D6" s="55"/>
      <c r="E6" s="44"/>
      <c r="F6" s="44"/>
      <c r="G6" s="44"/>
      <c r="H6" s="44"/>
      <c r="J6" s="55"/>
      <c r="K6" s="578"/>
      <c r="L6" s="55"/>
      <c r="M6" s="44"/>
      <c r="N6" s="44"/>
      <c r="O6" s="44"/>
      <c r="P6" s="44"/>
      <c r="Q6" s="44"/>
      <c r="S6" s="55"/>
      <c r="T6" s="578"/>
      <c r="U6" s="55"/>
      <c r="V6" s="44"/>
      <c r="W6" s="44"/>
      <c r="X6" s="44"/>
      <c r="Y6" s="44"/>
      <c r="Z6" s="44"/>
      <c r="AB6" s="55"/>
      <c r="AC6" s="578"/>
      <c r="AD6" s="55"/>
      <c r="AE6" s="44"/>
      <c r="AF6" s="44"/>
      <c r="AG6" s="44"/>
      <c r="AH6" s="44"/>
      <c r="AI6" s="44"/>
      <c r="AK6" s="55"/>
      <c r="AL6" s="578"/>
      <c r="AM6" s="55"/>
      <c r="AN6" s="44"/>
      <c r="AO6" s="44"/>
      <c r="AP6" s="44"/>
      <c r="AQ6" s="44"/>
      <c r="AR6" s="44"/>
      <c r="AT6" s="55"/>
      <c r="AU6" s="578"/>
      <c r="AV6" s="55"/>
      <c r="AW6" s="44"/>
      <c r="AX6" s="44"/>
      <c r="AY6" s="44"/>
      <c r="AZ6" s="44"/>
      <c r="BA6" s="44"/>
    </row>
    <row r="7" spans="1:54" s="580" customFormat="1" ht="13.5" thickBot="1">
      <c r="A7" s="568"/>
      <c r="B7" s="3"/>
      <c r="C7" s="579"/>
      <c r="D7" s="579"/>
      <c r="E7" s="1211" t="s">
        <v>739</v>
      </c>
      <c r="F7" s="1212"/>
      <c r="G7" s="1212"/>
      <c r="H7" s="1212"/>
      <c r="I7" s="1213"/>
      <c r="J7" s="1208" t="str">
        <f>'Year 1'!$E$8</f>
        <v>Base Year</v>
      </c>
      <c r="K7" s="1209"/>
      <c r="L7" s="1209"/>
      <c r="M7" s="1209"/>
      <c r="N7" s="1209"/>
      <c r="O7" s="1209"/>
      <c r="P7" s="1209"/>
      <c r="Q7" s="1209"/>
      <c r="R7" s="1210"/>
      <c r="S7" s="1208" t="str">
        <f>'Year 1'!$E$8</f>
        <v>Base Year</v>
      </c>
      <c r="T7" s="1209"/>
      <c r="U7" s="1209"/>
      <c r="V7" s="1209"/>
      <c r="W7" s="1209"/>
      <c r="X7" s="1209"/>
      <c r="Y7" s="1209"/>
      <c r="Z7" s="1209"/>
      <c r="AA7" s="1210"/>
      <c r="AB7" s="1208" t="str">
        <f>'Year 1'!$E$8</f>
        <v>Base Year</v>
      </c>
      <c r="AC7" s="1209"/>
      <c r="AD7" s="1209"/>
      <c r="AE7" s="1209"/>
      <c r="AF7" s="1209"/>
      <c r="AG7" s="1209"/>
      <c r="AH7" s="1209"/>
      <c r="AI7" s="1209"/>
      <c r="AJ7" s="1210"/>
      <c r="AK7" s="1208" t="str">
        <f>'Year 1'!$E$8</f>
        <v>Base Year</v>
      </c>
      <c r="AL7" s="1209"/>
      <c r="AM7" s="1209"/>
      <c r="AN7" s="1209"/>
      <c r="AO7" s="1209"/>
      <c r="AP7" s="1209"/>
      <c r="AQ7" s="1209"/>
      <c r="AR7" s="1209"/>
      <c r="AS7" s="1210"/>
      <c r="AT7" s="1208" t="str">
        <f>'Year 1'!$E$8</f>
        <v>Base Year</v>
      </c>
      <c r="AU7" s="1209"/>
      <c r="AV7" s="1209"/>
      <c r="AW7" s="1209"/>
      <c r="AX7" s="1209"/>
      <c r="AY7" s="1209"/>
      <c r="AZ7" s="1209"/>
      <c r="BA7" s="1209"/>
      <c r="BB7" s="1210"/>
    </row>
    <row r="8" spans="1:54" s="580" customFormat="1" ht="52.9" customHeight="1" thickBot="1">
      <c r="A8" s="568"/>
      <c r="B8" s="221" t="s">
        <v>608</v>
      </c>
      <c r="C8" s="217" t="s">
        <v>740</v>
      </c>
      <c r="D8" s="224" t="s">
        <v>628</v>
      </c>
      <c r="E8" s="236" t="s">
        <v>602</v>
      </c>
      <c r="F8" s="230" t="s">
        <v>741</v>
      </c>
      <c r="G8" s="230" t="s">
        <v>742</v>
      </c>
      <c r="H8" s="231" t="s">
        <v>743</v>
      </c>
      <c r="I8" s="235" t="s">
        <v>744</v>
      </c>
      <c r="J8" s="229" t="s">
        <v>745</v>
      </c>
      <c r="K8" s="230" t="s">
        <v>746</v>
      </c>
      <c r="L8" s="230" t="s">
        <v>747</v>
      </c>
      <c r="M8" s="230" t="s">
        <v>748</v>
      </c>
      <c r="N8" s="231" t="s">
        <v>602</v>
      </c>
      <c r="O8" s="230" t="s">
        <v>741</v>
      </c>
      <c r="P8" s="230" t="s">
        <v>742</v>
      </c>
      <c r="Q8" s="234" t="s">
        <v>743</v>
      </c>
      <c r="R8" s="235" t="s">
        <v>744</v>
      </c>
      <c r="S8" s="229" t="s">
        <v>745</v>
      </c>
      <c r="T8" s="230" t="s">
        <v>746</v>
      </c>
      <c r="U8" s="230" t="s">
        <v>747</v>
      </c>
      <c r="V8" s="230" t="s">
        <v>748</v>
      </c>
      <c r="W8" s="231" t="s">
        <v>602</v>
      </c>
      <c r="X8" s="230" t="s">
        <v>741</v>
      </c>
      <c r="Y8" s="230" t="s">
        <v>742</v>
      </c>
      <c r="Z8" s="234" t="s">
        <v>743</v>
      </c>
      <c r="AA8" s="235" t="s">
        <v>744</v>
      </c>
      <c r="AB8" s="229" t="s">
        <v>745</v>
      </c>
      <c r="AC8" s="230" t="s">
        <v>746</v>
      </c>
      <c r="AD8" s="230" t="s">
        <v>747</v>
      </c>
      <c r="AE8" s="230" t="s">
        <v>748</v>
      </c>
      <c r="AF8" s="231" t="s">
        <v>602</v>
      </c>
      <c r="AG8" s="230" t="s">
        <v>741</v>
      </c>
      <c r="AH8" s="230" t="s">
        <v>742</v>
      </c>
      <c r="AI8" s="234" t="s">
        <v>743</v>
      </c>
      <c r="AJ8" s="235" t="s">
        <v>744</v>
      </c>
      <c r="AK8" s="229" t="s">
        <v>745</v>
      </c>
      <c r="AL8" s="230" t="s">
        <v>746</v>
      </c>
      <c r="AM8" s="230" t="s">
        <v>747</v>
      </c>
      <c r="AN8" s="230" t="s">
        <v>748</v>
      </c>
      <c r="AO8" s="231" t="s">
        <v>602</v>
      </c>
      <c r="AP8" s="230" t="s">
        <v>741</v>
      </c>
      <c r="AQ8" s="230" t="s">
        <v>742</v>
      </c>
      <c r="AR8" s="234" t="s">
        <v>743</v>
      </c>
      <c r="AS8" s="235" t="s">
        <v>744</v>
      </c>
      <c r="AT8" s="229" t="s">
        <v>745</v>
      </c>
      <c r="AU8" s="230" t="s">
        <v>746</v>
      </c>
      <c r="AV8" s="230" t="s">
        <v>747</v>
      </c>
      <c r="AW8" s="230" t="s">
        <v>748</v>
      </c>
      <c r="AX8" s="231" t="s">
        <v>602</v>
      </c>
      <c r="AY8" s="230" t="s">
        <v>741</v>
      </c>
      <c r="AZ8" s="230" t="s">
        <v>742</v>
      </c>
      <c r="BA8" s="234" t="s">
        <v>743</v>
      </c>
      <c r="BB8" s="235" t="s">
        <v>744</v>
      </c>
    </row>
    <row r="9" spans="1:54" s="582" customFormat="1" ht="15" customHeight="1">
      <c r="A9" s="581"/>
      <c r="B9" s="894"/>
      <c r="C9" s="895"/>
      <c r="D9" s="896"/>
      <c r="E9" s="897"/>
      <c r="F9" s="898"/>
      <c r="G9" s="898"/>
      <c r="H9" s="898"/>
      <c r="I9" s="899"/>
      <c r="J9" s="900" t="str">
        <f>J7&amp;J8</f>
        <v>Base YearGSA 
Schedule Rate</v>
      </c>
      <c r="K9" s="901" t="str">
        <f>J7&amp;K8</f>
        <v>Base YearDiscount %</v>
      </c>
      <c r="L9" s="901" t="str">
        <f>J7&amp;L8</f>
        <v>Base YearDiscount Rate</v>
      </c>
      <c r="M9" s="902">
        <v>7.4999999999999997E-3</v>
      </c>
      <c r="N9" s="898" t="str">
        <f>J7&amp;N8</f>
        <v>Base YearHours</v>
      </c>
      <c r="O9" s="898" t="str">
        <f>J7&amp;O8</f>
        <v>Base YearTotal Price</v>
      </c>
      <c r="P9" s="898" t="str">
        <f>J7&amp;P8</f>
        <v>Base YearTotal Cost</v>
      </c>
      <c r="Q9" s="898" t="str">
        <f>J7&amp;Q8</f>
        <v>Base YearProfit $</v>
      </c>
      <c r="R9" s="903" t="str">
        <f>J7&amp;R8</f>
        <v>Base YearProfit %</v>
      </c>
      <c r="S9" s="900" t="str">
        <f>S7&amp;S8</f>
        <v>Base YearGSA 
Schedule Rate</v>
      </c>
      <c r="T9" s="901" t="str">
        <f>S7&amp;T8</f>
        <v>Base YearDiscount %</v>
      </c>
      <c r="U9" s="901" t="str">
        <f>S7&amp;U8</f>
        <v>Base YearDiscount Rate</v>
      </c>
      <c r="V9" s="902">
        <v>7.4999999999999997E-3</v>
      </c>
      <c r="W9" s="898" t="str">
        <f>S7&amp;W8</f>
        <v>Base YearHours</v>
      </c>
      <c r="X9" s="898" t="str">
        <f>S7&amp;X8</f>
        <v>Base YearTotal Price</v>
      </c>
      <c r="Y9" s="898" t="str">
        <f>S7&amp;Y8</f>
        <v>Base YearTotal Cost</v>
      </c>
      <c r="Z9" s="898" t="str">
        <f>S7&amp;Z8</f>
        <v>Base YearProfit $</v>
      </c>
      <c r="AA9" s="903" t="str">
        <f>S7&amp;AA8</f>
        <v>Base YearProfit %</v>
      </c>
      <c r="AB9" s="900" t="str">
        <f>AB7&amp;AB8</f>
        <v>Base YearGSA 
Schedule Rate</v>
      </c>
      <c r="AC9" s="901" t="str">
        <f>AB7&amp;AC8</f>
        <v>Base YearDiscount %</v>
      </c>
      <c r="AD9" s="901" t="str">
        <f>AB7&amp;AD8</f>
        <v>Base YearDiscount Rate</v>
      </c>
      <c r="AE9" s="902">
        <f>V9</f>
        <v>7.4999999999999997E-3</v>
      </c>
      <c r="AF9" s="898" t="str">
        <f>AB7&amp;AF8</f>
        <v>Base YearHours</v>
      </c>
      <c r="AG9" s="898" t="str">
        <f>AB7&amp;AG8</f>
        <v>Base YearTotal Price</v>
      </c>
      <c r="AH9" s="898" t="str">
        <f>AB7&amp;AH8</f>
        <v>Base YearTotal Cost</v>
      </c>
      <c r="AI9" s="898" t="str">
        <f>AB7&amp;AI8</f>
        <v>Base YearProfit $</v>
      </c>
      <c r="AJ9" s="903" t="str">
        <f>AB7&amp;AJ8</f>
        <v>Base YearProfit %</v>
      </c>
      <c r="AK9" s="900" t="str">
        <f>AK7&amp;AK8</f>
        <v>Base YearGSA 
Schedule Rate</v>
      </c>
      <c r="AL9" s="901" t="str">
        <f>AK7&amp;AL8</f>
        <v>Base YearDiscount %</v>
      </c>
      <c r="AM9" s="901" t="str">
        <f>AK7&amp;AM8</f>
        <v>Base YearDiscount Rate</v>
      </c>
      <c r="AN9" s="902">
        <f>AE9</f>
        <v>7.4999999999999997E-3</v>
      </c>
      <c r="AO9" s="898" t="str">
        <f>AK7&amp;AO8</f>
        <v>Base YearHours</v>
      </c>
      <c r="AP9" s="898" t="str">
        <f>AK7&amp;AP8</f>
        <v>Base YearTotal Price</v>
      </c>
      <c r="AQ9" s="898" t="str">
        <f>AK7&amp;AQ8</f>
        <v>Base YearTotal Cost</v>
      </c>
      <c r="AR9" s="898" t="str">
        <f>AK7&amp;AR8</f>
        <v>Base YearProfit $</v>
      </c>
      <c r="AS9" s="903" t="str">
        <f>AK7&amp;AS8</f>
        <v>Base YearProfit %</v>
      </c>
      <c r="AT9" s="900" t="str">
        <f>AT7&amp;AT8</f>
        <v>Base YearGSA 
Schedule Rate</v>
      </c>
      <c r="AU9" s="901" t="str">
        <f>AT7&amp;AU8</f>
        <v>Base YearDiscount %</v>
      </c>
      <c r="AV9" s="901" t="str">
        <f>AT7&amp;AV8</f>
        <v>Base YearDiscount Rate</v>
      </c>
      <c r="AW9" s="902">
        <f>AN9</f>
        <v>7.4999999999999997E-3</v>
      </c>
      <c r="AX9" s="898" t="str">
        <f>AT7&amp;AX8</f>
        <v>Base YearHours</v>
      </c>
      <c r="AY9" s="898" t="str">
        <f>AT7&amp;AY8</f>
        <v>Base YearTotal Price</v>
      </c>
      <c r="AZ9" s="898" t="str">
        <f>AT7&amp;AZ8</f>
        <v>Base YearTotal Cost</v>
      </c>
      <c r="BA9" s="898" t="str">
        <f>AT7&amp;BA8</f>
        <v>Base YearProfit $</v>
      </c>
      <c r="BB9" s="903" t="str">
        <f>AT7&amp;BB8</f>
        <v>Base YearProfit %</v>
      </c>
    </row>
    <row r="10" spans="1:54" s="28" customFormat="1">
      <c r="A10" s="583">
        <v>1</v>
      </c>
      <c r="B10" s="584" t="str">
        <f t="shared" ref="B10:B29" si="0">VLOOKUP(A10,DL,2,FALSE)</f>
        <v xml:space="preserve">LAN/Wan Engineer </v>
      </c>
      <c r="C10" s="233" t="s">
        <v>752</v>
      </c>
      <c r="D10" s="585" t="str">
        <f>VLOOKUP($A10,'Year 1'!$D$32:$AE$50,9,FALSE)</f>
        <v>Govt</v>
      </c>
      <c r="E10" s="586">
        <f t="shared" ref="E10:G29" si="1">SUMIF($J$8:$IV$8,E$8,$J10:$IV10)</f>
        <v>0</v>
      </c>
      <c r="F10" s="587">
        <f t="shared" si="1"/>
        <v>0</v>
      </c>
      <c r="G10" s="587">
        <f t="shared" si="1"/>
        <v>0</v>
      </c>
      <c r="H10" s="588">
        <f t="shared" ref="H10:H29" si="2">F10-G10</f>
        <v>0</v>
      </c>
      <c r="I10" s="589">
        <f>IF(G10=0,0,(H10/G10))</f>
        <v>0</v>
      </c>
      <c r="J10" s="227">
        <v>0</v>
      </c>
      <c r="K10" s="222">
        <v>0</v>
      </c>
      <c r="L10" s="592">
        <f>ROUND(J10-(J10*K10),2)</f>
        <v>0</v>
      </c>
      <c r="M10" s="592">
        <f>IF((VLOOKUP($A10,'Year 1'!$D$32:$AE$50,19,FALSE))=0,0,((VLOOKUP($A10,'Year 1'!$D$32:$AE$50,19,FALSE))+(L10*$M$9)))</f>
        <v>1.4367816091954022</v>
      </c>
      <c r="N10" s="223">
        <v>0</v>
      </c>
      <c r="O10" s="587">
        <f>L10*N10</f>
        <v>0</v>
      </c>
      <c r="P10" s="587">
        <f>N10*M10</f>
        <v>0</v>
      </c>
      <c r="Q10" s="588">
        <f t="shared" ref="Q10:Q29" si="3">O10-P10</f>
        <v>0</v>
      </c>
      <c r="R10" s="594">
        <f>IF(P10=0,0,(Q10/P10))</f>
        <v>0</v>
      </c>
      <c r="S10" s="227">
        <v>0</v>
      </c>
      <c r="T10" s="222">
        <v>0</v>
      </c>
      <c r="U10" s="592">
        <f t="shared" ref="U10:U29" si="4">ROUND(S10-(S10*T10),2)</f>
        <v>0</v>
      </c>
      <c r="V10" s="592">
        <f>IF((VLOOKUP($A10,'Year 1'!$D$32:$AE$50,19,FALSE))=0,0,((VLOOKUP($A10,'Year 1'!$D$32:$AE$50,19,FALSE))+(U10*$M$9)))</f>
        <v>1.4367816091954022</v>
      </c>
      <c r="W10" s="223">
        <v>0</v>
      </c>
      <c r="X10" s="587">
        <f t="shared" ref="X10:X29" si="5">U10*W10</f>
        <v>0</v>
      </c>
      <c r="Y10" s="587">
        <f t="shared" ref="Y10:Y29" si="6">W10*V10</f>
        <v>0</v>
      </c>
      <c r="Z10" s="588">
        <f t="shared" ref="Z10:Z29" si="7">X10-Y10</f>
        <v>0</v>
      </c>
      <c r="AA10" s="594">
        <f t="shared" ref="AA10:AA29" si="8">IF(Y10=0,0,(Z10/Y10))</f>
        <v>0</v>
      </c>
      <c r="AB10" s="227">
        <v>0</v>
      </c>
      <c r="AC10" s="222">
        <v>0</v>
      </c>
      <c r="AD10" s="592">
        <f t="shared" ref="AD10:AD29" si="9">ROUND(AB10-(AB10*AC10),2)</f>
        <v>0</v>
      </c>
      <c r="AE10" s="592">
        <f>IF((VLOOKUP($A10,'Year 1'!$D$32:$AE$50,19,FALSE))=0,0,((VLOOKUP($A10,'Year 1'!$D$32:$AE$50,19,FALSE))+(AD10*$M$9)))</f>
        <v>1.4367816091954022</v>
      </c>
      <c r="AF10" s="223">
        <v>0</v>
      </c>
      <c r="AG10" s="587">
        <f t="shared" ref="AG10:AG29" si="10">AD10*AF10</f>
        <v>0</v>
      </c>
      <c r="AH10" s="587">
        <f t="shared" ref="AH10:AH29" si="11">AF10*AE10</f>
        <v>0</v>
      </c>
      <c r="AI10" s="588">
        <f t="shared" ref="AI10:AI29" si="12">AG10-AH10</f>
        <v>0</v>
      </c>
      <c r="AJ10" s="594">
        <f t="shared" ref="AJ10:AJ29" si="13">IF(AH10=0,0,(AI10/AH10))</f>
        <v>0</v>
      </c>
      <c r="AK10" s="227">
        <v>0</v>
      </c>
      <c r="AL10" s="222">
        <v>0</v>
      </c>
      <c r="AM10" s="592">
        <f t="shared" ref="AM10:AM29" si="14">ROUND(AK10-(AK10*AL10),2)</f>
        <v>0</v>
      </c>
      <c r="AN10" s="592">
        <f>IF((VLOOKUP($A10,'Year 1'!$D$32:$AE$50,19,FALSE))=0,0,((VLOOKUP($A10,'Year 1'!$D$32:$AE$50,19,FALSE))+(AM10*$M$9)))</f>
        <v>1.4367816091954022</v>
      </c>
      <c r="AO10" s="223">
        <v>0</v>
      </c>
      <c r="AP10" s="587">
        <f t="shared" ref="AP10:AP29" si="15">AM10*AO10</f>
        <v>0</v>
      </c>
      <c r="AQ10" s="587">
        <f t="shared" ref="AQ10:AQ29" si="16">AO10*AN10</f>
        <v>0</v>
      </c>
      <c r="AR10" s="588">
        <f t="shared" ref="AR10:AR29" si="17">AP10-AQ10</f>
        <v>0</v>
      </c>
      <c r="AS10" s="594">
        <f t="shared" ref="AS10:AS29" si="18">IF(AQ10=0,0,(AR10/AQ10))</f>
        <v>0</v>
      </c>
      <c r="AT10" s="227">
        <v>0</v>
      </c>
      <c r="AU10" s="222">
        <v>0</v>
      </c>
      <c r="AV10" s="592">
        <f t="shared" ref="AV10:AV29" si="19">ROUND(AT10-(AT10*AU10),2)</f>
        <v>0</v>
      </c>
      <c r="AW10" s="592">
        <f>IF((VLOOKUP($A10,'Year 1'!$D$32:$AE$50,19,FALSE))=0,0,((VLOOKUP($A10,'Year 1'!$D$32:$AE$50,19,FALSE))+(AV10*$M$9)))</f>
        <v>1.4367816091954022</v>
      </c>
      <c r="AX10" s="223">
        <v>0</v>
      </c>
      <c r="AY10" s="587">
        <f t="shared" ref="AY10:AY29" si="20">AV10*AX10</f>
        <v>0</v>
      </c>
      <c r="AZ10" s="587">
        <f t="shared" ref="AZ10:AZ29" si="21">AX10*AW10</f>
        <v>0</v>
      </c>
      <c r="BA10" s="588">
        <f t="shared" ref="BA10:BA29" si="22">AY10-AZ10</f>
        <v>0</v>
      </c>
      <c r="BB10" s="594">
        <f t="shared" ref="BB10:BB29" si="23">IF(AZ10=0,0,(BA10/AZ10))</f>
        <v>0</v>
      </c>
    </row>
    <row r="11" spans="1:54" s="28" customFormat="1">
      <c r="A11" s="583">
        <f t="shared" ref="A11:A29" si="24">A10+1</f>
        <v>2</v>
      </c>
      <c r="B11" s="584" t="str">
        <f t="shared" si="0"/>
        <v>Functional Services Administrator</v>
      </c>
      <c r="C11" s="233" t="s">
        <v>753</v>
      </c>
      <c r="D11" s="585" t="str">
        <f>VLOOKUP($A11,'Year 1'!$D$32:$AE$50,9,FALSE)</f>
        <v>Govt</v>
      </c>
      <c r="E11" s="586">
        <f t="shared" si="1"/>
        <v>0</v>
      </c>
      <c r="F11" s="587">
        <f t="shared" si="1"/>
        <v>0</v>
      </c>
      <c r="G11" s="587">
        <f t="shared" si="1"/>
        <v>0</v>
      </c>
      <c r="H11" s="588">
        <f t="shared" si="2"/>
        <v>0</v>
      </c>
      <c r="I11" s="589">
        <f t="shared" ref="I11:I29" si="25">IF(G11=0,0,(H11/G11))</f>
        <v>0</v>
      </c>
      <c r="J11" s="227">
        <v>0</v>
      </c>
      <c r="K11" s="222">
        <v>0</v>
      </c>
      <c r="L11" s="592">
        <f t="shared" ref="L11:L29" si="26">ROUND(J11-(J11*K11),2)</f>
        <v>0</v>
      </c>
      <c r="M11" s="592">
        <f>IF((VLOOKUP($A11,'Year 1'!$D$32:$AE$50,19,FALSE))=0,0,((VLOOKUP($A11,'Year 1'!$D$32:$AE$50,19,FALSE))+(L11*$M$9)))</f>
        <v>1.4367816091954022</v>
      </c>
      <c r="N11" s="223">
        <v>0</v>
      </c>
      <c r="O11" s="587">
        <f t="shared" ref="O11:O29" si="27">L11*N11</f>
        <v>0</v>
      </c>
      <c r="P11" s="587">
        <f t="shared" ref="P11:P29" si="28">N11*M11</f>
        <v>0</v>
      </c>
      <c r="Q11" s="588">
        <f t="shared" si="3"/>
        <v>0</v>
      </c>
      <c r="R11" s="594">
        <f t="shared" ref="R11:R29" si="29">IF(P11=0,0,(Q11/P11))</f>
        <v>0</v>
      </c>
      <c r="S11" s="227">
        <v>0</v>
      </c>
      <c r="T11" s="222">
        <v>0</v>
      </c>
      <c r="U11" s="592">
        <f t="shared" si="4"/>
        <v>0</v>
      </c>
      <c r="V11" s="592">
        <f>IF((VLOOKUP($A11,'Year 1'!$D$32:$AE$50,19,FALSE))=0,0,((VLOOKUP($A11,'Year 1'!$D$32:$AE$50,19,FALSE))+(U11*$M$9)))</f>
        <v>1.4367816091954022</v>
      </c>
      <c r="W11" s="223">
        <v>0</v>
      </c>
      <c r="X11" s="587">
        <f t="shared" si="5"/>
        <v>0</v>
      </c>
      <c r="Y11" s="587">
        <f t="shared" si="6"/>
        <v>0</v>
      </c>
      <c r="Z11" s="588">
        <f t="shared" si="7"/>
        <v>0</v>
      </c>
      <c r="AA11" s="594">
        <f t="shared" si="8"/>
        <v>0</v>
      </c>
      <c r="AB11" s="227">
        <v>0</v>
      </c>
      <c r="AC11" s="222">
        <v>0</v>
      </c>
      <c r="AD11" s="592">
        <f t="shared" si="9"/>
        <v>0</v>
      </c>
      <c r="AE11" s="592">
        <f>IF((VLOOKUP($A11,'Year 1'!$D$32:$AE$50,19,FALSE))=0,0,((VLOOKUP($A11,'Year 1'!$D$32:$AE$50,19,FALSE))+(AD11*$M$9)))</f>
        <v>1.4367816091954022</v>
      </c>
      <c r="AF11" s="223">
        <v>0</v>
      </c>
      <c r="AG11" s="587">
        <f t="shared" si="10"/>
        <v>0</v>
      </c>
      <c r="AH11" s="587">
        <f t="shared" si="11"/>
        <v>0</v>
      </c>
      <c r="AI11" s="588">
        <f t="shared" si="12"/>
        <v>0</v>
      </c>
      <c r="AJ11" s="594">
        <f t="shared" si="13"/>
        <v>0</v>
      </c>
      <c r="AK11" s="227">
        <v>0</v>
      </c>
      <c r="AL11" s="222">
        <v>0</v>
      </c>
      <c r="AM11" s="592">
        <f t="shared" si="14"/>
        <v>0</v>
      </c>
      <c r="AN11" s="592">
        <f>IF((VLOOKUP($A11,'Year 1'!$D$32:$AE$50,19,FALSE))=0,0,((VLOOKUP($A11,'Year 1'!$D$32:$AE$50,19,FALSE))+(AM11*$M$9)))</f>
        <v>1.4367816091954022</v>
      </c>
      <c r="AO11" s="223">
        <v>0</v>
      </c>
      <c r="AP11" s="587">
        <f t="shared" si="15"/>
        <v>0</v>
      </c>
      <c r="AQ11" s="587">
        <f t="shared" si="16"/>
        <v>0</v>
      </c>
      <c r="AR11" s="588">
        <f t="shared" si="17"/>
        <v>0</v>
      </c>
      <c r="AS11" s="594">
        <f t="shared" si="18"/>
        <v>0</v>
      </c>
      <c r="AT11" s="227">
        <v>0</v>
      </c>
      <c r="AU11" s="222">
        <v>0</v>
      </c>
      <c r="AV11" s="592">
        <f t="shared" si="19"/>
        <v>0</v>
      </c>
      <c r="AW11" s="592">
        <f>IF((VLOOKUP($A11,'Year 1'!$D$32:$AE$50,19,FALSE))=0,0,((VLOOKUP($A11,'Year 1'!$D$32:$AE$50,19,FALSE))+(AV11*$M$9)))</f>
        <v>1.4367816091954022</v>
      </c>
      <c r="AX11" s="223">
        <v>0</v>
      </c>
      <c r="AY11" s="587">
        <f t="shared" si="20"/>
        <v>0</v>
      </c>
      <c r="AZ11" s="587">
        <f t="shared" si="21"/>
        <v>0</v>
      </c>
      <c r="BA11" s="588">
        <f t="shared" si="22"/>
        <v>0</v>
      </c>
      <c r="BB11" s="594">
        <f t="shared" si="23"/>
        <v>0</v>
      </c>
    </row>
    <row r="12" spans="1:54" s="28" customFormat="1">
      <c r="A12" s="583">
        <f t="shared" si="24"/>
        <v>3</v>
      </c>
      <c r="B12" s="584" t="str">
        <f t="shared" si="0"/>
        <v>Functional Services Administrator</v>
      </c>
      <c r="C12" s="233" t="s">
        <v>754</v>
      </c>
      <c r="D12" s="585" t="str">
        <f>VLOOKUP($A12,'Year 1'!$D$32:$AE$50,9,FALSE)</f>
        <v>Govt</v>
      </c>
      <c r="E12" s="586">
        <f t="shared" si="1"/>
        <v>0</v>
      </c>
      <c r="F12" s="587">
        <f t="shared" si="1"/>
        <v>0</v>
      </c>
      <c r="G12" s="587">
        <f t="shared" si="1"/>
        <v>0</v>
      </c>
      <c r="H12" s="588">
        <f t="shared" si="2"/>
        <v>0</v>
      </c>
      <c r="I12" s="589">
        <f t="shared" si="25"/>
        <v>0</v>
      </c>
      <c r="J12" s="227">
        <v>0</v>
      </c>
      <c r="K12" s="222">
        <v>0</v>
      </c>
      <c r="L12" s="592">
        <f t="shared" si="26"/>
        <v>0</v>
      </c>
      <c r="M12" s="592">
        <f>IF((VLOOKUP($A12,'Year 1'!$D$32:$AE$50,19,FALSE))=0,0,((VLOOKUP($A12,'Year 1'!$D$32:$AE$50,19,FALSE))+(L12*$M$9)))</f>
        <v>1.4367816091954022</v>
      </c>
      <c r="N12" s="223">
        <v>0</v>
      </c>
      <c r="O12" s="587">
        <f t="shared" si="27"/>
        <v>0</v>
      </c>
      <c r="P12" s="587">
        <f t="shared" si="28"/>
        <v>0</v>
      </c>
      <c r="Q12" s="588">
        <f t="shared" si="3"/>
        <v>0</v>
      </c>
      <c r="R12" s="594">
        <f t="shared" si="29"/>
        <v>0</v>
      </c>
      <c r="S12" s="227">
        <v>0</v>
      </c>
      <c r="T12" s="222">
        <v>0</v>
      </c>
      <c r="U12" s="592">
        <f t="shared" si="4"/>
        <v>0</v>
      </c>
      <c r="V12" s="592">
        <f>IF((VLOOKUP($A12,'Year 1'!$D$32:$AE$50,19,FALSE))=0,0,((VLOOKUP($A12,'Year 1'!$D$32:$AE$50,19,FALSE))+(U12*$M$9)))</f>
        <v>1.4367816091954022</v>
      </c>
      <c r="W12" s="223">
        <v>0</v>
      </c>
      <c r="X12" s="587">
        <f t="shared" si="5"/>
        <v>0</v>
      </c>
      <c r="Y12" s="587">
        <f t="shared" si="6"/>
        <v>0</v>
      </c>
      <c r="Z12" s="588">
        <f t="shared" si="7"/>
        <v>0</v>
      </c>
      <c r="AA12" s="594">
        <f t="shared" si="8"/>
        <v>0</v>
      </c>
      <c r="AB12" s="227">
        <v>0</v>
      </c>
      <c r="AC12" s="222">
        <v>0</v>
      </c>
      <c r="AD12" s="592">
        <f t="shared" si="9"/>
        <v>0</v>
      </c>
      <c r="AE12" s="592">
        <f>IF((VLOOKUP($A12,'Year 1'!$D$32:$AE$50,19,FALSE))=0,0,((VLOOKUP($A12,'Year 1'!$D$32:$AE$50,19,FALSE))+(AD12*$M$9)))</f>
        <v>1.4367816091954022</v>
      </c>
      <c r="AF12" s="223">
        <v>0</v>
      </c>
      <c r="AG12" s="587">
        <f t="shared" si="10"/>
        <v>0</v>
      </c>
      <c r="AH12" s="587">
        <f t="shared" si="11"/>
        <v>0</v>
      </c>
      <c r="AI12" s="588">
        <f t="shared" si="12"/>
        <v>0</v>
      </c>
      <c r="AJ12" s="594">
        <f t="shared" si="13"/>
        <v>0</v>
      </c>
      <c r="AK12" s="227">
        <v>0</v>
      </c>
      <c r="AL12" s="222">
        <v>0</v>
      </c>
      <c r="AM12" s="592">
        <f t="shared" si="14"/>
        <v>0</v>
      </c>
      <c r="AN12" s="592">
        <f>IF((VLOOKUP($A12,'Year 1'!$D$32:$AE$50,19,FALSE))=0,0,((VLOOKUP($A12,'Year 1'!$D$32:$AE$50,19,FALSE))+(AM12*$M$9)))</f>
        <v>1.4367816091954022</v>
      </c>
      <c r="AO12" s="223">
        <v>0</v>
      </c>
      <c r="AP12" s="587">
        <f t="shared" si="15"/>
        <v>0</v>
      </c>
      <c r="AQ12" s="587">
        <f t="shared" si="16"/>
        <v>0</v>
      </c>
      <c r="AR12" s="588">
        <f t="shared" si="17"/>
        <v>0</v>
      </c>
      <c r="AS12" s="594">
        <f t="shared" si="18"/>
        <v>0</v>
      </c>
      <c r="AT12" s="227">
        <v>0</v>
      </c>
      <c r="AU12" s="222">
        <v>0</v>
      </c>
      <c r="AV12" s="592">
        <f t="shared" si="19"/>
        <v>0</v>
      </c>
      <c r="AW12" s="592">
        <f>IF((VLOOKUP($A12,'Year 1'!$D$32:$AE$50,19,FALSE))=0,0,((VLOOKUP($A12,'Year 1'!$D$32:$AE$50,19,FALSE))+(AV12*$M$9)))</f>
        <v>1.4367816091954022</v>
      </c>
      <c r="AX12" s="223">
        <v>0</v>
      </c>
      <c r="AY12" s="587">
        <f t="shared" si="20"/>
        <v>0</v>
      </c>
      <c r="AZ12" s="587">
        <f t="shared" si="21"/>
        <v>0</v>
      </c>
      <c r="BA12" s="588">
        <f t="shared" si="22"/>
        <v>0</v>
      </c>
      <c r="BB12" s="594">
        <f t="shared" si="23"/>
        <v>0</v>
      </c>
    </row>
    <row r="13" spans="1:54" s="28" customFormat="1">
      <c r="A13" s="583">
        <f t="shared" si="24"/>
        <v>4</v>
      </c>
      <c r="B13" s="584" t="str">
        <f t="shared" si="0"/>
        <v>Functional Services Administrator</v>
      </c>
      <c r="C13" s="233" t="s">
        <v>755</v>
      </c>
      <c r="D13" s="585" t="str">
        <f>VLOOKUP($A13,'Year 1'!$D$32:$AE$50,9,FALSE)</f>
        <v>Govt</v>
      </c>
      <c r="E13" s="586">
        <f t="shared" si="1"/>
        <v>0</v>
      </c>
      <c r="F13" s="587">
        <f t="shared" si="1"/>
        <v>0</v>
      </c>
      <c r="G13" s="587">
        <f t="shared" si="1"/>
        <v>0</v>
      </c>
      <c r="H13" s="588">
        <f t="shared" si="2"/>
        <v>0</v>
      </c>
      <c r="I13" s="589">
        <f t="shared" si="25"/>
        <v>0</v>
      </c>
      <c r="J13" s="227">
        <v>0</v>
      </c>
      <c r="K13" s="222">
        <v>0</v>
      </c>
      <c r="L13" s="592">
        <f t="shared" si="26"/>
        <v>0</v>
      </c>
      <c r="M13" s="592">
        <f>IF((VLOOKUP($A13,'Year 1'!$D$32:$AE$50,19,FALSE))=0,0,((VLOOKUP($A13,'Year 1'!$D$32:$AE$50,19,FALSE))+(L13*$M$9)))</f>
        <v>1.4367816091954022</v>
      </c>
      <c r="N13" s="223">
        <v>0</v>
      </c>
      <c r="O13" s="587">
        <f t="shared" si="27"/>
        <v>0</v>
      </c>
      <c r="P13" s="587">
        <f t="shared" si="28"/>
        <v>0</v>
      </c>
      <c r="Q13" s="588">
        <f t="shared" si="3"/>
        <v>0</v>
      </c>
      <c r="R13" s="594">
        <f t="shared" si="29"/>
        <v>0</v>
      </c>
      <c r="S13" s="227">
        <v>0</v>
      </c>
      <c r="T13" s="222">
        <v>0</v>
      </c>
      <c r="U13" s="592">
        <f t="shared" si="4"/>
        <v>0</v>
      </c>
      <c r="V13" s="592">
        <f>IF((VLOOKUP($A13,'Year 1'!$D$32:$AE$50,19,FALSE))=0,0,((VLOOKUP($A13,'Year 1'!$D$32:$AE$50,19,FALSE))+(U13*$M$9)))</f>
        <v>1.4367816091954022</v>
      </c>
      <c r="W13" s="223">
        <v>0</v>
      </c>
      <c r="X13" s="587">
        <f t="shared" si="5"/>
        <v>0</v>
      </c>
      <c r="Y13" s="587">
        <f t="shared" si="6"/>
        <v>0</v>
      </c>
      <c r="Z13" s="588">
        <f t="shared" si="7"/>
        <v>0</v>
      </c>
      <c r="AA13" s="594">
        <f t="shared" si="8"/>
        <v>0</v>
      </c>
      <c r="AB13" s="227">
        <v>0</v>
      </c>
      <c r="AC13" s="222">
        <v>0</v>
      </c>
      <c r="AD13" s="592">
        <f t="shared" si="9"/>
        <v>0</v>
      </c>
      <c r="AE13" s="592">
        <f>IF((VLOOKUP($A13,'Year 1'!$D$32:$AE$50,19,FALSE))=0,0,((VLOOKUP($A13,'Year 1'!$D$32:$AE$50,19,FALSE))+(AD13*$M$9)))</f>
        <v>1.4367816091954022</v>
      </c>
      <c r="AF13" s="223">
        <v>0</v>
      </c>
      <c r="AG13" s="587">
        <f t="shared" si="10"/>
        <v>0</v>
      </c>
      <c r="AH13" s="587">
        <f t="shared" si="11"/>
        <v>0</v>
      </c>
      <c r="AI13" s="588">
        <f t="shared" si="12"/>
        <v>0</v>
      </c>
      <c r="AJ13" s="594">
        <f t="shared" si="13"/>
        <v>0</v>
      </c>
      <c r="AK13" s="227">
        <v>0</v>
      </c>
      <c r="AL13" s="222">
        <v>0</v>
      </c>
      <c r="AM13" s="592">
        <f t="shared" si="14"/>
        <v>0</v>
      </c>
      <c r="AN13" s="592">
        <f>IF((VLOOKUP($A13,'Year 1'!$D$32:$AE$50,19,FALSE))=0,0,((VLOOKUP($A13,'Year 1'!$D$32:$AE$50,19,FALSE))+(AM13*$M$9)))</f>
        <v>1.4367816091954022</v>
      </c>
      <c r="AO13" s="223">
        <v>0</v>
      </c>
      <c r="AP13" s="587">
        <f t="shared" si="15"/>
        <v>0</v>
      </c>
      <c r="AQ13" s="587">
        <f t="shared" si="16"/>
        <v>0</v>
      </c>
      <c r="AR13" s="588">
        <f t="shared" si="17"/>
        <v>0</v>
      </c>
      <c r="AS13" s="594">
        <f t="shared" si="18"/>
        <v>0</v>
      </c>
      <c r="AT13" s="227">
        <v>0</v>
      </c>
      <c r="AU13" s="222">
        <v>0</v>
      </c>
      <c r="AV13" s="592">
        <f t="shared" si="19"/>
        <v>0</v>
      </c>
      <c r="AW13" s="592">
        <f>IF((VLOOKUP($A13,'Year 1'!$D$32:$AE$50,19,FALSE))=0,0,((VLOOKUP($A13,'Year 1'!$D$32:$AE$50,19,FALSE))+(AV13*$M$9)))</f>
        <v>1.4367816091954022</v>
      </c>
      <c r="AX13" s="223">
        <v>0</v>
      </c>
      <c r="AY13" s="587">
        <f t="shared" si="20"/>
        <v>0</v>
      </c>
      <c r="AZ13" s="587">
        <f t="shared" si="21"/>
        <v>0</v>
      </c>
      <c r="BA13" s="588">
        <f t="shared" si="22"/>
        <v>0</v>
      </c>
      <c r="BB13" s="594">
        <f t="shared" si="23"/>
        <v>0</v>
      </c>
    </row>
    <row r="14" spans="1:54" s="28" customFormat="1">
      <c r="A14" s="583">
        <f t="shared" si="24"/>
        <v>5</v>
      </c>
      <c r="B14" s="584" t="str">
        <f t="shared" si="0"/>
        <v>Service Desk</v>
      </c>
      <c r="C14" s="233" t="s">
        <v>756</v>
      </c>
      <c r="D14" s="585" t="str">
        <f>VLOOKUP($A14,'Year 1'!$D$32:$AE$50,9,FALSE)</f>
        <v>Govt</v>
      </c>
      <c r="E14" s="586">
        <f t="shared" si="1"/>
        <v>0</v>
      </c>
      <c r="F14" s="587">
        <f t="shared" si="1"/>
        <v>0</v>
      </c>
      <c r="G14" s="587">
        <f t="shared" si="1"/>
        <v>0</v>
      </c>
      <c r="H14" s="588">
        <f t="shared" si="2"/>
        <v>0</v>
      </c>
      <c r="I14" s="589">
        <f t="shared" si="25"/>
        <v>0</v>
      </c>
      <c r="J14" s="227">
        <v>0</v>
      </c>
      <c r="K14" s="222">
        <v>0</v>
      </c>
      <c r="L14" s="592">
        <f t="shared" si="26"/>
        <v>0</v>
      </c>
      <c r="M14" s="592">
        <f>IF((VLOOKUP($A14,'Year 1'!$D$32:$AE$50,19,FALSE))=0,0,((VLOOKUP($A14,'Year 1'!$D$32:$AE$50,19,FALSE))+(L14*$M$9)))</f>
        <v>1.4367816091954022</v>
      </c>
      <c r="N14" s="223">
        <v>0</v>
      </c>
      <c r="O14" s="587">
        <f t="shared" si="27"/>
        <v>0</v>
      </c>
      <c r="P14" s="587">
        <f t="shared" si="28"/>
        <v>0</v>
      </c>
      <c r="Q14" s="588">
        <f t="shared" si="3"/>
        <v>0</v>
      </c>
      <c r="R14" s="594">
        <f t="shared" si="29"/>
        <v>0</v>
      </c>
      <c r="S14" s="227">
        <v>0</v>
      </c>
      <c r="T14" s="222">
        <v>0</v>
      </c>
      <c r="U14" s="592">
        <f t="shared" si="4"/>
        <v>0</v>
      </c>
      <c r="V14" s="592">
        <f>IF((VLOOKUP($A14,'Year 1'!$D$32:$AE$50,19,FALSE))=0,0,((VLOOKUP($A14,'Year 1'!$D$32:$AE$50,19,FALSE))+(U14*$M$9)))</f>
        <v>1.4367816091954022</v>
      </c>
      <c r="W14" s="223">
        <v>0</v>
      </c>
      <c r="X14" s="587">
        <f t="shared" si="5"/>
        <v>0</v>
      </c>
      <c r="Y14" s="587">
        <f t="shared" si="6"/>
        <v>0</v>
      </c>
      <c r="Z14" s="588">
        <f t="shared" si="7"/>
        <v>0</v>
      </c>
      <c r="AA14" s="594">
        <f t="shared" si="8"/>
        <v>0</v>
      </c>
      <c r="AB14" s="227">
        <v>0</v>
      </c>
      <c r="AC14" s="222">
        <v>0</v>
      </c>
      <c r="AD14" s="592">
        <f t="shared" si="9"/>
        <v>0</v>
      </c>
      <c r="AE14" s="592">
        <f>IF((VLOOKUP($A14,'Year 1'!$D$32:$AE$50,19,FALSE))=0,0,((VLOOKUP($A14,'Year 1'!$D$32:$AE$50,19,FALSE))+(AD14*$M$9)))</f>
        <v>1.4367816091954022</v>
      </c>
      <c r="AF14" s="223">
        <v>0</v>
      </c>
      <c r="AG14" s="587">
        <f t="shared" si="10"/>
        <v>0</v>
      </c>
      <c r="AH14" s="587">
        <f t="shared" si="11"/>
        <v>0</v>
      </c>
      <c r="AI14" s="588">
        <f t="shared" si="12"/>
        <v>0</v>
      </c>
      <c r="AJ14" s="594">
        <f t="shared" si="13"/>
        <v>0</v>
      </c>
      <c r="AK14" s="227">
        <v>0</v>
      </c>
      <c r="AL14" s="222">
        <v>0</v>
      </c>
      <c r="AM14" s="592">
        <f t="shared" si="14"/>
        <v>0</v>
      </c>
      <c r="AN14" s="592">
        <f>IF((VLOOKUP($A14,'Year 1'!$D$32:$AE$50,19,FALSE))=0,0,((VLOOKUP($A14,'Year 1'!$D$32:$AE$50,19,FALSE))+(AM14*$M$9)))</f>
        <v>1.4367816091954022</v>
      </c>
      <c r="AO14" s="223">
        <v>0</v>
      </c>
      <c r="AP14" s="587">
        <f t="shared" si="15"/>
        <v>0</v>
      </c>
      <c r="AQ14" s="587">
        <f t="shared" si="16"/>
        <v>0</v>
      </c>
      <c r="AR14" s="588">
        <f t="shared" si="17"/>
        <v>0</v>
      </c>
      <c r="AS14" s="594">
        <f t="shared" si="18"/>
        <v>0</v>
      </c>
      <c r="AT14" s="227">
        <v>0</v>
      </c>
      <c r="AU14" s="222">
        <v>0</v>
      </c>
      <c r="AV14" s="592">
        <f t="shared" si="19"/>
        <v>0</v>
      </c>
      <c r="AW14" s="592">
        <f>IF((VLOOKUP($A14,'Year 1'!$D$32:$AE$50,19,FALSE))=0,0,((VLOOKUP($A14,'Year 1'!$D$32:$AE$50,19,FALSE))+(AV14*$M$9)))</f>
        <v>1.4367816091954022</v>
      </c>
      <c r="AX14" s="223">
        <v>0</v>
      </c>
      <c r="AY14" s="587">
        <f t="shared" si="20"/>
        <v>0</v>
      </c>
      <c r="AZ14" s="587">
        <f t="shared" si="21"/>
        <v>0</v>
      </c>
      <c r="BA14" s="588">
        <f t="shared" si="22"/>
        <v>0</v>
      </c>
      <c r="BB14" s="594">
        <f t="shared" si="23"/>
        <v>0</v>
      </c>
    </row>
    <row r="15" spans="1:54" s="28" customFormat="1">
      <c r="A15" s="583">
        <f t="shared" si="24"/>
        <v>6</v>
      </c>
      <c r="B15" s="584" t="str">
        <f t="shared" si="0"/>
        <v>Service Desk</v>
      </c>
      <c r="C15" s="233" t="s">
        <v>757</v>
      </c>
      <c r="D15" s="585" t="str">
        <f>VLOOKUP($A15,'Year 1'!$D$32:$AE$50,9,FALSE)</f>
        <v>Govt</v>
      </c>
      <c r="E15" s="586">
        <f t="shared" si="1"/>
        <v>0</v>
      </c>
      <c r="F15" s="587">
        <f t="shared" si="1"/>
        <v>0</v>
      </c>
      <c r="G15" s="587">
        <f t="shared" si="1"/>
        <v>0</v>
      </c>
      <c r="H15" s="588">
        <f t="shared" si="2"/>
        <v>0</v>
      </c>
      <c r="I15" s="589">
        <f t="shared" si="25"/>
        <v>0</v>
      </c>
      <c r="J15" s="227">
        <v>0</v>
      </c>
      <c r="K15" s="222">
        <v>0</v>
      </c>
      <c r="L15" s="592">
        <f t="shared" si="26"/>
        <v>0</v>
      </c>
      <c r="M15" s="592">
        <f>IF((VLOOKUP($A15,'Year 1'!$D$32:$AE$50,19,FALSE))=0,0,((VLOOKUP($A15,'Year 1'!$D$32:$AE$50,19,FALSE))+(L15*$M$9)))</f>
        <v>1.4367816091954022</v>
      </c>
      <c r="N15" s="223">
        <v>0</v>
      </c>
      <c r="O15" s="587">
        <f t="shared" si="27"/>
        <v>0</v>
      </c>
      <c r="P15" s="587">
        <f t="shared" si="28"/>
        <v>0</v>
      </c>
      <c r="Q15" s="588">
        <f t="shared" si="3"/>
        <v>0</v>
      </c>
      <c r="R15" s="594">
        <f t="shared" si="29"/>
        <v>0</v>
      </c>
      <c r="S15" s="227">
        <v>0</v>
      </c>
      <c r="T15" s="222">
        <v>0</v>
      </c>
      <c r="U15" s="592">
        <f t="shared" si="4"/>
        <v>0</v>
      </c>
      <c r="V15" s="592">
        <f>IF((VLOOKUP($A15,'Year 1'!$D$32:$AE$50,19,FALSE))=0,0,((VLOOKUP($A15,'Year 1'!$D$32:$AE$50,19,FALSE))+(U15*$M$9)))</f>
        <v>1.4367816091954022</v>
      </c>
      <c r="W15" s="223">
        <v>0</v>
      </c>
      <c r="X15" s="587">
        <f t="shared" si="5"/>
        <v>0</v>
      </c>
      <c r="Y15" s="587">
        <f t="shared" si="6"/>
        <v>0</v>
      </c>
      <c r="Z15" s="588">
        <f t="shared" si="7"/>
        <v>0</v>
      </c>
      <c r="AA15" s="594">
        <f t="shared" si="8"/>
        <v>0</v>
      </c>
      <c r="AB15" s="227">
        <v>0</v>
      </c>
      <c r="AC15" s="222">
        <v>0</v>
      </c>
      <c r="AD15" s="592">
        <f t="shared" si="9"/>
        <v>0</v>
      </c>
      <c r="AE15" s="592">
        <f>IF((VLOOKUP($A15,'Year 1'!$D$32:$AE$50,19,FALSE))=0,0,((VLOOKUP($A15,'Year 1'!$D$32:$AE$50,19,FALSE))+(AD15*$M$9)))</f>
        <v>1.4367816091954022</v>
      </c>
      <c r="AF15" s="223">
        <v>0</v>
      </c>
      <c r="AG15" s="587">
        <f t="shared" si="10"/>
        <v>0</v>
      </c>
      <c r="AH15" s="587">
        <f t="shared" si="11"/>
        <v>0</v>
      </c>
      <c r="AI15" s="588">
        <f t="shared" si="12"/>
        <v>0</v>
      </c>
      <c r="AJ15" s="594">
        <f t="shared" si="13"/>
        <v>0</v>
      </c>
      <c r="AK15" s="227">
        <v>0</v>
      </c>
      <c r="AL15" s="222">
        <v>0</v>
      </c>
      <c r="AM15" s="592">
        <f t="shared" si="14"/>
        <v>0</v>
      </c>
      <c r="AN15" s="592">
        <f>IF((VLOOKUP($A15,'Year 1'!$D$32:$AE$50,19,FALSE))=0,0,((VLOOKUP($A15,'Year 1'!$D$32:$AE$50,19,FALSE))+(AM15*$M$9)))</f>
        <v>1.4367816091954022</v>
      </c>
      <c r="AO15" s="223">
        <v>0</v>
      </c>
      <c r="AP15" s="587">
        <f t="shared" si="15"/>
        <v>0</v>
      </c>
      <c r="AQ15" s="587">
        <f t="shared" si="16"/>
        <v>0</v>
      </c>
      <c r="AR15" s="588">
        <f t="shared" si="17"/>
        <v>0</v>
      </c>
      <c r="AS15" s="594">
        <f t="shared" si="18"/>
        <v>0</v>
      </c>
      <c r="AT15" s="227">
        <v>0</v>
      </c>
      <c r="AU15" s="222">
        <v>0</v>
      </c>
      <c r="AV15" s="592">
        <f t="shared" si="19"/>
        <v>0</v>
      </c>
      <c r="AW15" s="592">
        <f>IF((VLOOKUP($A15,'Year 1'!$D$32:$AE$50,19,FALSE))=0,0,((VLOOKUP($A15,'Year 1'!$D$32:$AE$50,19,FALSE))+(AV15*$M$9)))</f>
        <v>1.4367816091954022</v>
      </c>
      <c r="AX15" s="223">
        <v>0</v>
      </c>
      <c r="AY15" s="587">
        <f t="shared" si="20"/>
        <v>0</v>
      </c>
      <c r="AZ15" s="587">
        <f t="shared" si="21"/>
        <v>0</v>
      </c>
      <c r="BA15" s="588">
        <f t="shared" si="22"/>
        <v>0</v>
      </c>
      <c r="BB15" s="594">
        <f t="shared" si="23"/>
        <v>0</v>
      </c>
    </row>
    <row r="16" spans="1:54" s="28" customFormat="1">
      <c r="A16" s="583">
        <f t="shared" si="24"/>
        <v>7</v>
      </c>
      <c r="B16" s="584" t="str">
        <f t="shared" si="0"/>
        <v>CIS Training Supervisor</v>
      </c>
      <c r="C16" s="233" t="s">
        <v>758</v>
      </c>
      <c r="D16" s="585" t="str">
        <f>VLOOKUP($A16,'Year 1'!$D$32:$AE$50,9,FALSE)</f>
        <v>Govt_Sub</v>
      </c>
      <c r="E16" s="586">
        <f t="shared" si="1"/>
        <v>0</v>
      </c>
      <c r="F16" s="587">
        <f t="shared" si="1"/>
        <v>0</v>
      </c>
      <c r="G16" s="587">
        <f t="shared" si="1"/>
        <v>0</v>
      </c>
      <c r="H16" s="588">
        <f t="shared" si="2"/>
        <v>0</v>
      </c>
      <c r="I16" s="589">
        <f t="shared" si="25"/>
        <v>0</v>
      </c>
      <c r="J16" s="227">
        <v>0</v>
      </c>
      <c r="K16" s="222">
        <v>0</v>
      </c>
      <c r="L16" s="592">
        <f t="shared" si="26"/>
        <v>0</v>
      </c>
      <c r="M16" s="592">
        <f>IF((VLOOKUP($A16,'Year 1'!$D$32:$AE$50,19,FALSE))=0,0,((VLOOKUP($A16,'Year 1'!$D$32:$AE$50,19,FALSE))+(L16*$M$9)))</f>
        <v>0</v>
      </c>
      <c r="N16" s="223">
        <v>0</v>
      </c>
      <c r="O16" s="587">
        <f t="shared" si="27"/>
        <v>0</v>
      </c>
      <c r="P16" s="587">
        <f t="shared" si="28"/>
        <v>0</v>
      </c>
      <c r="Q16" s="588">
        <f t="shared" si="3"/>
        <v>0</v>
      </c>
      <c r="R16" s="594">
        <f t="shared" si="29"/>
        <v>0</v>
      </c>
      <c r="S16" s="227">
        <v>0</v>
      </c>
      <c r="T16" s="222">
        <v>0</v>
      </c>
      <c r="U16" s="592">
        <f t="shared" si="4"/>
        <v>0</v>
      </c>
      <c r="V16" s="592">
        <f>IF((VLOOKUP($A16,'Year 1'!$D$32:$AE$50,19,FALSE))=0,0,((VLOOKUP($A16,'Year 1'!$D$32:$AE$50,19,FALSE))+(U16*$M$9)))</f>
        <v>0</v>
      </c>
      <c r="W16" s="223">
        <v>0</v>
      </c>
      <c r="X16" s="587">
        <f t="shared" si="5"/>
        <v>0</v>
      </c>
      <c r="Y16" s="587">
        <f t="shared" si="6"/>
        <v>0</v>
      </c>
      <c r="Z16" s="588">
        <f t="shared" si="7"/>
        <v>0</v>
      </c>
      <c r="AA16" s="594">
        <f t="shared" si="8"/>
        <v>0</v>
      </c>
      <c r="AB16" s="227">
        <v>0</v>
      </c>
      <c r="AC16" s="222">
        <v>0</v>
      </c>
      <c r="AD16" s="592">
        <f t="shared" si="9"/>
        <v>0</v>
      </c>
      <c r="AE16" s="592">
        <f>IF((VLOOKUP($A16,'Year 1'!$D$32:$AE$50,19,FALSE))=0,0,((VLOOKUP($A16,'Year 1'!$D$32:$AE$50,19,FALSE))+(AD16*$M$9)))</f>
        <v>0</v>
      </c>
      <c r="AF16" s="223">
        <v>0</v>
      </c>
      <c r="AG16" s="587">
        <f t="shared" si="10"/>
        <v>0</v>
      </c>
      <c r="AH16" s="587">
        <f t="shared" si="11"/>
        <v>0</v>
      </c>
      <c r="AI16" s="588">
        <f t="shared" si="12"/>
        <v>0</v>
      </c>
      <c r="AJ16" s="594">
        <f t="shared" si="13"/>
        <v>0</v>
      </c>
      <c r="AK16" s="227">
        <v>0</v>
      </c>
      <c r="AL16" s="222">
        <v>0</v>
      </c>
      <c r="AM16" s="592">
        <f t="shared" si="14"/>
        <v>0</v>
      </c>
      <c r="AN16" s="592">
        <f>IF((VLOOKUP($A16,'Year 1'!$D$32:$AE$50,19,FALSE))=0,0,((VLOOKUP($A16,'Year 1'!$D$32:$AE$50,19,FALSE))+(AM16*$M$9)))</f>
        <v>0</v>
      </c>
      <c r="AO16" s="223">
        <v>0</v>
      </c>
      <c r="AP16" s="587">
        <f t="shared" si="15"/>
        <v>0</v>
      </c>
      <c r="AQ16" s="587">
        <f t="shared" si="16"/>
        <v>0</v>
      </c>
      <c r="AR16" s="588">
        <f t="shared" si="17"/>
        <v>0</v>
      </c>
      <c r="AS16" s="594">
        <f t="shared" si="18"/>
        <v>0</v>
      </c>
      <c r="AT16" s="227">
        <v>0</v>
      </c>
      <c r="AU16" s="222">
        <v>0</v>
      </c>
      <c r="AV16" s="592">
        <f t="shared" si="19"/>
        <v>0</v>
      </c>
      <c r="AW16" s="592">
        <f>IF((VLOOKUP($A16,'Year 1'!$D$32:$AE$50,19,FALSE))=0,0,((VLOOKUP($A16,'Year 1'!$D$32:$AE$50,19,FALSE))+(AV16*$M$9)))</f>
        <v>0</v>
      </c>
      <c r="AX16" s="223">
        <v>0</v>
      </c>
      <c r="AY16" s="587">
        <f t="shared" si="20"/>
        <v>0</v>
      </c>
      <c r="AZ16" s="587">
        <f t="shared" si="21"/>
        <v>0</v>
      </c>
      <c r="BA16" s="588">
        <f t="shared" si="22"/>
        <v>0</v>
      </c>
      <c r="BB16" s="594">
        <f t="shared" si="23"/>
        <v>0</v>
      </c>
    </row>
    <row r="17" spans="1:54" s="28" customFormat="1">
      <c r="A17" s="583">
        <f t="shared" si="24"/>
        <v>8</v>
      </c>
      <c r="B17" s="584" t="str">
        <f t="shared" si="0"/>
        <v>CIS Trainer</v>
      </c>
      <c r="C17" s="233" t="s">
        <v>759</v>
      </c>
      <c r="D17" s="585" t="str">
        <f>VLOOKUP($A17,'Year 1'!$D$32:$AE$50,9,FALSE)</f>
        <v>Govt_Sub</v>
      </c>
      <c r="E17" s="586">
        <f t="shared" si="1"/>
        <v>0</v>
      </c>
      <c r="F17" s="587">
        <f t="shared" si="1"/>
        <v>0</v>
      </c>
      <c r="G17" s="587">
        <f t="shared" si="1"/>
        <v>0</v>
      </c>
      <c r="H17" s="588">
        <f t="shared" si="2"/>
        <v>0</v>
      </c>
      <c r="I17" s="589">
        <f t="shared" si="25"/>
        <v>0</v>
      </c>
      <c r="J17" s="227">
        <v>0</v>
      </c>
      <c r="K17" s="222">
        <v>0</v>
      </c>
      <c r="L17" s="592">
        <f t="shared" si="26"/>
        <v>0</v>
      </c>
      <c r="M17" s="592">
        <f>IF((VLOOKUP($A17,'Year 1'!$D$32:$AE$50,19,FALSE))=0,0,((VLOOKUP($A17,'Year 1'!$D$32:$AE$50,19,FALSE))+(L17*$M$9)))</f>
        <v>0</v>
      </c>
      <c r="N17" s="223">
        <v>0</v>
      </c>
      <c r="O17" s="587">
        <f t="shared" si="27"/>
        <v>0</v>
      </c>
      <c r="P17" s="587">
        <f t="shared" si="28"/>
        <v>0</v>
      </c>
      <c r="Q17" s="588">
        <f t="shared" si="3"/>
        <v>0</v>
      </c>
      <c r="R17" s="594">
        <f t="shared" si="29"/>
        <v>0</v>
      </c>
      <c r="S17" s="227">
        <v>0</v>
      </c>
      <c r="T17" s="222">
        <v>0</v>
      </c>
      <c r="U17" s="592">
        <f t="shared" si="4"/>
        <v>0</v>
      </c>
      <c r="V17" s="592">
        <f>IF((VLOOKUP($A17,'Year 1'!$D$32:$AE$50,19,FALSE))=0,0,((VLOOKUP($A17,'Year 1'!$D$32:$AE$50,19,FALSE))+(U17*$M$9)))</f>
        <v>0</v>
      </c>
      <c r="W17" s="223">
        <v>0</v>
      </c>
      <c r="X17" s="587">
        <f t="shared" si="5"/>
        <v>0</v>
      </c>
      <c r="Y17" s="587">
        <f t="shared" si="6"/>
        <v>0</v>
      </c>
      <c r="Z17" s="588">
        <f t="shared" si="7"/>
        <v>0</v>
      </c>
      <c r="AA17" s="594">
        <f t="shared" si="8"/>
        <v>0</v>
      </c>
      <c r="AB17" s="227">
        <v>0</v>
      </c>
      <c r="AC17" s="222">
        <v>0</v>
      </c>
      <c r="AD17" s="592">
        <f t="shared" si="9"/>
        <v>0</v>
      </c>
      <c r="AE17" s="592">
        <f>IF((VLOOKUP($A17,'Year 1'!$D$32:$AE$50,19,FALSE))=0,0,((VLOOKUP($A17,'Year 1'!$D$32:$AE$50,19,FALSE))+(AD17*$M$9)))</f>
        <v>0</v>
      </c>
      <c r="AF17" s="223">
        <v>0</v>
      </c>
      <c r="AG17" s="587">
        <f t="shared" si="10"/>
        <v>0</v>
      </c>
      <c r="AH17" s="587">
        <f t="shared" si="11"/>
        <v>0</v>
      </c>
      <c r="AI17" s="588">
        <f t="shared" si="12"/>
        <v>0</v>
      </c>
      <c r="AJ17" s="594">
        <f t="shared" si="13"/>
        <v>0</v>
      </c>
      <c r="AK17" s="227">
        <v>0</v>
      </c>
      <c r="AL17" s="222">
        <v>0</v>
      </c>
      <c r="AM17" s="592">
        <f t="shared" si="14"/>
        <v>0</v>
      </c>
      <c r="AN17" s="592">
        <f>IF((VLOOKUP($A17,'Year 1'!$D$32:$AE$50,19,FALSE))=0,0,((VLOOKUP($A17,'Year 1'!$D$32:$AE$50,19,FALSE))+(AM17*$M$9)))</f>
        <v>0</v>
      </c>
      <c r="AO17" s="223">
        <v>0</v>
      </c>
      <c r="AP17" s="587">
        <f t="shared" si="15"/>
        <v>0</v>
      </c>
      <c r="AQ17" s="587">
        <f t="shared" si="16"/>
        <v>0</v>
      </c>
      <c r="AR17" s="588">
        <f t="shared" si="17"/>
        <v>0</v>
      </c>
      <c r="AS17" s="594">
        <f t="shared" si="18"/>
        <v>0</v>
      </c>
      <c r="AT17" s="227">
        <v>0</v>
      </c>
      <c r="AU17" s="222">
        <v>0</v>
      </c>
      <c r="AV17" s="592">
        <f t="shared" si="19"/>
        <v>0</v>
      </c>
      <c r="AW17" s="592">
        <f>IF((VLOOKUP($A17,'Year 1'!$D$32:$AE$50,19,FALSE))=0,0,((VLOOKUP($A17,'Year 1'!$D$32:$AE$50,19,FALSE))+(AV17*$M$9)))</f>
        <v>0</v>
      </c>
      <c r="AX17" s="223">
        <v>0</v>
      </c>
      <c r="AY17" s="587">
        <f t="shared" si="20"/>
        <v>0</v>
      </c>
      <c r="AZ17" s="587">
        <f t="shared" si="21"/>
        <v>0</v>
      </c>
      <c r="BA17" s="588">
        <f t="shared" si="22"/>
        <v>0</v>
      </c>
      <c r="BB17" s="594">
        <f t="shared" si="23"/>
        <v>0</v>
      </c>
    </row>
    <row r="18" spans="1:54" s="28" customFormat="1">
      <c r="A18" s="583">
        <f t="shared" si="24"/>
        <v>9</v>
      </c>
      <c r="B18" s="584" t="str">
        <f t="shared" si="0"/>
        <v>Radio Technician</v>
      </c>
      <c r="C18" s="233" t="s">
        <v>760</v>
      </c>
      <c r="D18" s="585" t="str">
        <f>VLOOKUP($A18,'Year 1'!$D$32:$AE$50,9,FALSE)</f>
        <v>Govt_Sub</v>
      </c>
      <c r="E18" s="586">
        <f t="shared" si="1"/>
        <v>0</v>
      </c>
      <c r="F18" s="587">
        <f t="shared" si="1"/>
        <v>0</v>
      </c>
      <c r="G18" s="587">
        <f t="shared" si="1"/>
        <v>0</v>
      </c>
      <c r="H18" s="588">
        <f t="shared" si="2"/>
        <v>0</v>
      </c>
      <c r="I18" s="589">
        <f t="shared" si="25"/>
        <v>0</v>
      </c>
      <c r="J18" s="227">
        <v>0</v>
      </c>
      <c r="K18" s="222">
        <v>0</v>
      </c>
      <c r="L18" s="592">
        <f t="shared" si="26"/>
        <v>0</v>
      </c>
      <c r="M18" s="592">
        <f>IF((VLOOKUP($A18,'Year 1'!$D$32:$AE$50,19,FALSE))=0,0,((VLOOKUP($A18,'Year 1'!$D$32:$AE$50,19,FALSE))+(L18*$M$9)))</f>
        <v>0</v>
      </c>
      <c r="N18" s="223">
        <v>0</v>
      </c>
      <c r="O18" s="587">
        <f t="shared" si="27"/>
        <v>0</v>
      </c>
      <c r="P18" s="587">
        <f t="shared" si="28"/>
        <v>0</v>
      </c>
      <c r="Q18" s="588">
        <f t="shared" si="3"/>
        <v>0</v>
      </c>
      <c r="R18" s="594">
        <f t="shared" si="29"/>
        <v>0</v>
      </c>
      <c r="S18" s="227">
        <v>0</v>
      </c>
      <c r="T18" s="222">
        <v>0</v>
      </c>
      <c r="U18" s="592">
        <f t="shared" si="4"/>
        <v>0</v>
      </c>
      <c r="V18" s="592">
        <f>IF((VLOOKUP($A18,'Year 1'!$D$32:$AE$50,19,FALSE))=0,0,((VLOOKUP($A18,'Year 1'!$D$32:$AE$50,19,FALSE))+(U18*$M$9)))</f>
        <v>0</v>
      </c>
      <c r="W18" s="223">
        <v>0</v>
      </c>
      <c r="X18" s="587">
        <f t="shared" si="5"/>
        <v>0</v>
      </c>
      <c r="Y18" s="587">
        <f t="shared" si="6"/>
        <v>0</v>
      </c>
      <c r="Z18" s="588">
        <f t="shared" si="7"/>
        <v>0</v>
      </c>
      <c r="AA18" s="594">
        <f t="shared" si="8"/>
        <v>0</v>
      </c>
      <c r="AB18" s="227">
        <v>0</v>
      </c>
      <c r="AC18" s="222">
        <v>0</v>
      </c>
      <c r="AD18" s="592">
        <f t="shared" si="9"/>
        <v>0</v>
      </c>
      <c r="AE18" s="592">
        <f>IF((VLOOKUP($A18,'Year 1'!$D$32:$AE$50,19,FALSE))=0,0,((VLOOKUP($A18,'Year 1'!$D$32:$AE$50,19,FALSE))+(AD18*$M$9)))</f>
        <v>0</v>
      </c>
      <c r="AF18" s="223">
        <v>0</v>
      </c>
      <c r="AG18" s="587">
        <f t="shared" si="10"/>
        <v>0</v>
      </c>
      <c r="AH18" s="587">
        <f t="shared" si="11"/>
        <v>0</v>
      </c>
      <c r="AI18" s="588">
        <f t="shared" si="12"/>
        <v>0</v>
      </c>
      <c r="AJ18" s="594">
        <f t="shared" si="13"/>
        <v>0</v>
      </c>
      <c r="AK18" s="227">
        <v>0</v>
      </c>
      <c r="AL18" s="222">
        <v>0</v>
      </c>
      <c r="AM18" s="592">
        <f t="shared" si="14"/>
        <v>0</v>
      </c>
      <c r="AN18" s="592">
        <f>IF((VLOOKUP($A18,'Year 1'!$D$32:$AE$50,19,FALSE))=0,0,((VLOOKUP($A18,'Year 1'!$D$32:$AE$50,19,FALSE))+(AM18*$M$9)))</f>
        <v>0</v>
      </c>
      <c r="AO18" s="223">
        <v>0</v>
      </c>
      <c r="AP18" s="587">
        <f t="shared" si="15"/>
        <v>0</v>
      </c>
      <c r="AQ18" s="587">
        <f t="shared" si="16"/>
        <v>0</v>
      </c>
      <c r="AR18" s="588">
        <f t="shared" si="17"/>
        <v>0</v>
      </c>
      <c r="AS18" s="594">
        <f t="shared" si="18"/>
        <v>0</v>
      </c>
      <c r="AT18" s="227">
        <v>0</v>
      </c>
      <c r="AU18" s="222">
        <v>0</v>
      </c>
      <c r="AV18" s="592">
        <f t="shared" si="19"/>
        <v>0</v>
      </c>
      <c r="AW18" s="592">
        <f>IF((VLOOKUP($A18,'Year 1'!$D$32:$AE$50,19,FALSE))=0,0,((VLOOKUP($A18,'Year 1'!$D$32:$AE$50,19,FALSE))+(AV18*$M$9)))</f>
        <v>0</v>
      </c>
      <c r="AX18" s="223">
        <v>0</v>
      </c>
      <c r="AY18" s="587">
        <f t="shared" si="20"/>
        <v>0</v>
      </c>
      <c r="AZ18" s="587">
        <f t="shared" si="21"/>
        <v>0</v>
      </c>
      <c r="BA18" s="588">
        <f t="shared" si="22"/>
        <v>0</v>
      </c>
      <c r="BB18" s="594">
        <f t="shared" si="23"/>
        <v>0</v>
      </c>
    </row>
    <row r="19" spans="1:54" s="28" customFormat="1">
      <c r="A19" s="583">
        <f t="shared" si="24"/>
        <v>10</v>
      </c>
      <c r="B19" s="584" t="str">
        <f t="shared" si="0"/>
        <v>Radio Technician</v>
      </c>
      <c r="C19" s="233" t="s">
        <v>761</v>
      </c>
      <c r="D19" s="585" t="str">
        <f>VLOOKUP($A19,'Year 1'!$D$32:$AE$50,9,FALSE)</f>
        <v>Govt_Sub</v>
      </c>
      <c r="E19" s="586">
        <f t="shared" si="1"/>
        <v>0</v>
      </c>
      <c r="F19" s="587">
        <f t="shared" si="1"/>
        <v>0</v>
      </c>
      <c r="G19" s="587">
        <f t="shared" si="1"/>
        <v>0</v>
      </c>
      <c r="H19" s="588">
        <f t="shared" si="2"/>
        <v>0</v>
      </c>
      <c r="I19" s="589">
        <f t="shared" si="25"/>
        <v>0</v>
      </c>
      <c r="J19" s="227">
        <v>0</v>
      </c>
      <c r="K19" s="222">
        <v>0</v>
      </c>
      <c r="L19" s="592">
        <f t="shared" si="26"/>
        <v>0</v>
      </c>
      <c r="M19" s="592">
        <f>IF((VLOOKUP($A19,'Year 1'!$D$32:$AE$50,19,FALSE))=0,0,((VLOOKUP($A19,'Year 1'!$D$32:$AE$50,19,FALSE))+(L19*$M$9)))</f>
        <v>0</v>
      </c>
      <c r="N19" s="223">
        <v>0</v>
      </c>
      <c r="O19" s="587">
        <f t="shared" si="27"/>
        <v>0</v>
      </c>
      <c r="P19" s="587">
        <f t="shared" si="28"/>
        <v>0</v>
      </c>
      <c r="Q19" s="588">
        <f t="shared" si="3"/>
        <v>0</v>
      </c>
      <c r="R19" s="594">
        <f t="shared" si="29"/>
        <v>0</v>
      </c>
      <c r="S19" s="227">
        <v>0</v>
      </c>
      <c r="T19" s="222">
        <v>0</v>
      </c>
      <c r="U19" s="592">
        <f t="shared" si="4"/>
        <v>0</v>
      </c>
      <c r="V19" s="592">
        <f>IF((VLOOKUP($A19,'Year 1'!$D$32:$AE$50,19,FALSE))=0,0,((VLOOKUP($A19,'Year 1'!$D$32:$AE$50,19,FALSE))+(U19*$M$9)))</f>
        <v>0</v>
      </c>
      <c r="W19" s="223">
        <v>0</v>
      </c>
      <c r="X19" s="587">
        <f t="shared" si="5"/>
        <v>0</v>
      </c>
      <c r="Y19" s="587">
        <f t="shared" si="6"/>
        <v>0</v>
      </c>
      <c r="Z19" s="588">
        <f t="shared" si="7"/>
        <v>0</v>
      </c>
      <c r="AA19" s="594">
        <f t="shared" si="8"/>
        <v>0</v>
      </c>
      <c r="AB19" s="227">
        <v>0</v>
      </c>
      <c r="AC19" s="222">
        <v>0</v>
      </c>
      <c r="AD19" s="592">
        <f t="shared" si="9"/>
        <v>0</v>
      </c>
      <c r="AE19" s="592">
        <f>IF((VLOOKUP($A19,'Year 1'!$D$32:$AE$50,19,FALSE))=0,0,((VLOOKUP($A19,'Year 1'!$D$32:$AE$50,19,FALSE))+(AD19*$M$9)))</f>
        <v>0</v>
      </c>
      <c r="AF19" s="223">
        <v>0</v>
      </c>
      <c r="AG19" s="587">
        <f t="shared" si="10"/>
        <v>0</v>
      </c>
      <c r="AH19" s="587">
        <f t="shared" si="11"/>
        <v>0</v>
      </c>
      <c r="AI19" s="588">
        <f t="shared" si="12"/>
        <v>0</v>
      </c>
      <c r="AJ19" s="594">
        <f t="shared" si="13"/>
        <v>0</v>
      </c>
      <c r="AK19" s="227">
        <v>0</v>
      </c>
      <c r="AL19" s="222">
        <v>0</v>
      </c>
      <c r="AM19" s="592">
        <f t="shared" si="14"/>
        <v>0</v>
      </c>
      <c r="AN19" s="592">
        <f>IF((VLOOKUP($A19,'Year 1'!$D$32:$AE$50,19,FALSE))=0,0,((VLOOKUP($A19,'Year 1'!$D$32:$AE$50,19,FALSE))+(AM19*$M$9)))</f>
        <v>0</v>
      </c>
      <c r="AO19" s="223">
        <v>0</v>
      </c>
      <c r="AP19" s="587">
        <f t="shared" si="15"/>
        <v>0</v>
      </c>
      <c r="AQ19" s="587">
        <f t="shared" si="16"/>
        <v>0</v>
      </c>
      <c r="AR19" s="588">
        <f t="shared" si="17"/>
        <v>0</v>
      </c>
      <c r="AS19" s="594">
        <f t="shared" si="18"/>
        <v>0</v>
      </c>
      <c r="AT19" s="227">
        <v>0</v>
      </c>
      <c r="AU19" s="222">
        <v>0</v>
      </c>
      <c r="AV19" s="592">
        <f t="shared" si="19"/>
        <v>0</v>
      </c>
      <c r="AW19" s="592">
        <f>IF((VLOOKUP($A19,'Year 1'!$D$32:$AE$50,19,FALSE))=0,0,((VLOOKUP($A19,'Year 1'!$D$32:$AE$50,19,FALSE))+(AV19*$M$9)))</f>
        <v>0</v>
      </c>
      <c r="AX19" s="223">
        <v>0</v>
      </c>
      <c r="AY19" s="587">
        <f t="shared" si="20"/>
        <v>0</v>
      </c>
      <c r="AZ19" s="587">
        <f t="shared" si="21"/>
        <v>0</v>
      </c>
      <c r="BA19" s="588">
        <f t="shared" si="22"/>
        <v>0</v>
      </c>
      <c r="BB19" s="594">
        <f t="shared" si="23"/>
        <v>0</v>
      </c>
    </row>
    <row r="20" spans="1:54" s="28" customFormat="1">
      <c r="A20" s="583">
        <f t="shared" si="24"/>
        <v>11</v>
      </c>
      <c r="B20" s="584" t="str">
        <f t="shared" si="0"/>
        <v>Network Administrator</v>
      </c>
      <c r="C20" s="233" t="s">
        <v>762</v>
      </c>
      <c r="D20" s="585" t="str">
        <f>VLOOKUP($A20,'Year 1'!$D$32:$AE$50,9,FALSE)</f>
        <v>Govt</v>
      </c>
      <c r="E20" s="586">
        <f t="shared" si="1"/>
        <v>0</v>
      </c>
      <c r="F20" s="587">
        <f t="shared" si="1"/>
        <v>0</v>
      </c>
      <c r="G20" s="587">
        <f t="shared" si="1"/>
        <v>0</v>
      </c>
      <c r="H20" s="588">
        <f t="shared" si="2"/>
        <v>0</v>
      </c>
      <c r="I20" s="589">
        <f t="shared" si="25"/>
        <v>0</v>
      </c>
      <c r="J20" s="227">
        <v>0</v>
      </c>
      <c r="K20" s="222">
        <v>0</v>
      </c>
      <c r="L20" s="592">
        <f t="shared" si="26"/>
        <v>0</v>
      </c>
      <c r="M20" s="592">
        <f>IF((VLOOKUP($A20,'Year 1'!$D$32:$AE$50,19,FALSE))=0,0,((VLOOKUP($A20,'Year 1'!$D$32:$AE$50,19,FALSE))+(L20*$M$9)))</f>
        <v>1.4367816091954022</v>
      </c>
      <c r="N20" s="223">
        <v>0</v>
      </c>
      <c r="O20" s="587">
        <f t="shared" si="27"/>
        <v>0</v>
      </c>
      <c r="P20" s="587">
        <f t="shared" si="28"/>
        <v>0</v>
      </c>
      <c r="Q20" s="588">
        <f t="shared" si="3"/>
        <v>0</v>
      </c>
      <c r="R20" s="594">
        <f t="shared" si="29"/>
        <v>0</v>
      </c>
      <c r="S20" s="227">
        <v>0</v>
      </c>
      <c r="T20" s="222">
        <v>0</v>
      </c>
      <c r="U20" s="592">
        <f t="shared" si="4"/>
        <v>0</v>
      </c>
      <c r="V20" s="592">
        <f>IF((VLOOKUP($A20,'Year 1'!$D$32:$AE$50,19,FALSE))=0,0,((VLOOKUP($A20,'Year 1'!$D$32:$AE$50,19,FALSE))+(U20*$M$9)))</f>
        <v>1.4367816091954022</v>
      </c>
      <c r="W20" s="223">
        <v>0</v>
      </c>
      <c r="X20" s="587">
        <f t="shared" si="5"/>
        <v>0</v>
      </c>
      <c r="Y20" s="587">
        <f t="shared" si="6"/>
        <v>0</v>
      </c>
      <c r="Z20" s="588">
        <f t="shared" si="7"/>
        <v>0</v>
      </c>
      <c r="AA20" s="594">
        <f t="shared" si="8"/>
        <v>0</v>
      </c>
      <c r="AB20" s="227">
        <v>0</v>
      </c>
      <c r="AC20" s="222">
        <v>0</v>
      </c>
      <c r="AD20" s="592">
        <f t="shared" si="9"/>
        <v>0</v>
      </c>
      <c r="AE20" s="592">
        <f>IF((VLOOKUP($A20,'Year 1'!$D$32:$AE$50,19,FALSE))=0,0,((VLOOKUP($A20,'Year 1'!$D$32:$AE$50,19,FALSE))+(AD20*$M$9)))</f>
        <v>1.4367816091954022</v>
      </c>
      <c r="AF20" s="223">
        <v>0</v>
      </c>
      <c r="AG20" s="587">
        <f t="shared" si="10"/>
        <v>0</v>
      </c>
      <c r="AH20" s="587">
        <f t="shared" si="11"/>
        <v>0</v>
      </c>
      <c r="AI20" s="588">
        <f t="shared" si="12"/>
        <v>0</v>
      </c>
      <c r="AJ20" s="594">
        <f t="shared" si="13"/>
        <v>0</v>
      </c>
      <c r="AK20" s="227">
        <v>0</v>
      </c>
      <c r="AL20" s="222">
        <v>0</v>
      </c>
      <c r="AM20" s="592">
        <f t="shared" si="14"/>
        <v>0</v>
      </c>
      <c r="AN20" s="592">
        <f>IF((VLOOKUP($A20,'Year 1'!$D$32:$AE$50,19,FALSE))=0,0,((VLOOKUP($A20,'Year 1'!$D$32:$AE$50,19,FALSE))+(AM20*$M$9)))</f>
        <v>1.4367816091954022</v>
      </c>
      <c r="AO20" s="223">
        <v>0</v>
      </c>
      <c r="AP20" s="587">
        <f t="shared" si="15"/>
        <v>0</v>
      </c>
      <c r="AQ20" s="587">
        <f t="shared" si="16"/>
        <v>0</v>
      </c>
      <c r="AR20" s="588">
        <f t="shared" si="17"/>
        <v>0</v>
      </c>
      <c r="AS20" s="594">
        <f t="shared" si="18"/>
        <v>0</v>
      </c>
      <c r="AT20" s="227">
        <v>0</v>
      </c>
      <c r="AU20" s="222">
        <v>0</v>
      </c>
      <c r="AV20" s="592">
        <f t="shared" si="19"/>
        <v>0</v>
      </c>
      <c r="AW20" s="592">
        <f>IF((VLOOKUP($A20,'Year 1'!$D$32:$AE$50,19,FALSE))=0,0,((VLOOKUP($A20,'Year 1'!$D$32:$AE$50,19,FALSE))+(AV20*$M$9)))</f>
        <v>1.4367816091954022</v>
      </c>
      <c r="AX20" s="223">
        <v>0</v>
      </c>
      <c r="AY20" s="587">
        <f t="shared" si="20"/>
        <v>0</v>
      </c>
      <c r="AZ20" s="587">
        <f t="shared" si="21"/>
        <v>0</v>
      </c>
      <c r="BA20" s="588">
        <f t="shared" si="22"/>
        <v>0</v>
      </c>
      <c r="BB20" s="594">
        <f t="shared" si="23"/>
        <v>0</v>
      </c>
    </row>
    <row r="21" spans="1:54" s="28" customFormat="1">
      <c r="A21" s="583">
        <f t="shared" si="24"/>
        <v>12</v>
      </c>
      <c r="B21" s="584" t="str">
        <f t="shared" si="0"/>
        <v>System Administrator</v>
      </c>
      <c r="C21" s="233" t="s">
        <v>763</v>
      </c>
      <c r="D21" s="585" t="str">
        <f>VLOOKUP($A21,'Year 1'!$D$32:$AE$50,9,FALSE)</f>
        <v>Govt</v>
      </c>
      <c r="E21" s="586">
        <f t="shared" si="1"/>
        <v>0</v>
      </c>
      <c r="F21" s="587">
        <f t="shared" si="1"/>
        <v>0</v>
      </c>
      <c r="G21" s="587">
        <f t="shared" si="1"/>
        <v>0</v>
      </c>
      <c r="H21" s="588">
        <f t="shared" si="2"/>
        <v>0</v>
      </c>
      <c r="I21" s="589">
        <f t="shared" si="25"/>
        <v>0</v>
      </c>
      <c r="J21" s="227">
        <v>0</v>
      </c>
      <c r="K21" s="222">
        <v>0</v>
      </c>
      <c r="L21" s="592">
        <f t="shared" si="26"/>
        <v>0</v>
      </c>
      <c r="M21" s="592">
        <f>IF((VLOOKUP($A21,'Year 1'!$D$32:$AE$50,19,FALSE))=0,0,((VLOOKUP($A21,'Year 1'!$D$32:$AE$50,19,FALSE))+(L21*$M$9)))</f>
        <v>1.4367816091954022</v>
      </c>
      <c r="N21" s="223">
        <v>0</v>
      </c>
      <c r="O21" s="587">
        <f t="shared" si="27"/>
        <v>0</v>
      </c>
      <c r="P21" s="587">
        <f t="shared" si="28"/>
        <v>0</v>
      </c>
      <c r="Q21" s="588">
        <f t="shared" si="3"/>
        <v>0</v>
      </c>
      <c r="R21" s="594">
        <f t="shared" si="29"/>
        <v>0</v>
      </c>
      <c r="S21" s="227">
        <v>0</v>
      </c>
      <c r="T21" s="222">
        <v>0</v>
      </c>
      <c r="U21" s="592">
        <f t="shared" si="4"/>
        <v>0</v>
      </c>
      <c r="V21" s="592">
        <f>IF((VLOOKUP($A21,'Year 1'!$D$32:$AE$50,19,FALSE))=0,0,((VLOOKUP($A21,'Year 1'!$D$32:$AE$50,19,FALSE))+(U21*$M$9)))</f>
        <v>1.4367816091954022</v>
      </c>
      <c r="W21" s="223">
        <v>0</v>
      </c>
      <c r="X21" s="587">
        <f t="shared" si="5"/>
        <v>0</v>
      </c>
      <c r="Y21" s="587">
        <f t="shared" si="6"/>
        <v>0</v>
      </c>
      <c r="Z21" s="588">
        <f t="shared" si="7"/>
        <v>0</v>
      </c>
      <c r="AA21" s="594">
        <f t="shared" si="8"/>
        <v>0</v>
      </c>
      <c r="AB21" s="227">
        <v>0</v>
      </c>
      <c r="AC21" s="222">
        <v>0</v>
      </c>
      <c r="AD21" s="592">
        <f t="shared" si="9"/>
        <v>0</v>
      </c>
      <c r="AE21" s="592">
        <f>IF((VLOOKUP($A21,'Year 1'!$D$32:$AE$50,19,FALSE))=0,0,((VLOOKUP($A21,'Year 1'!$D$32:$AE$50,19,FALSE))+(AD21*$M$9)))</f>
        <v>1.4367816091954022</v>
      </c>
      <c r="AF21" s="223">
        <v>0</v>
      </c>
      <c r="AG21" s="587">
        <f t="shared" si="10"/>
        <v>0</v>
      </c>
      <c r="AH21" s="587">
        <f t="shared" si="11"/>
        <v>0</v>
      </c>
      <c r="AI21" s="588">
        <f t="shared" si="12"/>
        <v>0</v>
      </c>
      <c r="AJ21" s="594">
        <f t="shared" si="13"/>
        <v>0</v>
      </c>
      <c r="AK21" s="227">
        <v>0</v>
      </c>
      <c r="AL21" s="222">
        <v>0</v>
      </c>
      <c r="AM21" s="592">
        <f t="shared" si="14"/>
        <v>0</v>
      </c>
      <c r="AN21" s="592">
        <f>IF((VLOOKUP($A21,'Year 1'!$D$32:$AE$50,19,FALSE))=0,0,((VLOOKUP($A21,'Year 1'!$D$32:$AE$50,19,FALSE))+(AM21*$M$9)))</f>
        <v>1.4367816091954022</v>
      </c>
      <c r="AO21" s="223">
        <v>0</v>
      </c>
      <c r="AP21" s="587">
        <f t="shared" si="15"/>
        <v>0</v>
      </c>
      <c r="AQ21" s="587">
        <f t="shared" si="16"/>
        <v>0</v>
      </c>
      <c r="AR21" s="588">
        <f t="shared" si="17"/>
        <v>0</v>
      </c>
      <c r="AS21" s="594">
        <f t="shared" si="18"/>
        <v>0</v>
      </c>
      <c r="AT21" s="227">
        <v>0</v>
      </c>
      <c r="AU21" s="222">
        <v>0</v>
      </c>
      <c r="AV21" s="592">
        <f t="shared" si="19"/>
        <v>0</v>
      </c>
      <c r="AW21" s="592">
        <f>IF((VLOOKUP($A21,'Year 1'!$D$32:$AE$50,19,FALSE))=0,0,((VLOOKUP($A21,'Year 1'!$D$32:$AE$50,19,FALSE))+(AV21*$M$9)))</f>
        <v>1.4367816091954022</v>
      </c>
      <c r="AX21" s="223">
        <v>0</v>
      </c>
      <c r="AY21" s="587">
        <f t="shared" si="20"/>
        <v>0</v>
      </c>
      <c r="AZ21" s="587">
        <f t="shared" si="21"/>
        <v>0</v>
      </c>
      <c r="BA21" s="588">
        <f t="shared" si="22"/>
        <v>0</v>
      </c>
      <c r="BB21" s="594">
        <f t="shared" si="23"/>
        <v>0</v>
      </c>
    </row>
    <row r="22" spans="1:54" s="28" customFormat="1">
      <c r="A22" s="583">
        <f t="shared" si="24"/>
        <v>13</v>
      </c>
      <c r="B22" s="584" t="str">
        <f t="shared" si="0"/>
        <v>Configuration Manager</v>
      </c>
      <c r="C22" s="233" t="s">
        <v>764</v>
      </c>
      <c r="D22" s="585" t="str">
        <f>VLOOKUP($A22,'Year 1'!$D$32:$AE$50,9,FALSE)</f>
        <v>Govt</v>
      </c>
      <c r="E22" s="586">
        <f t="shared" si="1"/>
        <v>0</v>
      </c>
      <c r="F22" s="587">
        <f t="shared" si="1"/>
        <v>0</v>
      </c>
      <c r="G22" s="587">
        <f t="shared" si="1"/>
        <v>0</v>
      </c>
      <c r="H22" s="588">
        <f t="shared" si="2"/>
        <v>0</v>
      </c>
      <c r="I22" s="589">
        <f t="shared" si="25"/>
        <v>0</v>
      </c>
      <c r="J22" s="227">
        <v>0</v>
      </c>
      <c r="K22" s="222">
        <v>0</v>
      </c>
      <c r="L22" s="592">
        <f t="shared" si="26"/>
        <v>0</v>
      </c>
      <c r="M22" s="592">
        <f>IF((VLOOKUP($A22,'Year 1'!$D$32:$AE$50,19,FALSE))=0,0,((VLOOKUP($A22,'Year 1'!$D$32:$AE$50,19,FALSE))+(L22*$M$9)))</f>
        <v>1.4367816091954022</v>
      </c>
      <c r="N22" s="223">
        <v>0</v>
      </c>
      <c r="O22" s="587">
        <f t="shared" si="27"/>
        <v>0</v>
      </c>
      <c r="P22" s="587">
        <f t="shared" si="28"/>
        <v>0</v>
      </c>
      <c r="Q22" s="588">
        <f t="shared" si="3"/>
        <v>0</v>
      </c>
      <c r="R22" s="594">
        <f t="shared" si="29"/>
        <v>0</v>
      </c>
      <c r="S22" s="227">
        <v>0</v>
      </c>
      <c r="T22" s="222">
        <v>0</v>
      </c>
      <c r="U22" s="592">
        <f t="shared" si="4"/>
        <v>0</v>
      </c>
      <c r="V22" s="592">
        <f>IF((VLOOKUP($A22,'Year 1'!$D$32:$AE$50,19,FALSE))=0,0,((VLOOKUP($A22,'Year 1'!$D$32:$AE$50,19,FALSE))+(U22*$M$9)))</f>
        <v>1.4367816091954022</v>
      </c>
      <c r="W22" s="223">
        <v>0</v>
      </c>
      <c r="X22" s="587">
        <f t="shared" si="5"/>
        <v>0</v>
      </c>
      <c r="Y22" s="587">
        <f t="shared" si="6"/>
        <v>0</v>
      </c>
      <c r="Z22" s="588">
        <f t="shared" si="7"/>
        <v>0</v>
      </c>
      <c r="AA22" s="594">
        <f t="shared" si="8"/>
        <v>0</v>
      </c>
      <c r="AB22" s="227">
        <v>0</v>
      </c>
      <c r="AC22" s="222">
        <v>0</v>
      </c>
      <c r="AD22" s="592">
        <f t="shared" si="9"/>
        <v>0</v>
      </c>
      <c r="AE22" s="592">
        <f>IF((VLOOKUP($A22,'Year 1'!$D$32:$AE$50,19,FALSE))=0,0,((VLOOKUP($A22,'Year 1'!$D$32:$AE$50,19,FALSE))+(AD22*$M$9)))</f>
        <v>1.4367816091954022</v>
      </c>
      <c r="AF22" s="223">
        <v>0</v>
      </c>
      <c r="AG22" s="587">
        <f t="shared" si="10"/>
        <v>0</v>
      </c>
      <c r="AH22" s="587">
        <f t="shared" si="11"/>
        <v>0</v>
      </c>
      <c r="AI22" s="588">
        <f t="shared" si="12"/>
        <v>0</v>
      </c>
      <c r="AJ22" s="594">
        <f t="shared" si="13"/>
        <v>0</v>
      </c>
      <c r="AK22" s="227">
        <v>0</v>
      </c>
      <c r="AL22" s="222">
        <v>0</v>
      </c>
      <c r="AM22" s="592">
        <f t="shared" si="14"/>
        <v>0</v>
      </c>
      <c r="AN22" s="592">
        <f>IF((VLOOKUP($A22,'Year 1'!$D$32:$AE$50,19,FALSE))=0,0,((VLOOKUP($A22,'Year 1'!$D$32:$AE$50,19,FALSE))+(AM22*$M$9)))</f>
        <v>1.4367816091954022</v>
      </c>
      <c r="AO22" s="223">
        <v>0</v>
      </c>
      <c r="AP22" s="587">
        <f t="shared" si="15"/>
        <v>0</v>
      </c>
      <c r="AQ22" s="587">
        <f t="shared" si="16"/>
        <v>0</v>
      </c>
      <c r="AR22" s="588">
        <f t="shared" si="17"/>
        <v>0</v>
      </c>
      <c r="AS22" s="594">
        <f t="shared" si="18"/>
        <v>0</v>
      </c>
      <c r="AT22" s="227">
        <v>0</v>
      </c>
      <c r="AU22" s="222">
        <v>0</v>
      </c>
      <c r="AV22" s="592">
        <f t="shared" si="19"/>
        <v>0</v>
      </c>
      <c r="AW22" s="592">
        <f>IF((VLOOKUP($A22,'Year 1'!$D$32:$AE$50,19,FALSE))=0,0,((VLOOKUP($A22,'Year 1'!$D$32:$AE$50,19,FALSE))+(AV22*$M$9)))</f>
        <v>1.4367816091954022</v>
      </c>
      <c r="AX22" s="223">
        <v>0</v>
      </c>
      <c r="AY22" s="587">
        <f t="shared" si="20"/>
        <v>0</v>
      </c>
      <c r="AZ22" s="587">
        <f t="shared" si="21"/>
        <v>0</v>
      </c>
      <c r="BA22" s="588">
        <f t="shared" si="22"/>
        <v>0</v>
      </c>
      <c r="BB22" s="594">
        <f t="shared" si="23"/>
        <v>0</v>
      </c>
    </row>
    <row r="23" spans="1:54" s="28" customFormat="1">
      <c r="A23" s="583">
        <f t="shared" si="24"/>
        <v>14</v>
      </c>
      <c r="B23" s="584" t="str">
        <f t="shared" si="0"/>
        <v>Hardware Technician</v>
      </c>
      <c r="C23" s="233" t="s">
        <v>765</v>
      </c>
      <c r="D23" s="585" t="str">
        <f>VLOOKUP($A23,'Year 1'!$D$32:$AE$50,9,FALSE)</f>
        <v>Govt</v>
      </c>
      <c r="E23" s="586">
        <f t="shared" si="1"/>
        <v>0</v>
      </c>
      <c r="F23" s="587">
        <f t="shared" si="1"/>
        <v>0</v>
      </c>
      <c r="G23" s="587">
        <f t="shared" si="1"/>
        <v>0</v>
      </c>
      <c r="H23" s="588">
        <f t="shared" si="2"/>
        <v>0</v>
      </c>
      <c r="I23" s="589">
        <f t="shared" si="25"/>
        <v>0</v>
      </c>
      <c r="J23" s="227">
        <v>0</v>
      </c>
      <c r="K23" s="222">
        <v>0</v>
      </c>
      <c r="L23" s="592">
        <f t="shared" si="26"/>
        <v>0</v>
      </c>
      <c r="M23" s="592">
        <f>IF((VLOOKUP($A23,'Year 1'!$D$32:$AE$50,19,FALSE))=0,0,((VLOOKUP($A23,'Year 1'!$D$32:$AE$50,19,FALSE))+(L23*$M$9)))</f>
        <v>1.4367816091954022</v>
      </c>
      <c r="N23" s="223">
        <v>0</v>
      </c>
      <c r="O23" s="587">
        <f t="shared" si="27"/>
        <v>0</v>
      </c>
      <c r="P23" s="587">
        <f t="shared" si="28"/>
        <v>0</v>
      </c>
      <c r="Q23" s="588">
        <f t="shared" si="3"/>
        <v>0</v>
      </c>
      <c r="R23" s="594">
        <f t="shared" si="29"/>
        <v>0</v>
      </c>
      <c r="S23" s="227">
        <v>0</v>
      </c>
      <c r="T23" s="222">
        <v>0</v>
      </c>
      <c r="U23" s="592">
        <f t="shared" si="4"/>
        <v>0</v>
      </c>
      <c r="V23" s="592">
        <f>IF((VLOOKUP($A23,'Year 1'!$D$32:$AE$50,19,FALSE))=0,0,((VLOOKUP($A23,'Year 1'!$D$32:$AE$50,19,FALSE))+(U23*$M$9)))</f>
        <v>1.4367816091954022</v>
      </c>
      <c r="W23" s="223">
        <v>0</v>
      </c>
      <c r="X23" s="587">
        <f t="shared" si="5"/>
        <v>0</v>
      </c>
      <c r="Y23" s="587">
        <f t="shared" si="6"/>
        <v>0</v>
      </c>
      <c r="Z23" s="588">
        <f t="shared" si="7"/>
        <v>0</v>
      </c>
      <c r="AA23" s="594">
        <f t="shared" si="8"/>
        <v>0</v>
      </c>
      <c r="AB23" s="227">
        <v>0</v>
      </c>
      <c r="AC23" s="222">
        <v>0</v>
      </c>
      <c r="AD23" s="592">
        <f t="shared" si="9"/>
        <v>0</v>
      </c>
      <c r="AE23" s="592">
        <f>IF((VLOOKUP($A23,'Year 1'!$D$32:$AE$50,19,FALSE))=0,0,((VLOOKUP($A23,'Year 1'!$D$32:$AE$50,19,FALSE))+(AD23*$M$9)))</f>
        <v>1.4367816091954022</v>
      </c>
      <c r="AF23" s="223">
        <v>0</v>
      </c>
      <c r="AG23" s="587">
        <f t="shared" si="10"/>
        <v>0</v>
      </c>
      <c r="AH23" s="587">
        <f t="shared" si="11"/>
        <v>0</v>
      </c>
      <c r="AI23" s="588">
        <f t="shared" si="12"/>
        <v>0</v>
      </c>
      <c r="AJ23" s="594">
        <f t="shared" si="13"/>
        <v>0</v>
      </c>
      <c r="AK23" s="227">
        <v>0</v>
      </c>
      <c r="AL23" s="222">
        <v>0</v>
      </c>
      <c r="AM23" s="592">
        <f t="shared" si="14"/>
        <v>0</v>
      </c>
      <c r="AN23" s="592">
        <f>IF((VLOOKUP($A23,'Year 1'!$D$32:$AE$50,19,FALSE))=0,0,((VLOOKUP($A23,'Year 1'!$D$32:$AE$50,19,FALSE))+(AM23*$M$9)))</f>
        <v>1.4367816091954022</v>
      </c>
      <c r="AO23" s="223">
        <v>0</v>
      </c>
      <c r="AP23" s="587">
        <f t="shared" si="15"/>
        <v>0</v>
      </c>
      <c r="AQ23" s="587">
        <f t="shared" si="16"/>
        <v>0</v>
      </c>
      <c r="AR23" s="588">
        <f t="shared" si="17"/>
        <v>0</v>
      </c>
      <c r="AS23" s="594">
        <f t="shared" si="18"/>
        <v>0</v>
      </c>
      <c r="AT23" s="227">
        <v>0</v>
      </c>
      <c r="AU23" s="222">
        <v>0</v>
      </c>
      <c r="AV23" s="592">
        <f t="shared" si="19"/>
        <v>0</v>
      </c>
      <c r="AW23" s="592">
        <f>IF((VLOOKUP($A23,'Year 1'!$D$32:$AE$50,19,FALSE))=0,0,((VLOOKUP($A23,'Year 1'!$D$32:$AE$50,19,FALSE))+(AV23*$M$9)))</f>
        <v>1.4367816091954022</v>
      </c>
      <c r="AX23" s="223">
        <v>0</v>
      </c>
      <c r="AY23" s="587">
        <f t="shared" si="20"/>
        <v>0</v>
      </c>
      <c r="AZ23" s="587">
        <f t="shared" si="21"/>
        <v>0</v>
      </c>
      <c r="BA23" s="588">
        <f t="shared" si="22"/>
        <v>0</v>
      </c>
      <c r="BB23" s="594">
        <f t="shared" si="23"/>
        <v>0</v>
      </c>
    </row>
    <row r="24" spans="1:54" s="28" customFormat="1">
      <c r="A24" s="583">
        <f t="shared" si="24"/>
        <v>15</v>
      </c>
      <c r="B24" s="584" t="str">
        <f t="shared" si="0"/>
        <v>Repair/Exchange Specialist</v>
      </c>
      <c r="C24" s="233" t="s">
        <v>766</v>
      </c>
      <c r="D24" s="585" t="str">
        <f>VLOOKUP($A24,'Year 1'!$D$32:$AE$50,9,FALSE)</f>
        <v>Govt</v>
      </c>
      <c r="E24" s="586">
        <f t="shared" si="1"/>
        <v>0</v>
      </c>
      <c r="F24" s="587">
        <f t="shared" si="1"/>
        <v>0</v>
      </c>
      <c r="G24" s="587">
        <f t="shared" si="1"/>
        <v>0</v>
      </c>
      <c r="H24" s="588">
        <f t="shared" si="2"/>
        <v>0</v>
      </c>
      <c r="I24" s="589">
        <f t="shared" si="25"/>
        <v>0</v>
      </c>
      <c r="J24" s="227">
        <v>0</v>
      </c>
      <c r="K24" s="222">
        <v>0</v>
      </c>
      <c r="L24" s="592">
        <f t="shared" si="26"/>
        <v>0</v>
      </c>
      <c r="M24" s="592">
        <f>IF((VLOOKUP($A24,'Year 1'!$D$32:$AE$50,19,FALSE))=0,0,((VLOOKUP($A24,'Year 1'!$D$32:$AE$50,19,FALSE))+(L24*$M$9)))</f>
        <v>1.4367816091954022</v>
      </c>
      <c r="N24" s="223">
        <v>0</v>
      </c>
      <c r="O24" s="587">
        <f t="shared" si="27"/>
        <v>0</v>
      </c>
      <c r="P24" s="587">
        <f t="shared" si="28"/>
        <v>0</v>
      </c>
      <c r="Q24" s="588">
        <f t="shared" si="3"/>
        <v>0</v>
      </c>
      <c r="R24" s="594">
        <f t="shared" si="29"/>
        <v>0</v>
      </c>
      <c r="S24" s="227">
        <v>0</v>
      </c>
      <c r="T24" s="222">
        <v>0</v>
      </c>
      <c r="U24" s="592">
        <f t="shared" si="4"/>
        <v>0</v>
      </c>
      <c r="V24" s="592">
        <f>IF((VLOOKUP($A24,'Year 1'!$D$32:$AE$50,19,FALSE))=0,0,((VLOOKUP($A24,'Year 1'!$D$32:$AE$50,19,FALSE))+(U24*$M$9)))</f>
        <v>1.4367816091954022</v>
      </c>
      <c r="W24" s="223">
        <v>0</v>
      </c>
      <c r="X24" s="587">
        <f t="shared" si="5"/>
        <v>0</v>
      </c>
      <c r="Y24" s="587">
        <f t="shared" si="6"/>
        <v>0</v>
      </c>
      <c r="Z24" s="588">
        <f t="shared" si="7"/>
        <v>0</v>
      </c>
      <c r="AA24" s="594">
        <f t="shared" si="8"/>
        <v>0</v>
      </c>
      <c r="AB24" s="227">
        <v>0</v>
      </c>
      <c r="AC24" s="222">
        <v>0</v>
      </c>
      <c r="AD24" s="592">
        <f t="shared" si="9"/>
        <v>0</v>
      </c>
      <c r="AE24" s="592">
        <f>IF((VLOOKUP($A24,'Year 1'!$D$32:$AE$50,19,FALSE))=0,0,((VLOOKUP($A24,'Year 1'!$D$32:$AE$50,19,FALSE))+(AD24*$M$9)))</f>
        <v>1.4367816091954022</v>
      </c>
      <c r="AF24" s="223">
        <v>0</v>
      </c>
      <c r="AG24" s="587">
        <f t="shared" si="10"/>
        <v>0</v>
      </c>
      <c r="AH24" s="587">
        <f t="shared" si="11"/>
        <v>0</v>
      </c>
      <c r="AI24" s="588">
        <f t="shared" si="12"/>
        <v>0</v>
      </c>
      <c r="AJ24" s="594">
        <f t="shared" si="13"/>
        <v>0</v>
      </c>
      <c r="AK24" s="227">
        <v>0</v>
      </c>
      <c r="AL24" s="222">
        <v>0</v>
      </c>
      <c r="AM24" s="592">
        <f t="shared" si="14"/>
        <v>0</v>
      </c>
      <c r="AN24" s="592">
        <f>IF((VLOOKUP($A24,'Year 1'!$D$32:$AE$50,19,FALSE))=0,0,((VLOOKUP($A24,'Year 1'!$D$32:$AE$50,19,FALSE))+(AM24*$M$9)))</f>
        <v>1.4367816091954022</v>
      </c>
      <c r="AO24" s="223">
        <v>0</v>
      </c>
      <c r="AP24" s="587">
        <f t="shared" si="15"/>
        <v>0</v>
      </c>
      <c r="AQ24" s="587">
        <f t="shared" si="16"/>
        <v>0</v>
      </c>
      <c r="AR24" s="588">
        <f t="shared" si="17"/>
        <v>0</v>
      </c>
      <c r="AS24" s="594">
        <f t="shared" si="18"/>
        <v>0</v>
      </c>
      <c r="AT24" s="227">
        <v>0</v>
      </c>
      <c r="AU24" s="222">
        <v>0</v>
      </c>
      <c r="AV24" s="592">
        <f t="shared" si="19"/>
        <v>0</v>
      </c>
      <c r="AW24" s="592">
        <f>IF((VLOOKUP($A24,'Year 1'!$D$32:$AE$50,19,FALSE))=0,0,((VLOOKUP($A24,'Year 1'!$D$32:$AE$50,19,FALSE))+(AV24*$M$9)))</f>
        <v>1.4367816091954022</v>
      </c>
      <c r="AX24" s="223">
        <v>0</v>
      </c>
      <c r="AY24" s="587">
        <f t="shared" si="20"/>
        <v>0</v>
      </c>
      <c r="AZ24" s="587">
        <f t="shared" si="21"/>
        <v>0</v>
      </c>
      <c r="BA24" s="588">
        <f t="shared" si="22"/>
        <v>0</v>
      </c>
      <c r="BB24" s="594">
        <f t="shared" si="23"/>
        <v>0</v>
      </c>
    </row>
    <row r="25" spans="1:54" s="28" customFormat="1">
      <c r="A25" s="583">
        <f t="shared" si="24"/>
        <v>16</v>
      </c>
      <c r="B25" s="584" t="str">
        <f t="shared" si="0"/>
        <v>PMO Cost</v>
      </c>
      <c r="C25" s="233" t="s">
        <v>767</v>
      </c>
      <c r="D25" s="585" t="str">
        <f>VLOOKUP($A25,'Year 1'!$D$32:$AE$50,9,FALSE)</f>
        <v>Govt</v>
      </c>
      <c r="E25" s="586">
        <f t="shared" si="1"/>
        <v>0</v>
      </c>
      <c r="F25" s="587">
        <f t="shared" si="1"/>
        <v>0</v>
      </c>
      <c r="G25" s="587">
        <f t="shared" si="1"/>
        <v>0</v>
      </c>
      <c r="H25" s="588">
        <f t="shared" si="2"/>
        <v>0</v>
      </c>
      <c r="I25" s="589">
        <f t="shared" si="25"/>
        <v>0</v>
      </c>
      <c r="J25" s="227">
        <v>0</v>
      </c>
      <c r="K25" s="222">
        <v>0</v>
      </c>
      <c r="L25" s="592">
        <f t="shared" si="26"/>
        <v>0</v>
      </c>
      <c r="M25" s="592">
        <f>IF((VLOOKUP($A25,'Year 1'!$D$32:$AE$50,19,FALSE))=0,0,((VLOOKUP($A25,'Year 1'!$D$32:$AE$50,19,FALSE))+(L25*$M$9)))</f>
        <v>0</v>
      </c>
      <c r="N25" s="223">
        <v>0</v>
      </c>
      <c r="O25" s="587">
        <f t="shared" si="27"/>
        <v>0</v>
      </c>
      <c r="P25" s="587">
        <f t="shared" si="28"/>
        <v>0</v>
      </c>
      <c r="Q25" s="588">
        <f t="shared" si="3"/>
        <v>0</v>
      </c>
      <c r="R25" s="594">
        <f t="shared" si="29"/>
        <v>0</v>
      </c>
      <c r="S25" s="227">
        <v>0</v>
      </c>
      <c r="T25" s="222">
        <v>0</v>
      </c>
      <c r="U25" s="592">
        <f t="shared" si="4"/>
        <v>0</v>
      </c>
      <c r="V25" s="592">
        <f>IF((VLOOKUP($A25,'Year 1'!$D$32:$AE$50,19,FALSE))=0,0,((VLOOKUP($A25,'Year 1'!$D$32:$AE$50,19,FALSE))+(U25*$M$9)))</f>
        <v>0</v>
      </c>
      <c r="W25" s="223">
        <v>0</v>
      </c>
      <c r="X25" s="587">
        <f t="shared" si="5"/>
        <v>0</v>
      </c>
      <c r="Y25" s="587">
        <f t="shared" si="6"/>
        <v>0</v>
      </c>
      <c r="Z25" s="588">
        <f t="shared" si="7"/>
        <v>0</v>
      </c>
      <c r="AA25" s="594">
        <f t="shared" si="8"/>
        <v>0</v>
      </c>
      <c r="AB25" s="227">
        <v>0</v>
      </c>
      <c r="AC25" s="222">
        <v>0</v>
      </c>
      <c r="AD25" s="592">
        <f t="shared" si="9"/>
        <v>0</v>
      </c>
      <c r="AE25" s="592">
        <f>IF((VLOOKUP($A25,'Year 1'!$D$32:$AE$50,19,FALSE))=0,0,((VLOOKUP($A25,'Year 1'!$D$32:$AE$50,19,FALSE))+(AD25*$M$9)))</f>
        <v>0</v>
      </c>
      <c r="AF25" s="223">
        <v>0</v>
      </c>
      <c r="AG25" s="587">
        <f t="shared" si="10"/>
        <v>0</v>
      </c>
      <c r="AH25" s="587">
        <f t="shared" si="11"/>
        <v>0</v>
      </c>
      <c r="AI25" s="588">
        <f t="shared" si="12"/>
        <v>0</v>
      </c>
      <c r="AJ25" s="594">
        <f t="shared" si="13"/>
        <v>0</v>
      </c>
      <c r="AK25" s="227">
        <v>0</v>
      </c>
      <c r="AL25" s="222">
        <v>0</v>
      </c>
      <c r="AM25" s="592">
        <f t="shared" si="14"/>
        <v>0</v>
      </c>
      <c r="AN25" s="592">
        <f>IF((VLOOKUP($A25,'Year 1'!$D$32:$AE$50,19,FALSE))=0,0,((VLOOKUP($A25,'Year 1'!$D$32:$AE$50,19,FALSE))+(AM25*$M$9)))</f>
        <v>0</v>
      </c>
      <c r="AO25" s="223">
        <v>0</v>
      </c>
      <c r="AP25" s="587">
        <f t="shared" si="15"/>
        <v>0</v>
      </c>
      <c r="AQ25" s="587">
        <f t="shared" si="16"/>
        <v>0</v>
      </c>
      <c r="AR25" s="588">
        <f t="shared" si="17"/>
        <v>0</v>
      </c>
      <c r="AS25" s="594">
        <f t="shared" si="18"/>
        <v>0</v>
      </c>
      <c r="AT25" s="227">
        <v>0</v>
      </c>
      <c r="AU25" s="222">
        <v>0</v>
      </c>
      <c r="AV25" s="592">
        <f t="shared" si="19"/>
        <v>0</v>
      </c>
      <c r="AW25" s="592">
        <f>IF((VLOOKUP($A25,'Year 1'!$D$32:$AE$50,19,FALSE))=0,0,((VLOOKUP($A25,'Year 1'!$D$32:$AE$50,19,FALSE))+(AV25*$M$9)))</f>
        <v>0</v>
      </c>
      <c r="AX25" s="223">
        <v>0</v>
      </c>
      <c r="AY25" s="587">
        <f t="shared" si="20"/>
        <v>0</v>
      </c>
      <c r="AZ25" s="587">
        <f t="shared" si="21"/>
        <v>0</v>
      </c>
      <c r="BA25" s="588">
        <f t="shared" si="22"/>
        <v>0</v>
      </c>
      <c r="BB25" s="594">
        <f t="shared" si="23"/>
        <v>0</v>
      </c>
    </row>
    <row r="26" spans="1:54" s="28" customFormat="1">
      <c r="A26" s="583">
        <f t="shared" si="24"/>
        <v>17</v>
      </c>
      <c r="B26" s="584" t="str">
        <f t="shared" si="0"/>
        <v>Project Controller Cost</v>
      </c>
      <c r="C26" s="233" t="s">
        <v>768</v>
      </c>
      <c r="D26" s="585" t="str">
        <f>VLOOKUP($A26,'Year 1'!$D$32:$AE$50,9,FALSE)</f>
        <v>Govt_Sub</v>
      </c>
      <c r="E26" s="586">
        <f t="shared" si="1"/>
        <v>0</v>
      </c>
      <c r="F26" s="587">
        <f t="shared" si="1"/>
        <v>0</v>
      </c>
      <c r="G26" s="587">
        <f t="shared" si="1"/>
        <v>0</v>
      </c>
      <c r="H26" s="588">
        <f t="shared" si="2"/>
        <v>0</v>
      </c>
      <c r="I26" s="589">
        <f t="shared" si="25"/>
        <v>0</v>
      </c>
      <c r="J26" s="227">
        <v>0</v>
      </c>
      <c r="K26" s="222">
        <v>0</v>
      </c>
      <c r="L26" s="592">
        <f t="shared" si="26"/>
        <v>0</v>
      </c>
      <c r="M26" s="592">
        <f>IF((VLOOKUP($A26,'Year 1'!$D$32:$AE$50,19,FALSE))=0,0,((VLOOKUP($A26,'Year 1'!$D$32:$AE$50,19,FALSE))+(L26*$M$9)))</f>
        <v>0</v>
      </c>
      <c r="N26" s="223">
        <v>0</v>
      </c>
      <c r="O26" s="587">
        <f t="shared" si="27"/>
        <v>0</v>
      </c>
      <c r="P26" s="587">
        <f t="shared" si="28"/>
        <v>0</v>
      </c>
      <c r="Q26" s="588">
        <f t="shared" si="3"/>
        <v>0</v>
      </c>
      <c r="R26" s="594">
        <f t="shared" si="29"/>
        <v>0</v>
      </c>
      <c r="S26" s="227">
        <v>0</v>
      </c>
      <c r="T26" s="222">
        <v>0</v>
      </c>
      <c r="U26" s="592">
        <f t="shared" si="4"/>
        <v>0</v>
      </c>
      <c r="V26" s="592">
        <f>IF((VLOOKUP($A26,'Year 1'!$D$32:$AE$50,19,FALSE))=0,0,((VLOOKUP($A26,'Year 1'!$D$32:$AE$50,19,FALSE))+(U26*$M$9)))</f>
        <v>0</v>
      </c>
      <c r="W26" s="223">
        <v>0</v>
      </c>
      <c r="X26" s="587">
        <f t="shared" si="5"/>
        <v>0</v>
      </c>
      <c r="Y26" s="587">
        <f t="shared" si="6"/>
        <v>0</v>
      </c>
      <c r="Z26" s="588">
        <f t="shared" si="7"/>
        <v>0</v>
      </c>
      <c r="AA26" s="594">
        <f t="shared" si="8"/>
        <v>0</v>
      </c>
      <c r="AB26" s="227">
        <v>0</v>
      </c>
      <c r="AC26" s="222">
        <v>0</v>
      </c>
      <c r="AD26" s="592">
        <f t="shared" si="9"/>
        <v>0</v>
      </c>
      <c r="AE26" s="592">
        <f>IF((VLOOKUP($A26,'Year 1'!$D$32:$AE$50,19,FALSE))=0,0,((VLOOKUP($A26,'Year 1'!$D$32:$AE$50,19,FALSE))+(AD26*$M$9)))</f>
        <v>0</v>
      </c>
      <c r="AF26" s="223">
        <v>0</v>
      </c>
      <c r="AG26" s="587">
        <f t="shared" si="10"/>
        <v>0</v>
      </c>
      <c r="AH26" s="587">
        <f t="shared" si="11"/>
        <v>0</v>
      </c>
      <c r="AI26" s="588">
        <f t="shared" si="12"/>
        <v>0</v>
      </c>
      <c r="AJ26" s="594">
        <f t="shared" si="13"/>
        <v>0</v>
      </c>
      <c r="AK26" s="227">
        <v>0</v>
      </c>
      <c r="AL26" s="222">
        <v>0</v>
      </c>
      <c r="AM26" s="592">
        <f t="shared" si="14"/>
        <v>0</v>
      </c>
      <c r="AN26" s="592">
        <f>IF((VLOOKUP($A26,'Year 1'!$D$32:$AE$50,19,FALSE))=0,0,((VLOOKUP($A26,'Year 1'!$D$32:$AE$50,19,FALSE))+(AM26*$M$9)))</f>
        <v>0</v>
      </c>
      <c r="AO26" s="223">
        <v>0</v>
      </c>
      <c r="AP26" s="587">
        <f t="shared" si="15"/>
        <v>0</v>
      </c>
      <c r="AQ26" s="587">
        <f t="shared" si="16"/>
        <v>0</v>
      </c>
      <c r="AR26" s="588">
        <f t="shared" si="17"/>
        <v>0</v>
      </c>
      <c r="AS26" s="594">
        <f t="shared" si="18"/>
        <v>0</v>
      </c>
      <c r="AT26" s="227">
        <v>0</v>
      </c>
      <c r="AU26" s="222">
        <v>0</v>
      </c>
      <c r="AV26" s="592">
        <f t="shared" si="19"/>
        <v>0</v>
      </c>
      <c r="AW26" s="592">
        <f>IF((VLOOKUP($A26,'Year 1'!$D$32:$AE$50,19,FALSE))=0,0,((VLOOKUP($A26,'Year 1'!$D$32:$AE$50,19,FALSE))+(AV26*$M$9)))</f>
        <v>0</v>
      </c>
      <c r="AX26" s="223">
        <v>0</v>
      </c>
      <c r="AY26" s="587">
        <f t="shared" si="20"/>
        <v>0</v>
      </c>
      <c r="AZ26" s="587">
        <f t="shared" si="21"/>
        <v>0</v>
      </c>
      <c r="BA26" s="588">
        <f t="shared" si="22"/>
        <v>0</v>
      </c>
      <c r="BB26" s="594">
        <f t="shared" si="23"/>
        <v>0</v>
      </c>
    </row>
    <row r="27" spans="1:54" s="28" customFormat="1">
      <c r="A27" s="583">
        <f t="shared" si="24"/>
        <v>18</v>
      </c>
      <c r="B27" s="584" t="e">
        <f t="shared" si="0"/>
        <v>#N/A</v>
      </c>
      <c r="C27" s="233" t="s">
        <v>769</v>
      </c>
      <c r="D27" s="585" t="e">
        <f>VLOOKUP($A27,'Year 1'!$D$32:$AE$50,9,FALSE)</f>
        <v>#N/A</v>
      </c>
      <c r="E27" s="586">
        <f t="shared" si="1"/>
        <v>0</v>
      </c>
      <c r="F27" s="587">
        <f t="shared" si="1"/>
        <v>0</v>
      </c>
      <c r="G27" s="587" t="e">
        <f t="shared" si="1"/>
        <v>#N/A</v>
      </c>
      <c r="H27" s="588" t="e">
        <f t="shared" si="2"/>
        <v>#N/A</v>
      </c>
      <c r="I27" s="589" t="e">
        <f t="shared" si="25"/>
        <v>#N/A</v>
      </c>
      <c r="J27" s="227">
        <v>0</v>
      </c>
      <c r="K27" s="222">
        <v>0</v>
      </c>
      <c r="L27" s="592">
        <f t="shared" si="26"/>
        <v>0</v>
      </c>
      <c r="M27" s="592" t="e">
        <f>IF((VLOOKUP($A27,'Year 1'!$D$32:$AE$50,19,FALSE))=0,0,((VLOOKUP($A27,'Year 1'!$D$32:$AE$50,19,FALSE))+(L27*$M$9)))</f>
        <v>#N/A</v>
      </c>
      <c r="N27" s="223">
        <v>0</v>
      </c>
      <c r="O27" s="587">
        <f t="shared" si="27"/>
        <v>0</v>
      </c>
      <c r="P27" s="587" t="e">
        <f t="shared" si="28"/>
        <v>#N/A</v>
      </c>
      <c r="Q27" s="588" t="e">
        <f t="shared" si="3"/>
        <v>#N/A</v>
      </c>
      <c r="R27" s="594" t="e">
        <f t="shared" si="29"/>
        <v>#N/A</v>
      </c>
      <c r="S27" s="227">
        <v>0</v>
      </c>
      <c r="T27" s="222">
        <v>0</v>
      </c>
      <c r="U27" s="592">
        <f t="shared" si="4"/>
        <v>0</v>
      </c>
      <c r="V27" s="592" t="e">
        <f>IF((VLOOKUP($A27,'Year 1'!$D$32:$AE$50,19,FALSE))=0,0,((VLOOKUP($A27,'Year 1'!$D$32:$AE$50,19,FALSE))+(U27*$M$9)))</f>
        <v>#N/A</v>
      </c>
      <c r="W27" s="223">
        <v>0</v>
      </c>
      <c r="X27" s="587">
        <f t="shared" si="5"/>
        <v>0</v>
      </c>
      <c r="Y27" s="587" t="e">
        <f t="shared" si="6"/>
        <v>#N/A</v>
      </c>
      <c r="Z27" s="588" t="e">
        <f t="shared" si="7"/>
        <v>#N/A</v>
      </c>
      <c r="AA27" s="594" t="e">
        <f t="shared" si="8"/>
        <v>#N/A</v>
      </c>
      <c r="AB27" s="227">
        <v>0</v>
      </c>
      <c r="AC27" s="222">
        <v>0</v>
      </c>
      <c r="AD27" s="592">
        <f t="shared" si="9"/>
        <v>0</v>
      </c>
      <c r="AE27" s="592" t="e">
        <f>IF((VLOOKUP($A27,'Year 1'!$D$32:$AE$50,19,FALSE))=0,0,((VLOOKUP($A27,'Year 1'!$D$32:$AE$50,19,FALSE))+(AD27*$M$9)))</f>
        <v>#N/A</v>
      </c>
      <c r="AF27" s="223">
        <v>0</v>
      </c>
      <c r="AG27" s="587">
        <f t="shared" si="10"/>
        <v>0</v>
      </c>
      <c r="AH27" s="587" t="e">
        <f t="shared" si="11"/>
        <v>#N/A</v>
      </c>
      <c r="AI27" s="588" t="e">
        <f t="shared" si="12"/>
        <v>#N/A</v>
      </c>
      <c r="AJ27" s="594" t="e">
        <f t="shared" si="13"/>
        <v>#N/A</v>
      </c>
      <c r="AK27" s="227">
        <v>0</v>
      </c>
      <c r="AL27" s="222">
        <v>0</v>
      </c>
      <c r="AM27" s="592">
        <f t="shared" si="14"/>
        <v>0</v>
      </c>
      <c r="AN27" s="592" t="e">
        <f>IF((VLOOKUP($A27,'Year 1'!$D$32:$AE$50,19,FALSE))=0,0,((VLOOKUP($A27,'Year 1'!$D$32:$AE$50,19,FALSE))+(AM27*$M$9)))</f>
        <v>#N/A</v>
      </c>
      <c r="AO27" s="223">
        <v>0</v>
      </c>
      <c r="AP27" s="587">
        <f t="shared" si="15"/>
        <v>0</v>
      </c>
      <c r="AQ27" s="587" t="e">
        <f t="shared" si="16"/>
        <v>#N/A</v>
      </c>
      <c r="AR27" s="588" t="e">
        <f t="shared" si="17"/>
        <v>#N/A</v>
      </c>
      <c r="AS27" s="594" t="e">
        <f t="shared" si="18"/>
        <v>#N/A</v>
      </c>
      <c r="AT27" s="227">
        <v>0</v>
      </c>
      <c r="AU27" s="222">
        <v>0</v>
      </c>
      <c r="AV27" s="592">
        <f t="shared" si="19"/>
        <v>0</v>
      </c>
      <c r="AW27" s="592" t="e">
        <f>IF((VLOOKUP($A27,'Year 1'!$D$32:$AE$50,19,FALSE))=0,0,((VLOOKUP($A27,'Year 1'!$D$32:$AE$50,19,FALSE))+(AV27*$M$9)))</f>
        <v>#N/A</v>
      </c>
      <c r="AX27" s="223">
        <v>0</v>
      </c>
      <c r="AY27" s="587">
        <f t="shared" si="20"/>
        <v>0</v>
      </c>
      <c r="AZ27" s="587" t="e">
        <f t="shared" si="21"/>
        <v>#N/A</v>
      </c>
      <c r="BA27" s="588" t="e">
        <f t="shared" si="22"/>
        <v>#N/A</v>
      </c>
      <c r="BB27" s="594" t="e">
        <f t="shared" si="23"/>
        <v>#N/A</v>
      </c>
    </row>
    <row r="28" spans="1:54" s="28" customFormat="1">
      <c r="A28" s="583">
        <f t="shared" si="24"/>
        <v>19</v>
      </c>
      <c r="B28" s="584" t="e">
        <f t="shared" si="0"/>
        <v>#N/A</v>
      </c>
      <c r="C28" s="233" t="s">
        <v>770</v>
      </c>
      <c r="D28" s="585" t="e">
        <f>VLOOKUP($A28,'Year 1'!$D$32:$AE$50,9,FALSE)</f>
        <v>#N/A</v>
      </c>
      <c r="E28" s="586">
        <f t="shared" si="1"/>
        <v>0</v>
      </c>
      <c r="F28" s="587">
        <f t="shared" si="1"/>
        <v>0</v>
      </c>
      <c r="G28" s="587" t="e">
        <f t="shared" si="1"/>
        <v>#N/A</v>
      </c>
      <c r="H28" s="588" t="e">
        <f t="shared" si="2"/>
        <v>#N/A</v>
      </c>
      <c r="I28" s="589" t="e">
        <f t="shared" si="25"/>
        <v>#N/A</v>
      </c>
      <c r="J28" s="227">
        <v>0</v>
      </c>
      <c r="K28" s="222">
        <v>0</v>
      </c>
      <c r="L28" s="592">
        <f t="shared" si="26"/>
        <v>0</v>
      </c>
      <c r="M28" s="592" t="e">
        <f>IF((VLOOKUP($A28,'Year 1'!$D$32:$AE$50,19,FALSE))=0,0,((VLOOKUP($A28,'Year 1'!$D$32:$AE$50,19,FALSE))+(L28*$M$9)))</f>
        <v>#N/A</v>
      </c>
      <c r="N28" s="223">
        <v>0</v>
      </c>
      <c r="O28" s="587">
        <f t="shared" si="27"/>
        <v>0</v>
      </c>
      <c r="P28" s="587" t="e">
        <f t="shared" si="28"/>
        <v>#N/A</v>
      </c>
      <c r="Q28" s="588" t="e">
        <f t="shared" si="3"/>
        <v>#N/A</v>
      </c>
      <c r="R28" s="594" t="e">
        <f t="shared" si="29"/>
        <v>#N/A</v>
      </c>
      <c r="S28" s="227">
        <v>0</v>
      </c>
      <c r="T28" s="222">
        <v>0</v>
      </c>
      <c r="U28" s="592">
        <f t="shared" si="4"/>
        <v>0</v>
      </c>
      <c r="V28" s="592" t="e">
        <f>IF((VLOOKUP($A28,'Year 1'!$D$32:$AE$50,19,FALSE))=0,0,((VLOOKUP($A28,'Year 1'!$D$32:$AE$50,19,FALSE))+(U28*$M$9)))</f>
        <v>#N/A</v>
      </c>
      <c r="W28" s="223">
        <v>0</v>
      </c>
      <c r="X28" s="587">
        <f t="shared" si="5"/>
        <v>0</v>
      </c>
      <c r="Y28" s="587" t="e">
        <f t="shared" si="6"/>
        <v>#N/A</v>
      </c>
      <c r="Z28" s="588" t="e">
        <f t="shared" si="7"/>
        <v>#N/A</v>
      </c>
      <c r="AA28" s="594" t="e">
        <f t="shared" si="8"/>
        <v>#N/A</v>
      </c>
      <c r="AB28" s="227">
        <v>0</v>
      </c>
      <c r="AC28" s="222">
        <v>0</v>
      </c>
      <c r="AD28" s="592">
        <f t="shared" si="9"/>
        <v>0</v>
      </c>
      <c r="AE28" s="592" t="e">
        <f>IF((VLOOKUP($A28,'Year 1'!$D$32:$AE$50,19,FALSE))=0,0,((VLOOKUP($A28,'Year 1'!$D$32:$AE$50,19,FALSE))+(AD28*$M$9)))</f>
        <v>#N/A</v>
      </c>
      <c r="AF28" s="223">
        <v>0</v>
      </c>
      <c r="AG28" s="587">
        <f t="shared" si="10"/>
        <v>0</v>
      </c>
      <c r="AH28" s="587" t="e">
        <f t="shared" si="11"/>
        <v>#N/A</v>
      </c>
      <c r="AI28" s="588" t="e">
        <f t="shared" si="12"/>
        <v>#N/A</v>
      </c>
      <c r="AJ28" s="594" t="e">
        <f t="shared" si="13"/>
        <v>#N/A</v>
      </c>
      <c r="AK28" s="227">
        <v>0</v>
      </c>
      <c r="AL28" s="222">
        <v>0</v>
      </c>
      <c r="AM28" s="592">
        <f t="shared" si="14"/>
        <v>0</v>
      </c>
      <c r="AN28" s="592" t="e">
        <f>IF((VLOOKUP($A28,'Year 1'!$D$32:$AE$50,19,FALSE))=0,0,((VLOOKUP($A28,'Year 1'!$D$32:$AE$50,19,FALSE))+(AM28*$M$9)))</f>
        <v>#N/A</v>
      </c>
      <c r="AO28" s="223">
        <v>0</v>
      </c>
      <c r="AP28" s="587">
        <f t="shared" si="15"/>
        <v>0</v>
      </c>
      <c r="AQ28" s="587" t="e">
        <f t="shared" si="16"/>
        <v>#N/A</v>
      </c>
      <c r="AR28" s="588" t="e">
        <f t="shared" si="17"/>
        <v>#N/A</v>
      </c>
      <c r="AS28" s="594" t="e">
        <f t="shared" si="18"/>
        <v>#N/A</v>
      </c>
      <c r="AT28" s="227">
        <v>0</v>
      </c>
      <c r="AU28" s="222">
        <v>0</v>
      </c>
      <c r="AV28" s="592">
        <f t="shared" si="19"/>
        <v>0</v>
      </c>
      <c r="AW28" s="592" t="e">
        <f>IF((VLOOKUP($A28,'Year 1'!$D$32:$AE$50,19,FALSE))=0,0,((VLOOKUP($A28,'Year 1'!$D$32:$AE$50,19,FALSE))+(AV28*$M$9)))</f>
        <v>#N/A</v>
      </c>
      <c r="AX28" s="223">
        <v>0</v>
      </c>
      <c r="AY28" s="587">
        <f t="shared" si="20"/>
        <v>0</v>
      </c>
      <c r="AZ28" s="587" t="e">
        <f t="shared" si="21"/>
        <v>#N/A</v>
      </c>
      <c r="BA28" s="588" t="e">
        <f t="shared" si="22"/>
        <v>#N/A</v>
      </c>
      <c r="BB28" s="594" t="e">
        <f t="shared" si="23"/>
        <v>#N/A</v>
      </c>
    </row>
    <row r="29" spans="1:54" s="28" customFormat="1" ht="13.5" thickBot="1">
      <c r="A29" s="583">
        <f t="shared" si="24"/>
        <v>20</v>
      </c>
      <c r="B29" s="584" t="e">
        <f t="shared" si="0"/>
        <v>#N/A</v>
      </c>
      <c r="C29" s="233" t="s">
        <v>771</v>
      </c>
      <c r="D29" s="585" t="e">
        <f>VLOOKUP($A29,'Year 1'!$D$32:$AE$50,9,FALSE)</f>
        <v>#N/A</v>
      </c>
      <c r="E29" s="586">
        <f t="shared" si="1"/>
        <v>0</v>
      </c>
      <c r="F29" s="587">
        <f t="shared" si="1"/>
        <v>0</v>
      </c>
      <c r="G29" s="587" t="e">
        <f t="shared" si="1"/>
        <v>#N/A</v>
      </c>
      <c r="H29" s="588" t="e">
        <f t="shared" si="2"/>
        <v>#N/A</v>
      </c>
      <c r="I29" s="589" t="e">
        <f t="shared" si="25"/>
        <v>#N/A</v>
      </c>
      <c r="J29" s="227">
        <v>0</v>
      </c>
      <c r="K29" s="225">
        <v>0</v>
      </c>
      <c r="L29" s="597">
        <f t="shared" si="26"/>
        <v>0</v>
      </c>
      <c r="M29" s="597" t="e">
        <f>IF((VLOOKUP($A29,'Year 1'!$D$32:$AE$50,19,FALSE))=0,0,((VLOOKUP($A29,'Year 1'!$D$32:$AE$50,19,FALSE))+(L29*$M$9)))</f>
        <v>#N/A</v>
      </c>
      <c r="N29" s="226">
        <v>0</v>
      </c>
      <c r="O29" s="599">
        <f t="shared" si="27"/>
        <v>0</v>
      </c>
      <c r="P29" s="599" t="e">
        <f t="shared" si="28"/>
        <v>#N/A</v>
      </c>
      <c r="Q29" s="600" t="e">
        <f t="shared" si="3"/>
        <v>#N/A</v>
      </c>
      <c r="R29" s="601" t="e">
        <f t="shared" si="29"/>
        <v>#N/A</v>
      </c>
      <c r="S29" s="228">
        <v>0</v>
      </c>
      <c r="T29" s="225">
        <v>0</v>
      </c>
      <c r="U29" s="597">
        <f t="shared" si="4"/>
        <v>0</v>
      </c>
      <c r="V29" s="597" t="e">
        <f>IF((VLOOKUP($A29,'Year 1'!$D$32:$AE$50,19,FALSE))=0,0,((VLOOKUP($A29,'Year 1'!$D$32:$AE$50,19,FALSE))+(U29*$M$9)))</f>
        <v>#N/A</v>
      </c>
      <c r="W29" s="226">
        <v>0</v>
      </c>
      <c r="X29" s="599">
        <f t="shared" si="5"/>
        <v>0</v>
      </c>
      <c r="Y29" s="599" t="e">
        <f t="shared" si="6"/>
        <v>#N/A</v>
      </c>
      <c r="Z29" s="600" t="e">
        <f t="shared" si="7"/>
        <v>#N/A</v>
      </c>
      <c r="AA29" s="601" t="e">
        <f t="shared" si="8"/>
        <v>#N/A</v>
      </c>
      <c r="AB29" s="228">
        <v>0</v>
      </c>
      <c r="AC29" s="225">
        <v>0</v>
      </c>
      <c r="AD29" s="597">
        <f t="shared" si="9"/>
        <v>0</v>
      </c>
      <c r="AE29" s="597" t="e">
        <f>IF((VLOOKUP($A29,'Year 1'!$D$32:$AE$50,19,FALSE))=0,0,((VLOOKUP($A29,'Year 1'!$D$32:$AE$50,19,FALSE))+(AD29*$M$9)))</f>
        <v>#N/A</v>
      </c>
      <c r="AF29" s="226">
        <v>0</v>
      </c>
      <c r="AG29" s="599">
        <f t="shared" si="10"/>
        <v>0</v>
      </c>
      <c r="AH29" s="599" t="e">
        <f t="shared" si="11"/>
        <v>#N/A</v>
      </c>
      <c r="AI29" s="600" t="e">
        <f t="shared" si="12"/>
        <v>#N/A</v>
      </c>
      <c r="AJ29" s="601" t="e">
        <f t="shared" si="13"/>
        <v>#N/A</v>
      </c>
      <c r="AK29" s="228">
        <v>0</v>
      </c>
      <c r="AL29" s="225">
        <v>0</v>
      </c>
      <c r="AM29" s="597">
        <f t="shared" si="14"/>
        <v>0</v>
      </c>
      <c r="AN29" s="597" t="e">
        <f>IF((VLOOKUP($A29,'Year 1'!$D$32:$AE$50,19,FALSE))=0,0,((VLOOKUP($A29,'Year 1'!$D$32:$AE$50,19,FALSE))+(AM29*$M$9)))</f>
        <v>#N/A</v>
      </c>
      <c r="AO29" s="226">
        <v>0</v>
      </c>
      <c r="AP29" s="599">
        <f t="shared" si="15"/>
        <v>0</v>
      </c>
      <c r="AQ29" s="599" t="e">
        <f t="shared" si="16"/>
        <v>#N/A</v>
      </c>
      <c r="AR29" s="600" t="e">
        <f t="shared" si="17"/>
        <v>#N/A</v>
      </c>
      <c r="AS29" s="601" t="e">
        <f t="shared" si="18"/>
        <v>#N/A</v>
      </c>
      <c r="AT29" s="228">
        <v>0</v>
      </c>
      <c r="AU29" s="225">
        <v>0</v>
      </c>
      <c r="AV29" s="597">
        <f t="shared" si="19"/>
        <v>0</v>
      </c>
      <c r="AW29" s="597" t="e">
        <f>IF((VLOOKUP($A29,'Year 1'!$D$32:$AE$50,19,FALSE))=0,0,((VLOOKUP($A29,'Year 1'!$D$32:$AE$50,19,FALSE))+(AV29*$M$9)))</f>
        <v>#N/A</v>
      </c>
      <c r="AX29" s="226">
        <v>0</v>
      </c>
      <c r="AY29" s="599">
        <f t="shared" si="20"/>
        <v>0</v>
      </c>
      <c r="AZ29" s="599" t="e">
        <f t="shared" si="21"/>
        <v>#N/A</v>
      </c>
      <c r="BA29" s="600" t="e">
        <f t="shared" si="22"/>
        <v>#N/A</v>
      </c>
      <c r="BB29" s="601" t="e">
        <f t="shared" si="23"/>
        <v>#N/A</v>
      </c>
    </row>
    <row r="30" spans="1:54">
      <c r="B30" s="602"/>
      <c r="C30" s="421"/>
      <c r="D30" s="603"/>
      <c r="E30" s="604"/>
      <c r="F30" s="367"/>
      <c r="G30" s="367"/>
      <c r="H30" s="367"/>
      <c r="I30" s="605"/>
      <c r="J30" s="602"/>
      <c r="K30" s="421"/>
      <c r="L30" s="421"/>
      <c r="M30" s="367"/>
      <c r="N30" s="367"/>
      <c r="O30" s="367"/>
      <c r="P30" s="367"/>
      <c r="Q30" s="367"/>
      <c r="R30" s="606"/>
      <c r="S30" s="602"/>
      <c r="T30" s="421"/>
      <c r="U30" s="421"/>
      <c r="V30" s="367"/>
      <c r="W30" s="367"/>
      <c r="X30" s="367"/>
      <c r="Y30" s="367"/>
      <c r="Z30" s="367"/>
      <c r="AA30" s="606"/>
      <c r="AB30" s="602"/>
      <c r="AC30" s="421"/>
      <c r="AD30" s="421"/>
      <c r="AE30" s="367"/>
      <c r="AF30" s="367"/>
      <c r="AG30" s="367"/>
      <c r="AH30" s="367"/>
      <c r="AI30" s="367"/>
      <c r="AJ30" s="606"/>
      <c r="AK30" s="602"/>
      <c r="AL30" s="421"/>
      <c r="AM30" s="421"/>
      <c r="AN30" s="367"/>
      <c r="AO30" s="367"/>
      <c r="AP30" s="367"/>
      <c r="AQ30" s="367"/>
      <c r="AR30" s="367"/>
      <c r="AS30" s="606"/>
      <c r="AT30" s="602"/>
      <c r="AU30" s="421"/>
      <c r="AV30" s="421"/>
      <c r="AW30" s="367"/>
      <c r="AX30" s="367"/>
      <c r="AY30" s="367"/>
      <c r="AZ30" s="367"/>
      <c r="BA30" s="367"/>
      <c r="BB30" s="606"/>
    </row>
    <row r="31" spans="1:54" s="6" customFormat="1" ht="14.25">
      <c r="A31" s="569"/>
      <c r="B31" s="607" t="s">
        <v>640</v>
      </c>
      <c r="C31" s="608"/>
      <c r="D31" s="609"/>
      <c r="E31" s="610">
        <f>SUM(E9:E30)</f>
        <v>0</v>
      </c>
      <c r="F31" s="611">
        <f>SUM(F9:F30)</f>
        <v>0</v>
      </c>
      <c r="H31" s="612"/>
      <c r="I31" s="613"/>
      <c r="J31" s="614"/>
      <c r="K31" s="608"/>
      <c r="L31" s="608"/>
      <c r="M31" s="8"/>
      <c r="N31" s="615">
        <f>SUM(N9:N30)</f>
        <v>0</v>
      </c>
      <c r="O31" s="611">
        <f>SUM(O9:O30)</f>
        <v>0</v>
      </c>
      <c r="P31" s="611"/>
      <c r="Q31" s="612"/>
      <c r="R31" s="250"/>
      <c r="S31" s="614"/>
      <c r="T31" s="608"/>
      <c r="U31" s="608"/>
      <c r="V31" s="8"/>
      <c r="W31" s="615">
        <f>SUM(W9:W30)</f>
        <v>0</v>
      </c>
      <c r="X31" s="611">
        <f>SUM(X9:X30)</f>
        <v>0</v>
      </c>
      <c r="Y31" s="611"/>
      <c r="Z31" s="612"/>
      <c r="AA31" s="250"/>
      <c r="AB31" s="614"/>
      <c r="AC31" s="608"/>
      <c r="AD31" s="608"/>
      <c r="AE31" s="8"/>
      <c r="AF31" s="615">
        <f>SUM(AF9:AF30)</f>
        <v>0</v>
      </c>
      <c r="AG31" s="611">
        <f>SUM(AG9:AG30)</f>
        <v>0</v>
      </c>
      <c r="AH31" s="611"/>
      <c r="AI31" s="612"/>
      <c r="AJ31" s="250"/>
      <c r="AK31" s="614"/>
      <c r="AL31" s="608"/>
      <c r="AM31" s="608"/>
      <c r="AN31" s="8"/>
      <c r="AO31" s="615">
        <f>SUM(AO9:AO30)</f>
        <v>0</v>
      </c>
      <c r="AP31" s="611">
        <f>SUM(AP9:AP30)</f>
        <v>0</v>
      </c>
      <c r="AQ31" s="611"/>
      <c r="AR31" s="612"/>
      <c r="AS31" s="250"/>
      <c r="AT31" s="614"/>
      <c r="AU31" s="608"/>
      <c r="AV31" s="608"/>
      <c r="AW31" s="8"/>
      <c r="AX31" s="615">
        <f>SUM(AX9:AX30)</f>
        <v>0</v>
      </c>
      <c r="AY31" s="611">
        <f>SUM(AY9:AY30)</f>
        <v>0</v>
      </c>
      <c r="AZ31" s="611"/>
      <c r="BA31" s="612"/>
      <c r="BB31" s="250"/>
    </row>
    <row r="32" spans="1:54" s="6" customFormat="1" ht="14.25">
      <c r="A32" s="569"/>
      <c r="B32" s="616"/>
      <c r="C32" s="608"/>
      <c r="D32" s="609"/>
      <c r="E32" s="610"/>
      <c r="F32" s="611"/>
      <c r="H32" s="612"/>
      <c r="I32" s="613"/>
      <c r="J32" s="614"/>
      <c r="K32" s="608"/>
      <c r="L32" s="608"/>
      <c r="M32" s="8"/>
      <c r="N32" s="615"/>
      <c r="O32" s="611"/>
      <c r="Q32" s="612"/>
      <c r="R32" s="250"/>
      <c r="S32" s="614"/>
      <c r="T32" s="608"/>
      <c r="U32" s="608"/>
      <c r="V32" s="8"/>
      <c r="W32" s="615"/>
      <c r="X32" s="611"/>
      <c r="Z32" s="612"/>
      <c r="AA32" s="250"/>
      <c r="AB32" s="614"/>
      <c r="AC32" s="608"/>
      <c r="AD32" s="608"/>
      <c r="AE32" s="8"/>
      <c r="AF32" s="615"/>
      <c r="AG32" s="611"/>
      <c r="AI32" s="612"/>
      <c r="AJ32" s="250"/>
      <c r="AK32" s="614"/>
      <c r="AL32" s="608"/>
      <c r="AM32" s="608"/>
      <c r="AN32" s="8"/>
      <c r="AO32" s="615"/>
      <c r="AP32" s="611"/>
      <c r="AR32" s="612"/>
      <c r="AS32" s="250"/>
      <c r="AT32" s="614"/>
      <c r="AU32" s="608"/>
      <c r="AV32" s="608"/>
      <c r="AW32" s="8"/>
      <c r="AX32" s="615"/>
      <c r="AY32" s="611"/>
      <c r="BA32" s="612"/>
      <c r="BB32" s="250"/>
    </row>
    <row r="33" spans="1:54" s="6" customFormat="1" ht="14.25">
      <c r="A33" s="569"/>
      <c r="B33" s="607" t="s">
        <v>718</v>
      </c>
      <c r="C33" s="608"/>
      <c r="D33" s="609"/>
      <c r="E33" s="248"/>
      <c r="F33" s="617">
        <f>SUM(O33,X33,AG33,AP33,AY33)</f>
        <v>0</v>
      </c>
      <c r="H33" s="612"/>
      <c r="I33" s="613"/>
      <c r="J33" s="614"/>
      <c r="K33" s="608"/>
      <c r="L33" s="608"/>
      <c r="M33" s="8"/>
      <c r="N33" s="8"/>
      <c r="O33" s="839">
        <v>0</v>
      </c>
      <c r="P33" s="617"/>
      <c r="Q33" s="612"/>
      <c r="R33" s="250"/>
      <c r="S33" s="614"/>
      <c r="T33" s="608"/>
      <c r="U33" s="608"/>
      <c r="V33" s="8"/>
      <c r="W33" s="8"/>
      <c r="X33" s="839">
        <v>0</v>
      </c>
      <c r="Y33" s="617"/>
      <c r="Z33" s="612"/>
      <c r="AA33" s="250"/>
      <c r="AB33" s="614"/>
      <c r="AC33" s="608"/>
      <c r="AD33" s="608"/>
      <c r="AE33" s="8"/>
      <c r="AF33" s="8"/>
      <c r="AG33" s="839">
        <v>0</v>
      </c>
      <c r="AH33" s="617"/>
      <c r="AI33" s="612"/>
      <c r="AJ33" s="250"/>
      <c r="AK33" s="614"/>
      <c r="AL33" s="608"/>
      <c r="AM33" s="608"/>
      <c r="AN33" s="8"/>
      <c r="AO33" s="8"/>
      <c r="AP33" s="839">
        <v>0</v>
      </c>
      <c r="AQ33" s="617"/>
      <c r="AR33" s="612"/>
      <c r="AS33" s="250"/>
      <c r="AT33" s="614"/>
      <c r="AU33" s="608"/>
      <c r="AV33" s="608"/>
      <c r="AW33" s="8"/>
      <c r="AX33" s="8"/>
      <c r="AY33" s="839">
        <v>0</v>
      </c>
      <c r="AZ33" s="617"/>
      <c r="BA33" s="612"/>
      <c r="BB33" s="250"/>
    </row>
    <row r="34" spans="1:54" s="6" customFormat="1" ht="14.25">
      <c r="A34" s="569"/>
      <c r="B34" s="607" t="s">
        <v>772</v>
      </c>
      <c r="C34" s="608"/>
      <c r="D34" s="609"/>
      <c r="E34" s="248"/>
      <c r="F34" s="617">
        <f>SUM(O34,X34,AG34,AP34,AY34)</f>
        <v>0</v>
      </c>
      <c r="H34" s="612"/>
      <c r="I34" s="613"/>
      <c r="J34" s="614"/>
      <c r="K34" s="608"/>
      <c r="L34" s="608"/>
      <c r="M34" s="8"/>
      <c r="N34" s="8"/>
      <c r="O34" s="839">
        <v>0</v>
      </c>
      <c r="P34" s="617"/>
      <c r="Q34" s="612"/>
      <c r="R34" s="250"/>
      <c r="S34" s="614"/>
      <c r="T34" s="608"/>
      <c r="U34" s="608"/>
      <c r="V34" s="8"/>
      <c r="W34" s="8"/>
      <c r="X34" s="839">
        <v>0</v>
      </c>
      <c r="Y34" s="617"/>
      <c r="Z34" s="612"/>
      <c r="AA34" s="250"/>
      <c r="AB34" s="614"/>
      <c r="AC34" s="608"/>
      <c r="AD34" s="608"/>
      <c r="AE34" s="8"/>
      <c r="AF34" s="8"/>
      <c r="AG34" s="839">
        <v>0</v>
      </c>
      <c r="AH34" s="617"/>
      <c r="AI34" s="612"/>
      <c r="AJ34" s="250"/>
      <c r="AK34" s="614"/>
      <c r="AL34" s="608"/>
      <c r="AM34" s="608"/>
      <c r="AN34" s="8"/>
      <c r="AO34" s="8"/>
      <c r="AP34" s="839">
        <v>0</v>
      </c>
      <c r="AQ34" s="617"/>
      <c r="AR34" s="612"/>
      <c r="AS34" s="250"/>
      <c r="AT34" s="614"/>
      <c r="AU34" s="608"/>
      <c r="AV34" s="608"/>
      <c r="AW34" s="8"/>
      <c r="AX34" s="8"/>
      <c r="AY34" s="839">
        <v>0</v>
      </c>
      <c r="AZ34" s="617"/>
      <c r="BA34" s="612"/>
      <c r="BB34" s="250"/>
    </row>
    <row r="35" spans="1:54" s="6" customFormat="1" ht="14.25">
      <c r="A35" s="569"/>
      <c r="B35" s="607" t="s">
        <v>616</v>
      </c>
      <c r="C35" s="608"/>
      <c r="D35" s="609"/>
      <c r="E35" s="248"/>
      <c r="F35" s="617">
        <f>SUM(O35,X35,AG35,AP35,AY35)</f>
        <v>0</v>
      </c>
      <c r="H35" s="612"/>
      <c r="I35" s="613"/>
      <c r="J35" s="614"/>
      <c r="K35" s="608"/>
      <c r="L35" s="608"/>
      <c r="M35" s="8"/>
      <c r="N35" s="8"/>
      <c r="O35" s="839">
        <v>0</v>
      </c>
      <c r="P35" s="617"/>
      <c r="Q35" s="612"/>
      <c r="R35" s="250"/>
      <c r="S35" s="614"/>
      <c r="T35" s="608"/>
      <c r="U35" s="608"/>
      <c r="V35" s="8"/>
      <c r="W35" s="8"/>
      <c r="X35" s="839">
        <v>0</v>
      </c>
      <c r="Y35" s="617"/>
      <c r="Z35" s="612"/>
      <c r="AA35" s="250"/>
      <c r="AB35" s="614"/>
      <c r="AC35" s="608"/>
      <c r="AD35" s="608"/>
      <c r="AE35" s="8"/>
      <c r="AF35" s="8"/>
      <c r="AG35" s="839">
        <v>0</v>
      </c>
      <c r="AH35" s="617"/>
      <c r="AI35" s="612"/>
      <c r="AJ35" s="250"/>
      <c r="AK35" s="614"/>
      <c r="AL35" s="608"/>
      <c r="AM35" s="608"/>
      <c r="AN35" s="8"/>
      <c r="AO35" s="8"/>
      <c r="AP35" s="839">
        <v>0</v>
      </c>
      <c r="AQ35" s="617"/>
      <c r="AR35" s="612"/>
      <c r="AS35" s="250"/>
      <c r="AT35" s="614"/>
      <c r="AU35" s="608"/>
      <c r="AV35" s="608"/>
      <c r="AW35" s="8"/>
      <c r="AX35" s="8"/>
      <c r="AY35" s="839">
        <v>0</v>
      </c>
      <c r="AZ35" s="617"/>
      <c r="BA35" s="612"/>
      <c r="BB35" s="250"/>
    </row>
    <row r="36" spans="1:54" s="6" customFormat="1" ht="14.25">
      <c r="A36" s="569"/>
      <c r="B36" s="616"/>
      <c r="C36" s="608"/>
      <c r="D36" s="609"/>
      <c r="E36" s="248"/>
      <c r="F36" s="617"/>
      <c r="H36" s="612"/>
      <c r="I36" s="613"/>
      <c r="J36" s="614"/>
      <c r="K36" s="608"/>
      <c r="L36" s="608"/>
      <c r="M36" s="8"/>
      <c r="N36" s="8"/>
      <c r="O36" s="617"/>
      <c r="Q36" s="612"/>
      <c r="R36" s="250"/>
      <c r="S36" s="614"/>
      <c r="T36" s="608"/>
      <c r="U36" s="608"/>
      <c r="V36" s="8"/>
      <c r="W36" s="8"/>
      <c r="X36" s="617"/>
      <c r="Z36" s="612"/>
      <c r="AA36" s="250"/>
      <c r="AB36" s="614"/>
      <c r="AC36" s="608"/>
      <c r="AD36" s="608"/>
      <c r="AE36" s="8"/>
      <c r="AF36" s="8"/>
      <c r="AG36" s="617"/>
      <c r="AI36" s="612"/>
      <c r="AJ36" s="250"/>
      <c r="AK36" s="614"/>
      <c r="AL36" s="608"/>
      <c r="AM36" s="608"/>
      <c r="AN36" s="8"/>
      <c r="AO36" s="8"/>
      <c r="AP36" s="617"/>
      <c r="AR36" s="612"/>
      <c r="AS36" s="250"/>
      <c r="AT36" s="614"/>
      <c r="AU36" s="608"/>
      <c r="AV36" s="608"/>
      <c r="AW36" s="8"/>
      <c r="AX36" s="8"/>
      <c r="AY36" s="617"/>
      <c r="BA36" s="612"/>
      <c r="BB36" s="250"/>
    </row>
    <row r="37" spans="1:54" s="530" customFormat="1" ht="15.75" thickBot="1">
      <c r="A37" s="618"/>
      <c r="B37" s="619" t="s">
        <v>641</v>
      </c>
      <c r="C37" s="620"/>
      <c r="D37" s="621"/>
      <c r="E37" s="402"/>
      <c r="F37" s="622">
        <f>SUM(F30:F36)</f>
        <v>0</v>
      </c>
      <c r="H37" s="623"/>
      <c r="I37" s="624"/>
      <c r="J37" s="625"/>
      <c r="K37" s="620"/>
      <c r="L37" s="620"/>
      <c r="M37" s="260"/>
      <c r="N37" s="260"/>
      <c r="O37" s="622">
        <f>SUM(O30:O36)</f>
        <v>0</v>
      </c>
      <c r="P37" s="626"/>
      <c r="Q37" s="623"/>
      <c r="R37" s="627"/>
      <c r="S37" s="625"/>
      <c r="T37" s="620"/>
      <c r="U37" s="620"/>
      <c r="V37" s="260"/>
      <c r="W37" s="260"/>
      <c r="X37" s="622">
        <f>SUM(X30:X36)</f>
        <v>0</v>
      </c>
      <c r="Y37" s="626"/>
      <c r="Z37" s="623"/>
      <c r="AA37" s="627"/>
      <c r="AB37" s="625"/>
      <c r="AC37" s="620"/>
      <c r="AD37" s="620"/>
      <c r="AE37" s="260"/>
      <c r="AF37" s="260"/>
      <c r="AG37" s="622">
        <f>SUM(AG30:AG36)</f>
        <v>0</v>
      </c>
      <c r="AH37" s="626"/>
      <c r="AI37" s="623"/>
      <c r="AJ37" s="627"/>
      <c r="AK37" s="625"/>
      <c r="AL37" s="620"/>
      <c r="AM37" s="620"/>
      <c r="AN37" s="260"/>
      <c r="AO37" s="260"/>
      <c r="AP37" s="622">
        <f>SUM(AP30:AP36)</f>
        <v>0</v>
      </c>
      <c r="AQ37" s="626"/>
      <c r="AR37" s="623"/>
      <c r="AS37" s="627"/>
      <c r="AT37" s="625"/>
      <c r="AU37" s="620"/>
      <c r="AV37" s="620"/>
      <c r="AW37" s="260"/>
      <c r="AX37" s="260"/>
      <c r="AY37" s="622">
        <f>SUM(AY30:AY36)</f>
        <v>0</v>
      </c>
      <c r="AZ37" s="626"/>
      <c r="BA37" s="623"/>
      <c r="BB37" s="627"/>
    </row>
    <row r="38" spans="1:54" s="6" customFormat="1" ht="15" thickTop="1">
      <c r="A38" s="569"/>
      <c r="B38" s="614"/>
      <c r="C38" s="608"/>
      <c r="D38" s="609"/>
      <c r="E38" s="248"/>
      <c r="F38" s="612"/>
      <c r="H38" s="612"/>
      <c r="I38" s="613"/>
      <c r="J38" s="614"/>
      <c r="K38" s="608"/>
      <c r="L38" s="608"/>
      <c r="M38" s="8"/>
      <c r="N38" s="8"/>
      <c r="O38" s="612"/>
      <c r="Q38" s="612"/>
      <c r="R38" s="250"/>
      <c r="S38" s="614"/>
      <c r="T38" s="608"/>
      <c r="U38" s="608"/>
      <c r="V38" s="8"/>
      <c r="W38" s="8"/>
      <c r="X38" s="612"/>
      <c r="Z38" s="612"/>
      <c r="AA38" s="250"/>
      <c r="AB38" s="614"/>
      <c r="AC38" s="608"/>
      <c r="AD38" s="608"/>
      <c r="AE38" s="8"/>
      <c r="AF38" s="8"/>
      <c r="AG38" s="612"/>
      <c r="AI38" s="612"/>
      <c r="AJ38" s="250"/>
      <c r="AK38" s="614"/>
      <c r="AL38" s="608"/>
      <c r="AM38" s="608"/>
      <c r="AN38" s="8"/>
      <c r="AO38" s="8"/>
      <c r="AP38" s="612"/>
      <c r="AR38" s="612"/>
      <c r="AS38" s="250"/>
      <c r="AT38" s="614"/>
      <c r="AU38" s="608"/>
      <c r="AV38" s="608"/>
      <c r="AW38" s="8"/>
      <c r="AX38" s="8"/>
      <c r="AY38" s="612"/>
      <c r="BA38" s="612"/>
      <c r="BB38" s="250"/>
    </row>
    <row r="39" spans="1:54" s="6" customFormat="1" ht="14.25">
      <c r="A39" s="569"/>
      <c r="B39" s="614" t="s">
        <v>742</v>
      </c>
      <c r="C39" s="608"/>
      <c r="D39" s="609"/>
      <c r="E39" s="248"/>
      <c r="F39" s="611" t="e">
        <f>SUM(G9:G30,F32:F36)</f>
        <v>#N/A</v>
      </c>
      <c r="H39" s="612"/>
      <c r="I39" s="613"/>
      <c r="J39" s="614"/>
      <c r="K39" s="608"/>
      <c r="L39" s="608"/>
      <c r="M39" s="8"/>
      <c r="N39" s="8"/>
      <c r="O39" s="611" t="e">
        <f>SUM(P9:P30,O32:O36)</f>
        <v>#N/A</v>
      </c>
      <c r="Q39" s="612"/>
      <c r="R39" s="250"/>
      <c r="S39" s="614"/>
      <c r="T39" s="608"/>
      <c r="U39" s="608"/>
      <c r="V39" s="8"/>
      <c r="W39" s="8"/>
      <c r="X39" s="611" t="e">
        <f>SUM(Y9:Y30,X32:X36)</f>
        <v>#N/A</v>
      </c>
      <c r="Z39" s="612"/>
      <c r="AA39" s="250"/>
      <c r="AB39" s="614"/>
      <c r="AC39" s="608"/>
      <c r="AD39" s="608"/>
      <c r="AE39" s="8"/>
      <c r="AF39" s="8"/>
      <c r="AG39" s="611" t="e">
        <f>SUM(AH9:AH30,AG32:AG36)</f>
        <v>#N/A</v>
      </c>
      <c r="AI39" s="612"/>
      <c r="AJ39" s="250"/>
      <c r="AK39" s="614"/>
      <c r="AL39" s="608"/>
      <c r="AM39" s="608"/>
      <c r="AN39" s="8"/>
      <c r="AO39" s="8"/>
      <c r="AP39" s="611" t="e">
        <f>SUM(AQ9:AQ30,AP32:AP36)</f>
        <v>#N/A</v>
      </c>
      <c r="AR39" s="612"/>
      <c r="AS39" s="250"/>
      <c r="AT39" s="614"/>
      <c r="AU39" s="608"/>
      <c r="AV39" s="608"/>
      <c r="AW39" s="8"/>
      <c r="AX39" s="8"/>
      <c r="AY39" s="611" t="e">
        <f>SUM(AZ9:AZ30,AY32:AY36)</f>
        <v>#N/A</v>
      </c>
      <c r="BA39" s="612"/>
      <c r="BB39" s="250"/>
    </row>
    <row r="40" spans="1:54" s="6" customFormat="1" ht="14.25">
      <c r="A40" s="569"/>
      <c r="B40" s="614"/>
      <c r="C40" s="608"/>
      <c r="D40" s="609"/>
      <c r="E40" s="248"/>
      <c r="F40" s="612"/>
      <c r="H40" s="612"/>
      <c r="I40" s="613"/>
      <c r="J40" s="614"/>
      <c r="K40" s="608"/>
      <c r="L40" s="608"/>
      <c r="M40" s="8"/>
      <c r="N40" s="8"/>
      <c r="O40" s="612"/>
      <c r="Q40" s="612"/>
      <c r="R40" s="250"/>
      <c r="S40" s="614"/>
      <c r="T40" s="608"/>
      <c r="U40" s="608"/>
      <c r="V40" s="8"/>
      <c r="W40" s="8"/>
      <c r="X40" s="612"/>
      <c r="Z40" s="612"/>
      <c r="AA40" s="250"/>
      <c r="AB40" s="614"/>
      <c r="AC40" s="608"/>
      <c r="AD40" s="608"/>
      <c r="AE40" s="8"/>
      <c r="AF40" s="8"/>
      <c r="AG40" s="612"/>
      <c r="AI40" s="612"/>
      <c r="AJ40" s="250"/>
      <c r="AK40" s="614"/>
      <c r="AL40" s="608"/>
      <c r="AM40" s="608"/>
      <c r="AN40" s="8"/>
      <c r="AO40" s="8"/>
      <c r="AP40" s="612"/>
      <c r="AR40" s="612"/>
      <c r="AS40" s="250"/>
      <c r="AT40" s="614"/>
      <c r="AU40" s="608"/>
      <c r="AV40" s="608"/>
      <c r="AW40" s="8"/>
      <c r="AX40" s="8"/>
      <c r="AY40" s="612"/>
      <c r="BA40" s="612"/>
      <c r="BB40" s="250"/>
    </row>
    <row r="41" spans="1:54" s="530" customFormat="1" ht="15">
      <c r="A41" s="618"/>
      <c r="B41" s="625" t="s">
        <v>749</v>
      </c>
      <c r="C41" s="620"/>
      <c r="D41" s="621"/>
      <c r="E41" s="402"/>
      <c r="F41" s="628" t="e">
        <f>(F37-F39)</f>
        <v>#N/A</v>
      </c>
      <c r="H41" s="623"/>
      <c r="I41" s="624"/>
      <c r="J41" s="625"/>
      <c r="K41" s="620"/>
      <c r="L41" s="620"/>
      <c r="M41" s="260"/>
      <c r="N41" s="260"/>
      <c r="O41" s="628" t="e">
        <f>(O37-O39)</f>
        <v>#N/A</v>
      </c>
      <c r="Q41" s="623"/>
      <c r="R41" s="627"/>
      <c r="S41" s="625"/>
      <c r="T41" s="620"/>
      <c r="U41" s="620"/>
      <c r="V41" s="260"/>
      <c r="W41" s="260"/>
      <c r="X41" s="628" t="e">
        <f>(X37-X39)</f>
        <v>#N/A</v>
      </c>
      <c r="Z41" s="623"/>
      <c r="AA41" s="627"/>
      <c r="AB41" s="625"/>
      <c r="AC41" s="620"/>
      <c r="AD41" s="620"/>
      <c r="AE41" s="260"/>
      <c r="AF41" s="260"/>
      <c r="AG41" s="628" t="e">
        <f>(AG37-AG39)</f>
        <v>#N/A</v>
      </c>
      <c r="AI41" s="623"/>
      <c r="AJ41" s="627"/>
      <c r="AK41" s="625"/>
      <c r="AL41" s="620"/>
      <c r="AM41" s="620"/>
      <c r="AN41" s="260"/>
      <c r="AO41" s="260"/>
      <c r="AP41" s="628" t="e">
        <f>(AP37-AP39)</f>
        <v>#N/A</v>
      </c>
      <c r="AR41" s="623"/>
      <c r="AS41" s="627"/>
      <c r="AT41" s="625"/>
      <c r="AU41" s="620"/>
      <c r="AV41" s="620"/>
      <c r="AW41" s="260"/>
      <c r="AX41" s="260"/>
      <c r="AY41" s="628" t="e">
        <f>(AY37-AY39)</f>
        <v>#N/A</v>
      </c>
      <c r="BA41" s="623"/>
      <c r="BB41" s="627"/>
    </row>
    <row r="42" spans="1:54" s="530" customFormat="1" ht="15">
      <c r="A42" s="618"/>
      <c r="B42" s="625" t="s">
        <v>750</v>
      </c>
      <c r="C42" s="620"/>
      <c r="D42" s="621"/>
      <c r="E42" s="402"/>
      <c r="F42" s="802" t="e">
        <f>IF(F39=0,0,(F41/F39))</f>
        <v>#N/A</v>
      </c>
      <c r="H42" s="623"/>
      <c r="I42" s="624"/>
      <c r="J42" s="625"/>
      <c r="K42" s="620"/>
      <c r="L42" s="620"/>
      <c r="M42" s="260"/>
      <c r="N42" s="260"/>
      <c r="O42" s="802" t="e">
        <f>IF(O39=0,0,(O41/O39))</f>
        <v>#N/A</v>
      </c>
      <c r="Q42" s="623"/>
      <c r="R42" s="627"/>
      <c r="S42" s="625"/>
      <c r="T42" s="620"/>
      <c r="U42" s="620"/>
      <c r="V42" s="260"/>
      <c r="W42" s="260"/>
      <c r="X42" s="802" t="e">
        <f>IF(X39=0,0,(X41/X39))</f>
        <v>#N/A</v>
      </c>
      <c r="Z42" s="623"/>
      <c r="AA42" s="627"/>
      <c r="AB42" s="625"/>
      <c r="AC42" s="620"/>
      <c r="AD42" s="620"/>
      <c r="AE42" s="260"/>
      <c r="AF42" s="260"/>
      <c r="AG42" s="802" t="e">
        <f>IF(AG39=0,0,(AG41/AG39))</f>
        <v>#N/A</v>
      </c>
      <c r="AI42" s="623"/>
      <c r="AJ42" s="627"/>
      <c r="AK42" s="625"/>
      <c r="AL42" s="620"/>
      <c r="AM42" s="620"/>
      <c r="AN42" s="260"/>
      <c r="AO42" s="260"/>
      <c r="AP42" s="802" t="e">
        <f>IF(AP39=0,0,(AP41/AP39))</f>
        <v>#N/A</v>
      </c>
      <c r="AR42" s="623"/>
      <c r="AS42" s="627"/>
      <c r="AT42" s="625"/>
      <c r="AU42" s="620"/>
      <c r="AV42" s="620"/>
      <c r="AW42" s="260"/>
      <c r="AX42" s="260"/>
      <c r="AY42" s="802" t="e">
        <f>IF(AY39=0,0,(AY41/AY39))</f>
        <v>#N/A</v>
      </c>
      <c r="BA42" s="623"/>
      <c r="BB42" s="627"/>
    </row>
    <row r="43" spans="1:54" s="6" customFormat="1" ht="13.5" thickBot="1">
      <c r="A43" s="569"/>
      <c r="B43" s="629"/>
      <c r="C43" s="630"/>
      <c r="D43" s="631"/>
      <c r="E43" s="252"/>
      <c r="F43" s="254"/>
      <c r="G43" s="254"/>
      <c r="H43" s="254"/>
      <c r="I43" s="632"/>
      <c r="J43" s="629"/>
      <c r="K43" s="630"/>
      <c r="L43" s="630"/>
      <c r="M43" s="254"/>
      <c r="N43" s="254"/>
      <c r="O43" s="254"/>
      <c r="P43" s="254"/>
      <c r="Q43" s="254"/>
      <c r="R43" s="258"/>
      <c r="S43" s="629"/>
      <c r="T43" s="630"/>
      <c r="U43" s="630"/>
      <c r="V43" s="254"/>
      <c r="W43" s="254"/>
      <c r="X43" s="254"/>
      <c r="Y43" s="254"/>
      <c r="Z43" s="254"/>
      <c r="AA43" s="258"/>
      <c r="AB43" s="629"/>
      <c r="AC43" s="630"/>
      <c r="AD43" s="630"/>
      <c r="AE43" s="254"/>
      <c r="AF43" s="254"/>
      <c r="AG43" s="254"/>
      <c r="AH43" s="254"/>
      <c r="AI43" s="254"/>
      <c r="AJ43" s="258"/>
      <c r="AK43" s="629"/>
      <c r="AL43" s="630"/>
      <c r="AM43" s="630"/>
      <c r="AN43" s="254"/>
      <c r="AO43" s="254"/>
      <c r="AP43" s="254"/>
      <c r="AQ43" s="254"/>
      <c r="AR43" s="254"/>
      <c r="AS43" s="258"/>
      <c r="AT43" s="629"/>
      <c r="AU43" s="630"/>
      <c r="AV43" s="630"/>
      <c r="AW43" s="254"/>
      <c r="AX43" s="254"/>
      <c r="AY43" s="254"/>
      <c r="AZ43" s="254"/>
      <c r="BA43" s="254"/>
      <c r="BB43" s="258"/>
    </row>
    <row r="45" spans="1:54" ht="13.5" thickBot="1"/>
    <row r="46" spans="1:54" ht="13.5" thickBot="1">
      <c r="S46" s="803" t="s">
        <v>780</v>
      </c>
      <c r="T46" s="804"/>
      <c r="U46" s="800"/>
      <c r="V46" s="801"/>
      <c r="W46" s="801"/>
      <c r="X46" s="801"/>
      <c r="Y46" s="801"/>
      <c r="Z46" s="801"/>
      <c r="AA46" s="805"/>
      <c r="AB46" s="803" t="s">
        <v>781</v>
      </c>
      <c r="AC46" s="804"/>
      <c r="AD46" s="800"/>
      <c r="AE46" s="801"/>
      <c r="AF46" s="801"/>
      <c r="AG46" s="801"/>
      <c r="AH46" s="801"/>
      <c r="AI46" s="801"/>
      <c r="AJ46" s="805"/>
      <c r="AK46" s="803" t="s">
        <v>782</v>
      </c>
      <c r="AL46" s="804"/>
      <c r="AM46" s="800"/>
      <c r="AN46" s="801"/>
      <c r="AO46" s="801"/>
      <c r="AP46" s="801"/>
      <c r="AQ46" s="801"/>
      <c r="AR46" s="801"/>
      <c r="AS46" s="805"/>
      <c r="AT46" s="803" t="s">
        <v>783</v>
      </c>
      <c r="AU46" s="804"/>
      <c r="AV46" s="800"/>
      <c r="AW46" s="801"/>
      <c r="AX46" s="801"/>
      <c r="AY46" s="801"/>
      <c r="AZ46" s="801"/>
      <c r="BA46" s="801"/>
      <c r="BB46" s="805"/>
    </row>
  </sheetData>
  <mergeCells count="6">
    <mergeCell ref="AK7:AS7"/>
    <mergeCell ref="AT7:BB7"/>
    <mergeCell ref="E7:I7"/>
    <mergeCell ref="J7:R7"/>
    <mergeCell ref="S7:AA7"/>
    <mergeCell ref="AB7:AJ7"/>
  </mergeCells>
  <phoneticPr fontId="23" type="noConversion"/>
  <pageMargins left="1" right="1" top="1" bottom="1" header="0.5" footer="0.5"/>
  <pageSetup scale="70" orientation="landscape" r:id="rId1"/>
  <headerFooter alignWithMargins="0">
    <oddFooter xml:space="preserve">&amp;CManTech Proprietary Information
</oddFooter>
  </headerFooter>
  <colBreaks count="5" manualBreakCount="5">
    <brk id="9" max="1048575" man="1"/>
    <brk id="18" max="1048575" man="1"/>
    <brk id="27" max="42" man="1"/>
    <brk id="36" max="42" man="1"/>
    <brk id="45" max="42" man="1"/>
  </colBreaks>
</worksheet>
</file>

<file path=xl/worksheets/sheet23.xml><?xml version="1.0" encoding="utf-8"?>
<worksheet xmlns="http://schemas.openxmlformats.org/spreadsheetml/2006/main" xmlns:r="http://schemas.openxmlformats.org/officeDocument/2006/relationships">
  <sheetPr codeName="Sheet16" enableFormatConditionsCalculation="0">
    <tabColor indexed="16"/>
  </sheetPr>
  <dimension ref="A1:AE45"/>
  <sheetViews>
    <sheetView showGridLines="0" view="pageBreakPreview" zoomScale="85" zoomScaleNormal="60" workbookViewId="0">
      <pane xSplit="3" ySplit="8" topLeftCell="D9" activePane="bottomRight" state="frozen"/>
      <selection activeCell="F47" sqref="F47"/>
      <selection pane="topRight" activeCell="F47" sqref="F47"/>
      <selection pane="bottomLeft" activeCell="F47" sqref="F47"/>
      <selection pane="bottomRight" activeCell="C6" sqref="C6"/>
    </sheetView>
  </sheetViews>
  <sheetFormatPr defaultRowHeight="12.75"/>
  <cols>
    <col min="1" max="1" width="4.140625" style="568" bestFit="1" customWidth="1"/>
    <col min="2" max="2" width="20.85546875" style="53" customWidth="1"/>
    <col min="3" max="3" width="29" style="53" customWidth="1"/>
    <col min="4" max="4" width="8.5703125" style="53" customWidth="1"/>
    <col min="5" max="5" width="12.42578125" style="4" customWidth="1"/>
    <col min="6" max="6" width="11.5703125" style="4" bestFit="1" customWidth="1"/>
    <col min="7" max="7" width="14.42578125" style="51" bestFit="1" customWidth="1"/>
    <col min="8" max="9" width="9.28515625" style="51" bestFit="1" customWidth="1"/>
    <col min="10" max="10" width="8.7109375" style="28" bestFit="1" customWidth="1"/>
    <col min="11" max="11" width="12.5703125" style="28" customWidth="1"/>
    <col min="12" max="12" width="14.42578125" style="53" bestFit="1" customWidth="1"/>
    <col min="13" max="14" width="9.28515625" style="53" bestFit="1" customWidth="1"/>
    <col min="15" max="15" width="8.7109375" style="4" bestFit="1" customWidth="1"/>
    <col min="16" max="16" width="12.5703125" style="4" customWidth="1"/>
    <col min="17" max="17" width="14.42578125" style="53" bestFit="1" customWidth="1"/>
    <col min="18" max="19" width="9.28515625" style="53" bestFit="1" customWidth="1"/>
    <col min="20" max="20" width="8.7109375" style="4" bestFit="1" customWidth="1"/>
    <col min="21" max="21" width="12.5703125" style="4" customWidth="1"/>
    <col min="22" max="22" width="14.42578125" style="53" bestFit="1" customWidth="1"/>
    <col min="23" max="24" width="9.28515625" style="53" bestFit="1" customWidth="1"/>
    <col min="25" max="25" width="8.7109375" style="4" bestFit="1" customWidth="1"/>
    <col min="26" max="26" width="12.5703125" style="4" customWidth="1"/>
    <col min="27" max="27" width="14.42578125" style="53" bestFit="1" customWidth="1"/>
    <col min="28" max="29" width="9.28515625" style="53" bestFit="1" customWidth="1"/>
    <col min="30" max="30" width="8.7109375" style="4" bestFit="1" customWidth="1"/>
    <col min="31" max="31" width="12.5703125" style="4" customWidth="1"/>
    <col min="32" max="36" width="9.7109375" style="4" bestFit="1" customWidth="1"/>
    <col min="37" max="16384" width="9.140625" style="4"/>
  </cols>
  <sheetData>
    <row r="1" spans="1:31" s="28" customFormat="1">
      <c r="A1" s="633"/>
      <c r="B1" s="608" t="s">
        <v>666</v>
      </c>
      <c r="C1" s="608" t="str">
        <f>InputSheet!D1</f>
        <v>NCSA HQ 7010</v>
      </c>
      <c r="D1" s="571"/>
      <c r="E1" s="634"/>
      <c r="F1" s="634"/>
      <c r="G1" s="571"/>
      <c r="H1" s="571"/>
      <c r="I1" s="571"/>
      <c r="J1" s="634"/>
      <c r="K1" s="634"/>
      <c r="L1" s="571"/>
      <c r="M1" s="571"/>
      <c r="N1" s="571"/>
      <c r="O1" s="634"/>
      <c r="P1" s="634"/>
      <c r="Q1" s="571"/>
      <c r="R1" s="571"/>
      <c r="S1" s="571"/>
      <c r="T1" s="634"/>
      <c r="U1" s="634"/>
      <c r="V1" s="571"/>
      <c r="W1" s="571"/>
      <c r="X1" s="571"/>
      <c r="Y1" s="634"/>
      <c r="Z1" s="634"/>
      <c r="AA1" s="571"/>
      <c r="AB1" s="571"/>
      <c r="AC1" s="571"/>
      <c r="AD1" s="634"/>
      <c r="AE1" s="634"/>
    </row>
    <row r="2" spans="1:31" s="28" customFormat="1">
      <c r="A2" s="633"/>
      <c r="B2" s="608" t="s">
        <v>612</v>
      </c>
      <c r="C2" s="608" t="str">
        <f>InputSheet!D2</f>
        <v>CIS Consultant Services</v>
      </c>
      <c r="D2" s="571"/>
      <c r="E2" s="634"/>
      <c r="F2" s="634"/>
      <c r="G2" s="571"/>
      <c r="H2" s="571"/>
      <c r="I2" s="571"/>
      <c r="J2" s="634"/>
      <c r="K2" s="634"/>
      <c r="L2" s="571"/>
      <c r="M2" s="571"/>
      <c r="N2" s="571"/>
      <c r="O2" s="634"/>
      <c r="P2" s="634"/>
      <c r="Q2" s="571"/>
      <c r="R2" s="571"/>
      <c r="S2" s="571"/>
      <c r="T2" s="634"/>
      <c r="U2" s="634"/>
      <c r="V2" s="571"/>
      <c r="W2" s="571"/>
      <c r="X2" s="571"/>
      <c r="Y2" s="634"/>
      <c r="Z2" s="634"/>
      <c r="AA2" s="571"/>
      <c r="AB2" s="571"/>
      <c r="AC2" s="571"/>
      <c r="AD2" s="634"/>
      <c r="AE2" s="634"/>
    </row>
    <row r="3" spans="1:31" s="28" customFormat="1">
      <c r="A3" s="633"/>
      <c r="B3" s="608" t="s">
        <v>611</v>
      </c>
      <c r="C3" s="608" t="str">
        <f>InputSheet!D3</f>
        <v>ManTech Telecommunications and Information Systems Corporation</v>
      </c>
      <c r="D3" s="571"/>
      <c r="E3" s="634"/>
      <c r="F3" s="634"/>
      <c r="G3" s="571"/>
      <c r="H3" s="571"/>
      <c r="I3" s="571"/>
      <c r="J3" s="634"/>
      <c r="K3" s="634"/>
      <c r="L3" s="571"/>
      <c r="M3" s="571"/>
      <c r="N3" s="571"/>
      <c r="O3" s="634"/>
      <c r="P3" s="634"/>
      <c r="Q3" s="571"/>
      <c r="R3" s="571"/>
      <c r="S3" s="571"/>
      <c r="T3" s="634"/>
      <c r="U3" s="634"/>
      <c r="V3" s="571"/>
      <c r="W3" s="571"/>
      <c r="X3" s="571"/>
      <c r="Y3" s="634"/>
      <c r="Z3" s="634"/>
      <c r="AA3" s="571"/>
      <c r="AB3" s="571"/>
      <c r="AC3" s="571"/>
      <c r="AD3" s="634"/>
      <c r="AE3" s="634"/>
    </row>
    <row r="4" spans="1:31" s="28" customFormat="1" ht="12.75" customHeight="1" thickBot="1">
      <c r="A4" s="633"/>
      <c r="B4" s="608" t="s">
        <v>610</v>
      </c>
      <c r="C4" s="608" t="str">
        <f>InputSheet!D4</f>
        <v>P-12246</v>
      </c>
      <c r="D4" s="571"/>
      <c r="E4" s="635"/>
      <c r="F4" s="636"/>
      <c r="G4" s="571"/>
      <c r="H4" s="571"/>
      <c r="I4" s="571"/>
      <c r="J4" s="635"/>
      <c r="K4" s="636"/>
      <c r="L4" s="571"/>
      <c r="M4" s="571"/>
      <c r="N4" s="571"/>
      <c r="O4" s="635"/>
      <c r="P4" s="636"/>
      <c r="Q4" s="571"/>
      <c r="R4" s="571"/>
      <c r="S4" s="571"/>
      <c r="T4" s="635"/>
      <c r="U4" s="636"/>
      <c r="V4" s="571"/>
      <c r="W4" s="571"/>
      <c r="X4" s="571"/>
      <c r="Y4" s="635"/>
      <c r="Z4" s="636"/>
      <c r="AA4" s="571"/>
      <c r="AB4" s="571"/>
      <c r="AC4" s="571"/>
      <c r="AD4" s="635"/>
      <c r="AE4" s="636"/>
    </row>
    <row r="5" spans="1:31" s="367" customFormat="1" ht="12.75" customHeight="1">
      <c r="A5" s="572"/>
      <c r="B5" s="573"/>
      <c r="C5" s="573"/>
      <c r="D5" s="573"/>
      <c r="E5" s="574"/>
      <c r="F5" s="575"/>
      <c r="G5" s="573"/>
      <c r="H5" s="573"/>
      <c r="I5" s="573"/>
      <c r="J5" s="574"/>
      <c r="K5" s="575"/>
      <c r="L5" s="573"/>
      <c r="M5" s="573"/>
      <c r="N5" s="573"/>
      <c r="O5" s="574"/>
      <c r="P5" s="575"/>
      <c r="Q5" s="573"/>
      <c r="R5" s="573"/>
      <c r="S5" s="573"/>
      <c r="T5" s="574"/>
      <c r="U5" s="575"/>
      <c r="V5" s="573"/>
      <c r="W5" s="573"/>
      <c r="X5" s="573"/>
      <c r="Y5" s="574"/>
      <c r="Z5" s="575"/>
      <c r="AA5" s="573"/>
      <c r="AB5" s="573"/>
      <c r="AC5" s="573"/>
      <c r="AD5" s="574"/>
      <c r="AE5" s="575"/>
    </row>
    <row r="6" spans="1:31" s="28" customFormat="1" ht="16.5" thickBot="1">
      <c r="A6" s="633"/>
      <c r="B6" s="577" t="s">
        <v>773</v>
      </c>
      <c r="C6" s="637"/>
      <c r="D6" s="637"/>
      <c r="E6" s="634"/>
      <c r="F6" s="634"/>
      <c r="G6" s="637"/>
      <c r="H6" s="578"/>
      <c r="I6" s="637"/>
      <c r="J6" s="634"/>
      <c r="K6" s="634"/>
      <c r="L6" s="637"/>
      <c r="M6" s="578"/>
      <c r="N6" s="637"/>
      <c r="O6" s="634"/>
      <c r="P6" s="634"/>
      <c r="Q6" s="637"/>
      <c r="R6" s="578"/>
      <c r="S6" s="637"/>
      <c r="T6" s="634"/>
      <c r="U6" s="634"/>
      <c r="V6" s="637"/>
      <c r="W6" s="578"/>
      <c r="X6" s="637"/>
      <c r="Y6" s="634"/>
      <c r="Z6" s="634"/>
      <c r="AA6" s="637"/>
      <c r="AB6" s="578"/>
      <c r="AC6" s="637"/>
      <c r="AD6" s="634"/>
      <c r="AE6" s="634"/>
    </row>
    <row r="7" spans="1:31" s="3" customFormat="1" ht="22.15" customHeight="1" thickBot="1">
      <c r="A7" s="568"/>
      <c r="C7" s="579"/>
      <c r="D7" s="579"/>
      <c r="E7" s="1211" t="s">
        <v>739</v>
      </c>
      <c r="F7" s="1213"/>
      <c r="G7" s="1208" t="str">
        <f>'GSA - Price Analysis'!J7</f>
        <v>Base Year</v>
      </c>
      <c r="H7" s="1209"/>
      <c r="I7" s="1209"/>
      <c r="J7" s="1209"/>
      <c r="K7" s="1210"/>
      <c r="L7" s="1208" t="str">
        <f>'GSA - Price Analysis'!S7</f>
        <v>Base Year</v>
      </c>
      <c r="M7" s="1209"/>
      <c r="N7" s="1209"/>
      <c r="O7" s="1209"/>
      <c r="P7" s="1210"/>
      <c r="Q7" s="1208" t="str">
        <f>'GSA - Price Analysis'!AB7</f>
        <v>Base Year</v>
      </c>
      <c r="R7" s="1209"/>
      <c r="S7" s="1209"/>
      <c r="T7" s="1209"/>
      <c r="U7" s="1210"/>
      <c r="V7" s="1208" t="str">
        <f>'GSA - Price Analysis'!AK7</f>
        <v>Base Year</v>
      </c>
      <c r="W7" s="1209"/>
      <c r="X7" s="1209"/>
      <c r="Y7" s="1209"/>
      <c r="Z7" s="1210"/>
      <c r="AA7" s="1208" t="str">
        <f>'GSA - Price Analysis'!AT7</f>
        <v>Base Year</v>
      </c>
      <c r="AB7" s="1209"/>
      <c r="AC7" s="1209"/>
      <c r="AD7" s="1209"/>
      <c r="AE7" s="1210"/>
    </row>
    <row r="8" spans="1:31" s="3" customFormat="1" ht="50.45" customHeight="1" thickBot="1">
      <c r="A8" s="568"/>
      <c r="B8" s="221" t="s">
        <v>608</v>
      </c>
      <c r="C8" s="217" t="s">
        <v>740</v>
      </c>
      <c r="D8" s="224" t="s">
        <v>628</v>
      </c>
      <c r="E8" s="236" t="s">
        <v>602</v>
      </c>
      <c r="F8" s="232" t="s">
        <v>741</v>
      </c>
      <c r="G8" s="229" t="s">
        <v>745</v>
      </c>
      <c r="H8" s="230" t="s">
        <v>746</v>
      </c>
      <c r="I8" s="230" t="s">
        <v>747</v>
      </c>
      <c r="J8" s="231" t="s">
        <v>602</v>
      </c>
      <c r="K8" s="232" t="s">
        <v>741</v>
      </c>
      <c r="L8" s="229" t="s">
        <v>745</v>
      </c>
      <c r="M8" s="230" t="s">
        <v>746</v>
      </c>
      <c r="N8" s="230" t="s">
        <v>747</v>
      </c>
      <c r="O8" s="231" t="s">
        <v>602</v>
      </c>
      <c r="P8" s="232" t="s">
        <v>741</v>
      </c>
      <c r="Q8" s="229" t="s">
        <v>745</v>
      </c>
      <c r="R8" s="230" t="s">
        <v>746</v>
      </c>
      <c r="S8" s="230" t="s">
        <v>747</v>
      </c>
      <c r="T8" s="231" t="s">
        <v>602</v>
      </c>
      <c r="U8" s="232" t="s">
        <v>741</v>
      </c>
      <c r="V8" s="229" t="s">
        <v>745</v>
      </c>
      <c r="W8" s="230" t="s">
        <v>746</v>
      </c>
      <c r="X8" s="230" t="s">
        <v>747</v>
      </c>
      <c r="Y8" s="231" t="s">
        <v>602</v>
      </c>
      <c r="Z8" s="232" t="s">
        <v>741</v>
      </c>
      <c r="AA8" s="229" t="s">
        <v>745</v>
      </c>
      <c r="AB8" s="230" t="s">
        <v>746</v>
      </c>
      <c r="AC8" s="230" t="s">
        <v>747</v>
      </c>
      <c r="AD8" s="231" t="s">
        <v>602</v>
      </c>
      <c r="AE8" s="232" t="s">
        <v>741</v>
      </c>
    </row>
    <row r="9" spans="1:31" ht="15.75">
      <c r="B9" s="908"/>
      <c r="C9" s="909"/>
      <c r="D9" s="910"/>
      <c r="E9" s="911"/>
      <c r="F9" s="912"/>
      <c r="G9" s="913"/>
      <c r="H9" s="914"/>
      <c r="I9" s="915"/>
      <c r="J9" s="916"/>
      <c r="K9" s="917"/>
      <c r="L9" s="913"/>
      <c r="M9" s="914"/>
      <c r="N9" s="915"/>
      <c r="O9" s="916"/>
      <c r="P9" s="917"/>
      <c r="Q9" s="913"/>
      <c r="R9" s="914"/>
      <c r="S9" s="915"/>
      <c r="T9" s="916"/>
      <c r="U9" s="917"/>
      <c r="V9" s="913"/>
      <c r="W9" s="914"/>
      <c r="X9" s="915"/>
      <c r="Y9" s="916"/>
      <c r="Z9" s="917"/>
      <c r="AA9" s="913"/>
      <c r="AB9" s="914"/>
      <c r="AC9" s="915"/>
      <c r="AD9" s="916"/>
      <c r="AE9" s="917"/>
    </row>
    <row r="10" spans="1:31" s="28" customFormat="1">
      <c r="A10" s="633">
        <v>1</v>
      </c>
      <c r="B10" s="584" t="str">
        <f t="shared" ref="B10:B29" si="0">VLOOKUP(A10,DL,2,FALSE)</f>
        <v xml:space="preserve">LAN/Wan Engineer </v>
      </c>
      <c r="C10" s="546" t="str">
        <f>'GSA - Price Analysis'!C10</f>
        <v>GSA Category 1</v>
      </c>
      <c r="D10" s="585" t="str">
        <f>'GSA - Price Analysis'!D10</f>
        <v>Govt</v>
      </c>
      <c r="E10" s="586">
        <f t="shared" ref="E10:F29" si="1">SUMIF($G$8:$IV$8,E$8,$G10:$IV10)</f>
        <v>0</v>
      </c>
      <c r="F10" s="638">
        <f t="shared" si="1"/>
        <v>0</v>
      </c>
      <c r="G10" s="590">
        <f>INDEX('GSA - Price Analysis'!$B$10:$BB$30,MATCH($A10,'GSA - Price Analysis'!$A$10:$A$30,0),MATCH((G$7&amp;G$8),'GSA - Price Analysis'!$B$9:$BB$9,0))</f>
        <v>0</v>
      </c>
      <c r="H10" s="591">
        <f>INDEX('GSA - Price Analysis'!$B$10:$BB$30,MATCH($A10,'GSA - Price Analysis'!$A$10:$A$30,0),MATCH((G$7&amp;H$8),'GSA - Price Analysis'!$B$9:$BB$9,0))</f>
        <v>0</v>
      </c>
      <c r="I10" s="592">
        <f t="shared" ref="I10:I29" si="2">ROUND(G10-(G10*H10),2)</f>
        <v>0</v>
      </c>
      <c r="J10" s="593">
        <f>INDEX('GSA - Price Analysis'!$B$10:$BB$30,MATCH($A10,'GSA - Price Analysis'!$A$10:$A$30,0),MATCH((G$7&amp;J$8),'GSA - Price Analysis'!$B$9:$BB$9,0))</f>
        <v>0</v>
      </c>
      <c r="K10" s="638">
        <f t="shared" ref="K10:K29" si="3">I10*J10</f>
        <v>0</v>
      </c>
      <c r="L10" s="590">
        <f>INDEX('GSA - Price Analysis'!$B$10:$BB$30,MATCH($A10,'GSA - Price Analysis'!$A$10:$A$30,0),MATCH((L$7&amp;L$8),'GSA - Price Analysis'!$B$9:$BB$9,0))</f>
        <v>0</v>
      </c>
      <c r="M10" s="591">
        <f>INDEX('GSA - Price Analysis'!$B$10:$BB$30,MATCH($A10,'GSA - Price Analysis'!$A$10:$A$30,0),MATCH((L$7&amp;M$8),'GSA - Price Analysis'!$B$9:$BB$9,0))</f>
        <v>0</v>
      </c>
      <c r="N10" s="592">
        <f t="shared" ref="N10:N29" si="4">ROUND(L10-(L10*M10),2)</f>
        <v>0</v>
      </c>
      <c r="O10" s="593">
        <f>INDEX('GSA - Price Analysis'!$B$10:$BB$30,MATCH($A10,'GSA - Price Analysis'!$A$10:$A$30,0),MATCH((L$7&amp;O$8),'GSA - Price Analysis'!$B$9:$BB$9,0))</f>
        <v>0</v>
      </c>
      <c r="P10" s="638">
        <f t="shared" ref="P10:P29" si="5">N10*O10</f>
        <v>0</v>
      </c>
      <c r="Q10" s="590">
        <f>INDEX('GSA - Price Analysis'!$B$10:$BB$30,MATCH($A10,'GSA - Price Analysis'!$A$10:$A$30,0),MATCH((Q$7&amp;Q$8),'GSA - Price Analysis'!$B$9:$BB$9,0))</f>
        <v>0</v>
      </c>
      <c r="R10" s="591">
        <f>INDEX('GSA - Price Analysis'!$B$10:$BB$30,MATCH($A10,'GSA - Price Analysis'!$A$10:$A$30,0),MATCH((Q$7&amp;R$8),'GSA - Price Analysis'!$B$9:$BB$9,0))</f>
        <v>0</v>
      </c>
      <c r="S10" s="592">
        <f t="shared" ref="S10:S29" si="6">ROUND(Q10-(Q10*R10),2)</f>
        <v>0</v>
      </c>
      <c r="T10" s="593">
        <f>INDEX('GSA - Price Analysis'!$B$10:$BB$30,MATCH($A10,'GSA - Price Analysis'!$A$10:$A$30,0),MATCH((Q$7&amp;T$8),'GSA - Price Analysis'!$B$9:$BB$9,0))</f>
        <v>0</v>
      </c>
      <c r="U10" s="638">
        <f t="shared" ref="U10:U29" si="7">S10*T10</f>
        <v>0</v>
      </c>
      <c r="V10" s="590">
        <f>INDEX('GSA - Price Analysis'!$B$10:$BB$30,MATCH($A10,'GSA - Price Analysis'!$A$10:$A$30,0),MATCH((V$7&amp;V$8),'GSA - Price Analysis'!$B$9:$BB$9,0))</f>
        <v>0</v>
      </c>
      <c r="W10" s="591">
        <f>INDEX('GSA - Price Analysis'!$B$10:$BB$30,MATCH($A10,'GSA - Price Analysis'!$A$10:$A$30,0),MATCH((V$7&amp;W$8),'GSA - Price Analysis'!$B$9:$BB$9,0))</f>
        <v>0</v>
      </c>
      <c r="X10" s="592">
        <f t="shared" ref="X10:X29" si="8">ROUND(V10-(V10*W10),2)</f>
        <v>0</v>
      </c>
      <c r="Y10" s="593">
        <f>INDEX('GSA - Price Analysis'!$B$10:$BB$30,MATCH($A10,'GSA - Price Analysis'!$A$10:$A$30,0),MATCH((V$7&amp;Y$8),'GSA - Price Analysis'!$B$9:$BB$9,0))</f>
        <v>0</v>
      </c>
      <c r="Z10" s="638">
        <f t="shared" ref="Z10:Z29" si="9">X10*Y10</f>
        <v>0</v>
      </c>
      <c r="AA10" s="590">
        <f>INDEX('GSA - Price Analysis'!$B$10:$BB$30,MATCH($A10,'GSA - Price Analysis'!$A$10:$A$30,0),MATCH((AA$7&amp;AA$8),'GSA - Price Analysis'!$B$9:$BB$9,0))</f>
        <v>0</v>
      </c>
      <c r="AB10" s="591">
        <f>INDEX('GSA - Price Analysis'!$B$10:$BB$30,MATCH($A10,'GSA - Price Analysis'!$A$10:$A$30,0),MATCH((AA$7&amp;AB$8),'GSA - Price Analysis'!$B$9:$BB$9,0))</f>
        <v>0</v>
      </c>
      <c r="AC10" s="592">
        <f t="shared" ref="AC10:AC29" si="10">ROUND(AA10-(AA10*AB10),2)</f>
        <v>0</v>
      </c>
      <c r="AD10" s="593">
        <f>INDEX('GSA - Price Analysis'!$B$10:$BB$30,MATCH($A10,'GSA - Price Analysis'!$A$10:$A$30,0),MATCH((AA$7&amp;AD$8),'GSA - Price Analysis'!$B$9:$BB$9,0))</f>
        <v>0</v>
      </c>
      <c r="AE10" s="638">
        <f t="shared" ref="AE10:AE29" si="11">AC10*AD10</f>
        <v>0</v>
      </c>
    </row>
    <row r="11" spans="1:31" s="28" customFormat="1">
      <c r="A11" s="633">
        <f t="shared" ref="A11:A29" si="12">A10+1</f>
        <v>2</v>
      </c>
      <c r="B11" s="584" t="str">
        <f t="shared" si="0"/>
        <v>Functional Services Administrator</v>
      </c>
      <c r="C11" s="546" t="str">
        <f>'GSA - Price Analysis'!C11</f>
        <v>GSA Category 2</v>
      </c>
      <c r="D11" s="585" t="str">
        <f>'GSA - Price Analysis'!D11</f>
        <v>Govt</v>
      </c>
      <c r="E11" s="586">
        <f t="shared" si="1"/>
        <v>0</v>
      </c>
      <c r="F11" s="638">
        <f t="shared" si="1"/>
        <v>0</v>
      </c>
      <c r="G11" s="590">
        <f>INDEX('GSA - Price Analysis'!$B$10:$BB$30,MATCH($A11,'GSA - Price Analysis'!$A$10:$A$30,0),MATCH((G$7&amp;G$8),'GSA - Price Analysis'!$B$9:$BB$9,0))</f>
        <v>0</v>
      </c>
      <c r="H11" s="591">
        <f>INDEX('GSA - Price Analysis'!$B$10:$BB$30,MATCH($A11,'GSA - Price Analysis'!$A$10:$A$30,0),MATCH((G$7&amp;H$8),'GSA - Price Analysis'!$B$9:$BB$9,0))</f>
        <v>0</v>
      </c>
      <c r="I11" s="592">
        <f t="shared" si="2"/>
        <v>0</v>
      </c>
      <c r="J11" s="593">
        <f>INDEX('GSA - Price Analysis'!$B$10:$BB$30,MATCH($A11,'GSA - Price Analysis'!$A$10:$A$30,0),MATCH((G$7&amp;J$8),'GSA - Price Analysis'!$B$9:$BB$9,0))</f>
        <v>0</v>
      </c>
      <c r="K11" s="638">
        <f t="shared" si="3"/>
        <v>0</v>
      </c>
      <c r="L11" s="590">
        <f>INDEX('GSA - Price Analysis'!$B$10:$BB$30,MATCH($A11,'GSA - Price Analysis'!$A$10:$A$30,0),MATCH((L$7&amp;L$8),'GSA - Price Analysis'!$B$9:$BB$9,0))</f>
        <v>0</v>
      </c>
      <c r="M11" s="591">
        <f>INDEX('GSA - Price Analysis'!$B$10:$BB$30,MATCH($A11,'GSA - Price Analysis'!$A$10:$A$30,0),MATCH((L$7&amp;M$8),'GSA - Price Analysis'!$B$9:$BB$9,0))</f>
        <v>0</v>
      </c>
      <c r="N11" s="592">
        <f t="shared" si="4"/>
        <v>0</v>
      </c>
      <c r="O11" s="593">
        <f>INDEX('GSA - Price Analysis'!$B$10:$BB$30,MATCH($A11,'GSA - Price Analysis'!$A$10:$A$30,0),MATCH((L$7&amp;O$8),'GSA - Price Analysis'!$B$9:$BB$9,0))</f>
        <v>0</v>
      </c>
      <c r="P11" s="638">
        <f t="shared" si="5"/>
        <v>0</v>
      </c>
      <c r="Q11" s="590">
        <f>INDEX('GSA - Price Analysis'!$B$10:$BB$30,MATCH($A11,'GSA - Price Analysis'!$A$10:$A$30,0),MATCH((Q$7&amp;Q$8),'GSA - Price Analysis'!$B$9:$BB$9,0))</f>
        <v>0</v>
      </c>
      <c r="R11" s="591">
        <f>INDEX('GSA - Price Analysis'!$B$10:$BB$30,MATCH($A11,'GSA - Price Analysis'!$A$10:$A$30,0),MATCH((Q$7&amp;R$8),'GSA - Price Analysis'!$B$9:$BB$9,0))</f>
        <v>0</v>
      </c>
      <c r="S11" s="592">
        <f t="shared" si="6"/>
        <v>0</v>
      </c>
      <c r="T11" s="593">
        <f>INDEX('GSA - Price Analysis'!$B$10:$BB$30,MATCH($A11,'GSA - Price Analysis'!$A$10:$A$30,0),MATCH((Q$7&amp;T$8),'GSA - Price Analysis'!$B$9:$BB$9,0))</f>
        <v>0</v>
      </c>
      <c r="U11" s="638">
        <f t="shared" si="7"/>
        <v>0</v>
      </c>
      <c r="V11" s="590">
        <f>INDEX('GSA - Price Analysis'!$B$10:$BB$30,MATCH($A11,'GSA - Price Analysis'!$A$10:$A$30,0),MATCH((V$7&amp;V$8),'GSA - Price Analysis'!$B$9:$BB$9,0))</f>
        <v>0</v>
      </c>
      <c r="W11" s="591">
        <f>INDEX('GSA - Price Analysis'!$B$10:$BB$30,MATCH($A11,'GSA - Price Analysis'!$A$10:$A$30,0),MATCH((V$7&amp;W$8),'GSA - Price Analysis'!$B$9:$BB$9,0))</f>
        <v>0</v>
      </c>
      <c r="X11" s="592">
        <f t="shared" si="8"/>
        <v>0</v>
      </c>
      <c r="Y11" s="593">
        <f>INDEX('GSA - Price Analysis'!$B$10:$BB$30,MATCH($A11,'GSA - Price Analysis'!$A$10:$A$30,0),MATCH((V$7&amp;Y$8),'GSA - Price Analysis'!$B$9:$BB$9,0))</f>
        <v>0</v>
      </c>
      <c r="Z11" s="638">
        <f t="shared" si="9"/>
        <v>0</v>
      </c>
      <c r="AA11" s="590">
        <f>INDEX('GSA - Price Analysis'!$B$10:$BB$30,MATCH($A11,'GSA - Price Analysis'!$A$10:$A$30,0),MATCH((AA$7&amp;AA$8),'GSA - Price Analysis'!$B$9:$BB$9,0))</f>
        <v>0</v>
      </c>
      <c r="AB11" s="591">
        <f>INDEX('GSA - Price Analysis'!$B$10:$BB$30,MATCH($A11,'GSA - Price Analysis'!$A$10:$A$30,0),MATCH((AA$7&amp;AB$8),'GSA - Price Analysis'!$B$9:$BB$9,0))</f>
        <v>0</v>
      </c>
      <c r="AC11" s="592">
        <f t="shared" si="10"/>
        <v>0</v>
      </c>
      <c r="AD11" s="593">
        <f>INDEX('GSA - Price Analysis'!$B$10:$BB$30,MATCH($A11,'GSA - Price Analysis'!$A$10:$A$30,0),MATCH((AA$7&amp;AD$8),'GSA - Price Analysis'!$B$9:$BB$9,0))</f>
        <v>0</v>
      </c>
      <c r="AE11" s="638">
        <f t="shared" si="11"/>
        <v>0</v>
      </c>
    </row>
    <row r="12" spans="1:31" s="28" customFormat="1">
      <c r="A12" s="633">
        <f t="shared" si="12"/>
        <v>3</v>
      </c>
      <c r="B12" s="584" t="str">
        <f t="shared" si="0"/>
        <v>Functional Services Administrator</v>
      </c>
      <c r="C12" s="546" t="str">
        <f>'GSA - Price Analysis'!C12</f>
        <v>GSA Category 3</v>
      </c>
      <c r="D12" s="585" t="str">
        <f>'GSA - Price Analysis'!D12</f>
        <v>Govt</v>
      </c>
      <c r="E12" s="586">
        <f t="shared" si="1"/>
        <v>0</v>
      </c>
      <c r="F12" s="638">
        <f t="shared" si="1"/>
        <v>0</v>
      </c>
      <c r="G12" s="590">
        <f>INDEX('GSA - Price Analysis'!$B$10:$BB$30,MATCH($A12,'GSA - Price Analysis'!$A$10:$A$30,0),MATCH((G$7&amp;G$8),'GSA - Price Analysis'!$B$9:$BB$9,0))</f>
        <v>0</v>
      </c>
      <c r="H12" s="591">
        <f>INDEX('GSA - Price Analysis'!$B$10:$BB$30,MATCH($A12,'GSA - Price Analysis'!$A$10:$A$30,0),MATCH((G$7&amp;H$8),'GSA - Price Analysis'!$B$9:$BB$9,0))</f>
        <v>0</v>
      </c>
      <c r="I12" s="592">
        <f t="shared" si="2"/>
        <v>0</v>
      </c>
      <c r="J12" s="593">
        <f>INDEX('GSA - Price Analysis'!$B$10:$BB$30,MATCH($A12,'GSA - Price Analysis'!$A$10:$A$30,0),MATCH((G$7&amp;J$8),'GSA - Price Analysis'!$B$9:$BB$9,0))</f>
        <v>0</v>
      </c>
      <c r="K12" s="638">
        <f t="shared" si="3"/>
        <v>0</v>
      </c>
      <c r="L12" s="590">
        <f>INDEX('GSA - Price Analysis'!$B$10:$BB$30,MATCH($A12,'GSA - Price Analysis'!$A$10:$A$30,0),MATCH((L$7&amp;L$8),'GSA - Price Analysis'!$B$9:$BB$9,0))</f>
        <v>0</v>
      </c>
      <c r="M12" s="591">
        <f>INDEX('GSA - Price Analysis'!$B$10:$BB$30,MATCH($A12,'GSA - Price Analysis'!$A$10:$A$30,0),MATCH((L$7&amp;M$8),'GSA - Price Analysis'!$B$9:$BB$9,0))</f>
        <v>0</v>
      </c>
      <c r="N12" s="592">
        <f t="shared" si="4"/>
        <v>0</v>
      </c>
      <c r="O12" s="593">
        <f>INDEX('GSA - Price Analysis'!$B$10:$BB$30,MATCH($A12,'GSA - Price Analysis'!$A$10:$A$30,0),MATCH((L$7&amp;O$8),'GSA - Price Analysis'!$B$9:$BB$9,0))</f>
        <v>0</v>
      </c>
      <c r="P12" s="638">
        <f t="shared" si="5"/>
        <v>0</v>
      </c>
      <c r="Q12" s="590">
        <f>INDEX('GSA - Price Analysis'!$B$10:$BB$30,MATCH($A12,'GSA - Price Analysis'!$A$10:$A$30,0),MATCH((Q$7&amp;Q$8),'GSA - Price Analysis'!$B$9:$BB$9,0))</f>
        <v>0</v>
      </c>
      <c r="R12" s="591">
        <f>INDEX('GSA - Price Analysis'!$B$10:$BB$30,MATCH($A12,'GSA - Price Analysis'!$A$10:$A$30,0),MATCH((Q$7&amp;R$8),'GSA - Price Analysis'!$B$9:$BB$9,0))</f>
        <v>0</v>
      </c>
      <c r="S12" s="592">
        <f t="shared" si="6"/>
        <v>0</v>
      </c>
      <c r="T12" s="593">
        <f>INDEX('GSA - Price Analysis'!$B$10:$BB$30,MATCH($A12,'GSA - Price Analysis'!$A$10:$A$30,0),MATCH((Q$7&amp;T$8),'GSA - Price Analysis'!$B$9:$BB$9,0))</f>
        <v>0</v>
      </c>
      <c r="U12" s="638">
        <f t="shared" si="7"/>
        <v>0</v>
      </c>
      <c r="V12" s="590">
        <f>INDEX('GSA - Price Analysis'!$B$10:$BB$30,MATCH($A12,'GSA - Price Analysis'!$A$10:$A$30,0),MATCH((V$7&amp;V$8),'GSA - Price Analysis'!$B$9:$BB$9,0))</f>
        <v>0</v>
      </c>
      <c r="W12" s="591">
        <f>INDEX('GSA - Price Analysis'!$B$10:$BB$30,MATCH($A12,'GSA - Price Analysis'!$A$10:$A$30,0),MATCH((V$7&amp;W$8),'GSA - Price Analysis'!$B$9:$BB$9,0))</f>
        <v>0</v>
      </c>
      <c r="X12" s="592">
        <f t="shared" si="8"/>
        <v>0</v>
      </c>
      <c r="Y12" s="593">
        <f>INDEX('GSA - Price Analysis'!$B$10:$BB$30,MATCH($A12,'GSA - Price Analysis'!$A$10:$A$30,0),MATCH((V$7&amp;Y$8),'GSA - Price Analysis'!$B$9:$BB$9,0))</f>
        <v>0</v>
      </c>
      <c r="Z12" s="638">
        <f t="shared" si="9"/>
        <v>0</v>
      </c>
      <c r="AA12" s="590">
        <f>INDEX('GSA - Price Analysis'!$B$10:$BB$30,MATCH($A12,'GSA - Price Analysis'!$A$10:$A$30,0),MATCH((AA$7&amp;AA$8),'GSA - Price Analysis'!$B$9:$BB$9,0))</f>
        <v>0</v>
      </c>
      <c r="AB12" s="591">
        <f>INDEX('GSA - Price Analysis'!$B$10:$BB$30,MATCH($A12,'GSA - Price Analysis'!$A$10:$A$30,0),MATCH((AA$7&amp;AB$8),'GSA - Price Analysis'!$B$9:$BB$9,0))</f>
        <v>0</v>
      </c>
      <c r="AC12" s="592">
        <f t="shared" si="10"/>
        <v>0</v>
      </c>
      <c r="AD12" s="593">
        <f>INDEX('GSA - Price Analysis'!$B$10:$BB$30,MATCH($A12,'GSA - Price Analysis'!$A$10:$A$30,0),MATCH((AA$7&amp;AD$8),'GSA - Price Analysis'!$B$9:$BB$9,0))</f>
        <v>0</v>
      </c>
      <c r="AE12" s="638">
        <f t="shared" si="11"/>
        <v>0</v>
      </c>
    </row>
    <row r="13" spans="1:31" s="28" customFormat="1">
      <c r="A13" s="633">
        <f t="shared" si="12"/>
        <v>4</v>
      </c>
      <c r="B13" s="584" t="str">
        <f t="shared" si="0"/>
        <v>Functional Services Administrator</v>
      </c>
      <c r="C13" s="546" t="str">
        <f>'GSA - Price Analysis'!C13</f>
        <v>GSA Category 4</v>
      </c>
      <c r="D13" s="585" t="str">
        <f>'GSA - Price Analysis'!D13</f>
        <v>Govt</v>
      </c>
      <c r="E13" s="586">
        <f t="shared" si="1"/>
        <v>0</v>
      </c>
      <c r="F13" s="638">
        <f t="shared" si="1"/>
        <v>0</v>
      </c>
      <c r="G13" s="590">
        <f>INDEX('GSA - Price Analysis'!$B$10:$BB$30,MATCH($A13,'GSA - Price Analysis'!$A$10:$A$30,0),MATCH((G$7&amp;G$8),'GSA - Price Analysis'!$B$9:$BB$9,0))</f>
        <v>0</v>
      </c>
      <c r="H13" s="591">
        <f>INDEX('GSA - Price Analysis'!$B$10:$BB$30,MATCH($A13,'GSA - Price Analysis'!$A$10:$A$30,0),MATCH((G$7&amp;H$8),'GSA - Price Analysis'!$B$9:$BB$9,0))</f>
        <v>0</v>
      </c>
      <c r="I13" s="592">
        <f t="shared" si="2"/>
        <v>0</v>
      </c>
      <c r="J13" s="593">
        <f>INDEX('GSA - Price Analysis'!$B$10:$BB$30,MATCH($A13,'GSA - Price Analysis'!$A$10:$A$30,0),MATCH((G$7&amp;J$8),'GSA - Price Analysis'!$B$9:$BB$9,0))</f>
        <v>0</v>
      </c>
      <c r="K13" s="638">
        <f t="shared" si="3"/>
        <v>0</v>
      </c>
      <c r="L13" s="590">
        <f>INDEX('GSA - Price Analysis'!$B$10:$BB$30,MATCH($A13,'GSA - Price Analysis'!$A$10:$A$30,0),MATCH((L$7&amp;L$8),'GSA - Price Analysis'!$B$9:$BB$9,0))</f>
        <v>0</v>
      </c>
      <c r="M13" s="591">
        <f>INDEX('GSA - Price Analysis'!$B$10:$BB$30,MATCH($A13,'GSA - Price Analysis'!$A$10:$A$30,0),MATCH((L$7&amp;M$8),'GSA - Price Analysis'!$B$9:$BB$9,0))</f>
        <v>0</v>
      </c>
      <c r="N13" s="592">
        <f t="shared" si="4"/>
        <v>0</v>
      </c>
      <c r="O13" s="593">
        <f>INDEX('GSA - Price Analysis'!$B$10:$BB$30,MATCH($A13,'GSA - Price Analysis'!$A$10:$A$30,0),MATCH((L$7&amp;O$8),'GSA - Price Analysis'!$B$9:$BB$9,0))</f>
        <v>0</v>
      </c>
      <c r="P13" s="638">
        <f t="shared" si="5"/>
        <v>0</v>
      </c>
      <c r="Q13" s="590">
        <f>INDEX('GSA - Price Analysis'!$B$10:$BB$30,MATCH($A13,'GSA - Price Analysis'!$A$10:$A$30,0),MATCH((Q$7&amp;Q$8),'GSA - Price Analysis'!$B$9:$BB$9,0))</f>
        <v>0</v>
      </c>
      <c r="R13" s="591">
        <f>INDEX('GSA - Price Analysis'!$B$10:$BB$30,MATCH($A13,'GSA - Price Analysis'!$A$10:$A$30,0),MATCH((Q$7&amp;R$8),'GSA - Price Analysis'!$B$9:$BB$9,0))</f>
        <v>0</v>
      </c>
      <c r="S13" s="592">
        <f t="shared" si="6"/>
        <v>0</v>
      </c>
      <c r="T13" s="593">
        <f>INDEX('GSA - Price Analysis'!$B$10:$BB$30,MATCH($A13,'GSA - Price Analysis'!$A$10:$A$30,0),MATCH((Q$7&amp;T$8),'GSA - Price Analysis'!$B$9:$BB$9,0))</f>
        <v>0</v>
      </c>
      <c r="U13" s="638">
        <f t="shared" si="7"/>
        <v>0</v>
      </c>
      <c r="V13" s="590">
        <f>INDEX('GSA - Price Analysis'!$B$10:$BB$30,MATCH($A13,'GSA - Price Analysis'!$A$10:$A$30,0),MATCH((V$7&amp;V$8),'GSA - Price Analysis'!$B$9:$BB$9,0))</f>
        <v>0</v>
      </c>
      <c r="W13" s="591">
        <f>INDEX('GSA - Price Analysis'!$B$10:$BB$30,MATCH($A13,'GSA - Price Analysis'!$A$10:$A$30,0),MATCH((V$7&amp;W$8),'GSA - Price Analysis'!$B$9:$BB$9,0))</f>
        <v>0</v>
      </c>
      <c r="X13" s="592">
        <f t="shared" si="8"/>
        <v>0</v>
      </c>
      <c r="Y13" s="593">
        <f>INDEX('GSA - Price Analysis'!$B$10:$BB$30,MATCH($A13,'GSA - Price Analysis'!$A$10:$A$30,0),MATCH((V$7&amp;Y$8),'GSA - Price Analysis'!$B$9:$BB$9,0))</f>
        <v>0</v>
      </c>
      <c r="Z13" s="638">
        <f t="shared" si="9"/>
        <v>0</v>
      </c>
      <c r="AA13" s="590">
        <f>INDEX('GSA - Price Analysis'!$B$10:$BB$30,MATCH($A13,'GSA - Price Analysis'!$A$10:$A$30,0),MATCH((AA$7&amp;AA$8),'GSA - Price Analysis'!$B$9:$BB$9,0))</f>
        <v>0</v>
      </c>
      <c r="AB13" s="591">
        <f>INDEX('GSA - Price Analysis'!$B$10:$BB$30,MATCH($A13,'GSA - Price Analysis'!$A$10:$A$30,0),MATCH((AA$7&amp;AB$8),'GSA - Price Analysis'!$B$9:$BB$9,0))</f>
        <v>0</v>
      </c>
      <c r="AC13" s="592">
        <f t="shared" si="10"/>
        <v>0</v>
      </c>
      <c r="AD13" s="593">
        <f>INDEX('GSA - Price Analysis'!$B$10:$BB$30,MATCH($A13,'GSA - Price Analysis'!$A$10:$A$30,0),MATCH((AA$7&amp;AD$8),'GSA - Price Analysis'!$B$9:$BB$9,0))</f>
        <v>0</v>
      </c>
      <c r="AE13" s="638">
        <f t="shared" si="11"/>
        <v>0</v>
      </c>
    </row>
    <row r="14" spans="1:31" s="28" customFormat="1">
      <c r="A14" s="633">
        <f t="shared" si="12"/>
        <v>5</v>
      </c>
      <c r="B14" s="584" t="str">
        <f t="shared" si="0"/>
        <v>Service Desk</v>
      </c>
      <c r="C14" s="546" t="str">
        <f>'GSA - Price Analysis'!C14</f>
        <v>GSA Category 5</v>
      </c>
      <c r="D14" s="585" t="str">
        <f>'GSA - Price Analysis'!D14</f>
        <v>Govt</v>
      </c>
      <c r="E14" s="586">
        <f t="shared" si="1"/>
        <v>0</v>
      </c>
      <c r="F14" s="638">
        <f t="shared" si="1"/>
        <v>0</v>
      </c>
      <c r="G14" s="590">
        <f>INDEX('GSA - Price Analysis'!$B$10:$BB$30,MATCH($A14,'GSA - Price Analysis'!$A$10:$A$30,0),MATCH((G$7&amp;G$8),'GSA - Price Analysis'!$B$9:$BB$9,0))</f>
        <v>0</v>
      </c>
      <c r="H14" s="591">
        <f>INDEX('GSA - Price Analysis'!$B$10:$BB$30,MATCH($A14,'GSA - Price Analysis'!$A$10:$A$30,0),MATCH((G$7&amp;H$8),'GSA - Price Analysis'!$B$9:$BB$9,0))</f>
        <v>0</v>
      </c>
      <c r="I14" s="592">
        <f t="shared" si="2"/>
        <v>0</v>
      </c>
      <c r="J14" s="593">
        <f>INDEX('GSA - Price Analysis'!$B$10:$BB$30,MATCH($A14,'GSA - Price Analysis'!$A$10:$A$30,0),MATCH((G$7&amp;J$8),'GSA - Price Analysis'!$B$9:$BB$9,0))</f>
        <v>0</v>
      </c>
      <c r="K14" s="638">
        <f t="shared" si="3"/>
        <v>0</v>
      </c>
      <c r="L14" s="590">
        <f>INDEX('GSA - Price Analysis'!$B$10:$BB$30,MATCH($A14,'GSA - Price Analysis'!$A$10:$A$30,0),MATCH((L$7&amp;L$8),'GSA - Price Analysis'!$B$9:$BB$9,0))</f>
        <v>0</v>
      </c>
      <c r="M14" s="591">
        <f>INDEX('GSA - Price Analysis'!$B$10:$BB$30,MATCH($A14,'GSA - Price Analysis'!$A$10:$A$30,0),MATCH((L$7&amp;M$8),'GSA - Price Analysis'!$B$9:$BB$9,0))</f>
        <v>0</v>
      </c>
      <c r="N14" s="592">
        <f t="shared" si="4"/>
        <v>0</v>
      </c>
      <c r="O14" s="593">
        <f>INDEX('GSA - Price Analysis'!$B$10:$BB$30,MATCH($A14,'GSA - Price Analysis'!$A$10:$A$30,0),MATCH((L$7&amp;O$8),'GSA - Price Analysis'!$B$9:$BB$9,0))</f>
        <v>0</v>
      </c>
      <c r="P14" s="638">
        <f t="shared" si="5"/>
        <v>0</v>
      </c>
      <c r="Q14" s="590">
        <f>INDEX('GSA - Price Analysis'!$B$10:$BB$30,MATCH($A14,'GSA - Price Analysis'!$A$10:$A$30,0),MATCH((Q$7&amp;Q$8),'GSA - Price Analysis'!$B$9:$BB$9,0))</f>
        <v>0</v>
      </c>
      <c r="R14" s="591">
        <f>INDEX('GSA - Price Analysis'!$B$10:$BB$30,MATCH($A14,'GSA - Price Analysis'!$A$10:$A$30,0),MATCH((Q$7&amp;R$8),'GSA - Price Analysis'!$B$9:$BB$9,0))</f>
        <v>0</v>
      </c>
      <c r="S14" s="592">
        <f t="shared" si="6"/>
        <v>0</v>
      </c>
      <c r="T14" s="593">
        <f>INDEX('GSA - Price Analysis'!$B$10:$BB$30,MATCH($A14,'GSA - Price Analysis'!$A$10:$A$30,0),MATCH((Q$7&amp;T$8),'GSA - Price Analysis'!$B$9:$BB$9,0))</f>
        <v>0</v>
      </c>
      <c r="U14" s="638">
        <f t="shared" si="7"/>
        <v>0</v>
      </c>
      <c r="V14" s="590">
        <f>INDEX('GSA - Price Analysis'!$B$10:$BB$30,MATCH($A14,'GSA - Price Analysis'!$A$10:$A$30,0),MATCH((V$7&amp;V$8),'GSA - Price Analysis'!$B$9:$BB$9,0))</f>
        <v>0</v>
      </c>
      <c r="W14" s="591">
        <f>INDEX('GSA - Price Analysis'!$B$10:$BB$30,MATCH($A14,'GSA - Price Analysis'!$A$10:$A$30,0),MATCH((V$7&amp;W$8),'GSA - Price Analysis'!$B$9:$BB$9,0))</f>
        <v>0</v>
      </c>
      <c r="X14" s="592">
        <f t="shared" si="8"/>
        <v>0</v>
      </c>
      <c r="Y14" s="593">
        <f>INDEX('GSA - Price Analysis'!$B$10:$BB$30,MATCH($A14,'GSA - Price Analysis'!$A$10:$A$30,0),MATCH((V$7&amp;Y$8),'GSA - Price Analysis'!$B$9:$BB$9,0))</f>
        <v>0</v>
      </c>
      <c r="Z14" s="638">
        <f t="shared" si="9"/>
        <v>0</v>
      </c>
      <c r="AA14" s="590">
        <f>INDEX('GSA - Price Analysis'!$B$10:$BB$30,MATCH($A14,'GSA - Price Analysis'!$A$10:$A$30,0),MATCH((AA$7&amp;AA$8),'GSA - Price Analysis'!$B$9:$BB$9,0))</f>
        <v>0</v>
      </c>
      <c r="AB14" s="591">
        <f>INDEX('GSA - Price Analysis'!$B$10:$BB$30,MATCH($A14,'GSA - Price Analysis'!$A$10:$A$30,0),MATCH((AA$7&amp;AB$8),'GSA - Price Analysis'!$B$9:$BB$9,0))</f>
        <v>0</v>
      </c>
      <c r="AC14" s="592">
        <f t="shared" si="10"/>
        <v>0</v>
      </c>
      <c r="AD14" s="593">
        <f>INDEX('GSA - Price Analysis'!$B$10:$BB$30,MATCH($A14,'GSA - Price Analysis'!$A$10:$A$30,0),MATCH((AA$7&amp;AD$8),'GSA - Price Analysis'!$B$9:$BB$9,0))</f>
        <v>0</v>
      </c>
      <c r="AE14" s="638">
        <f t="shared" si="11"/>
        <v>0</v>
      </c>
    </row>
    <row r="15" spans="1:31" s="28" customFormat="1">
      <c r="A15" s="633">
        <f t="shared" si="12"/>
        <v>6</v>
      </c>
      <c r="B15" s="584" t="str">
        <f t="shared" si="0"/>
        <v>Service Desk</v>
      </c>
      <c r="C15" s="546" t="str">
        <f>'GSA - Price Analysis'!C15</f>
        <v>GSA Category 6</v>
      </c>
      <c r="D15" s="585" t="str">
        <f>'GSA - Price Analysis'!D15</f>
        <v>Govt</v>
      </c>
      <c r="E15" s="586">
        <f t="shared" si="1"/>
        <v>0</v>
      </c>
      <c r="F15" s="638">
        <f t="shared" si="1"/>
        <v>0</v>
      </c>
      <c r="G15" s="590">
        <f>INDEX('GSA - Price Analysis'!$B$10:$BB$30,MATCH($A15,'GSA - Price Analysis'!$A$10:$A$30,0),MATCH((G$7&amp;G$8),'GSA - Price Analysis'!$B$9:$BB$9,0))</f>
        <v>0</v>
      </c>
      <c r="H15" s="591">
        <f>INDEX('GSA - Price Analysis'!$B$10:$BB$30,MATCH($A15,'GSA - Price Analysis'!$A$10:$A$30,0),MATCH((G$7&amp;H$8),'GSA - Price Analysis'!$B$9:$BB$9,0))</f>
        <v>0</v>
      </c>
      <c r="I15" s="592">
        <f t="shared" si="2"/>
        <v>0</v>
      </c>
      <c r="J15" s="593">
        <f>INDEX('GSA - Price Analysis'!$B$10:$BB$30,MATCH($A15,'GSA - Price Analysis'!$A$10:$A$30,0),MATCH((G$7&amp;J$8),'GSA - Price Analysis'!$B$9:$BB$9,0))</f>
        <v>0</v>
      </c>
      <c r="K15" s="638">
        <f t="shared" si="3"/>
        <v>0</v>
      </c>
      <c r="L15" s="590">
        <f>INDEX('GSA - Price Analysis'!$B$10:$BB$30,MATCH($A15,'GSA - Price Analysis'!$A$10:$A$30,0),MATCH((L$7&amp;L$8),'GSA - Price Analysis'!$B$9:$BB$9,0))</f>
        <v>0</v>
      </c>
      <c r="M15" s="591">
        <f>INDEX('GSA - Price Analysis'!$B$10:$BB$30,MATCH($A15,'GSA - Price Analysis'!$A$10:$A$30,0),MATCH((L$7&amp;M$8),'GSA - Price Analysis'!$B$9:$BB$9,0))</f>
        <v>0</v>
      </c>
      <c r="N15" s="592">
        <f t="shared" si="4"/>
        <v>0</v>
      </c>
      <c r="O15" s="593">
        <f>INDEX('GSA - Price Analysis'!$B$10:$BB$30,MATCH($A15,'GSA - Price Analysis'!$A$10:$A$30,0),MATCH((L$7&amp;O$8),'GSA - Price Analysis'!$B$9:$BB$9,0))</f>
        <v>0</v>
      </c>
      <c r="P15" s="638">
        <f t="shared" si="5"/>
        <v>0</v>
      </c>
      <c r="Q15" s="590">
        <f>INDEX('GSA - Price Analysis'!$B$10:$BB$30,MATCH($A15,'GSA - Price Analysis'!$A$10:$A$30,0),MATCH((Q$7&amp;Q$8),'GSA - Price Analysis'!$B$9:$BB$9,0))</f>
        <v>0</v>
      </c>
      <c r="R15" s="591">
        <f>INDEX('GSA - Price Analysis'!$B$10:$BB$30,MATCH($A15,'GSA - Price Analysis'!$A$10:$A$30,0),MATCH((Q$7&amp;R$8),'GSA - Price Analysis'!$B$9:$BB$9,0))</f>
        <v>0</v>
      </c>
      <c r="S15" s="592">
        <f t="shared" si="6"/>
        <v>0</v>
      </c>
      <c r="T15" s="593">
        <f>INDEX('GSA - Price Analysis'!$B$10:$BB$30,MATCH($A15,'GSA - Price Analysis'!$A$10:$A$30,0),MATCH((Q$7&amp;T$8),'GSA - Price Analysis'!$B$9:$BB$9,0))</f>
        <v>0</v>
      </c>
      <c r="U15" s="638">
        <f t="shared" si="7"/>
        <v>0</v>
      </c>
      <c r="V15" s="590">
        <f>INDEX('GSA - Price Analysis'!$B$10:$BB$30,MATCH($A15,'GSA - Price Analysis'!$A$10:$A$30,0),MATCH((V$7&amp;V$8),'GSA - Price Analysis'!$B$9:$BB$9,0))</f>
        <v>0</v>
      </c>
      <c r="W15" s="591">
        <f>INDEX('GSA - Price Analysis'!$B$10:$BB$30,MATCH($A15,'GSA - Price Analysis'!$A$10:$A$30,0),MATCH((V$7&amp;W$8),'GSA - Price Analysis'!$B$9:$BB$9,0))</f>
        <v>0</v>
      </c>
      <c r="X15" s="592">
        <f t="shared" si="8"/>
        <v>0</v>
      </c>
      <c r="Y15" s="593">
        <f>INDEX('GSA - Price Analysis'!$B$10:$BB$30,MATCH($A15,'GSA - Price Analysis'!$A$10:$A$30,0),MATCH((V$7&amp;Y$8),'GSA - Price Analysis'!$B$9:$BB$9,0))</f>
        <v>0</v>
      </c>
      <c r="Z15" s="638">
        <f t="shared" si="9"/>
        <v>0</v>
      </c>
      <c r="AA15" s="590">
        <f>INDEX('GSA - Price Analysis'!$B$10:$BB$30,MATCH($A15,'GSA - Price Analysis'!$A$10:$A$30,0),MATCH((AA$7&amp;AA$8),'GSA - Price Analysis'!$B$9:$BB$9,0))</f>
        <v>0</v>
      </c>
      <c r="AB15" s="591">
        <f>INDEX('GSA - Price Analysis'!$B$10:$BB$30,MATCH($A15,'GSA - Price Analysis'!$A$10:$A$30,0),MATCH((AA$7&amp;AB$8),'GSA - Price Analysis'!$B$9:$BB$9,0))</f>
        <v>0</v>
      </c>
      <c r="AC15" s="592">
        <f t="shared" si="10"/>
        <v>0</v>
      </c>
      <c r="AD15" s="593">
        <f>INDEX('GSA - Price Analysis'!$B$10:$BB$30,MATCH($A15,'GSA - Price Analysis'!$A$10:$A$30,0),MATCH((AA$7&amp;AD$8),'GSA - Price Analysis'!$B$9:$BB$9,0))</f>
        <v>0</v>
      </c>
      <c r="AE15" s="638">
        <f t="shared" si="11"/>
        <v>0</v>
      </c>
    </row>
    <row r="16" spans="1:31" s="641" customFormat="1">
      <c r="A16" s="633">
        <f t="shared" si="12"/>
        <v>7</v>
      </c>
      <c r="B16" s="639" t="str">
        <f t="shared" si="0"/>
        <v>CIS Training Supervisor</v>
      </c>
      <c r="C16" s="546" t="str">
        <f>'GSA - Price Analysis'!C16</f>
        <v>GSA Category 7</v>
      </c>
      <c r="D16" s="640" t="str">
        <f>'GSA - Price Analysis'!D16</f>
        <v>Govt_Sub</v>
      </c>
      <c r="E16" s="586">
        <f t="shared" si="1"/>
        <v>0</v>
      </c>
      <c r="F16" s="638">
        <f t="shared" si="1"/>
        <v>0</v>
      </c>
      <c r="G16" s="590">
        <f>INDEX('GSA - Price Analysis'!$B$10:$BB$30,MATCH($A16,'GSA - Price Analysis'!$A$10:$A$30,0),MATCH((G$7&amp;G$8),'GSA - Price Analysis'!$B$9:$BB$9,0))</f>
        <v>0</v>
      </c>
      <c r="H16" s="591">
        <f>INDEX('GSA - Price Analysis'!$B$10:$BB$30,MATCH($A16,'GSA - Price Analysis'!$A$10:$A$30,0),MATCH((G$7&amp;H$8),'GSA - Price Analysis'!$B$9:$BB$9,0))</f>
        <v>0</v>
      </c>
      <c r="I16" s="592">
        <f t="shared" si="2"/>
        <v>0</v>
      </c>
      <c r="J16" s="593">
        <f>INDEX('GSA - Price Analysis'!$B$10:$BB$30,MATCH($A16,'GSA - Price Analysis'!$A$10:$A$30,0),MATCH((G$7&amp;J$8),'GSA - Price Analysis'!$B$9:$BB$9,0))</f>
        <v>0</v>
      </c>
      <c r="K16" s="638">
        <f t="shared" si="3"/>
        <v>0</v>
      </c>
      <c r="L16" s="590">
        <f>INDEX('GSA - Price Analysis'!$B$10:$BB$30,MATCH($A16,'GSA - Price Analysis'!$A$10:$A$30,0),MATCH((L$7&amp;L$8),'GSA - Price Analysis'!$B$9:$BB$9,0))</f>
        <v>0</v>
      </c>
      <c r="M16" s="591">
        <f>INDEX('GSA - Price Analysis'!$B$10:$BB$30,MATCH($A16,'GSA - Price Analysis'!$A$10:$A$30,0),MATCH((L$7&amp;M$8),'GSA - Price Analysis'!$B$9:$BB$9,0))</f>
        <v>0</v>
      </c>
      <c r="N16" s="592">
        <f t="shared" si="4"/>
        <v>0</v>
      </c>
      <c r="O16" s="593">
        <f>INDEX('GSA - Price Analysis'!$B$10:$BB$30,MATCH($A16,'GSA - Price Analysis'!$A$10:$A$30,0),MATCH((L$7&amp;O$8),'GSA - Price Analysis'!$B$9:$BB$9,0))</f>
        <v>0</v>
      </c>
      <c r="P16" s="638">
        <f t="shared" si="5"/>
        <v>0</v>
      </c>
      <c r="Q16" s="590">
        <f>INDEX('GSA - Price Analysis'!$B$10:$BB$30,MATCH($A16,'GSA - Price Analysis'!$A$10:$A$30,0),MATCH((Q$7&amp;Q$8),'GSA - Price Analysis'!$B$9:$BB$9,0))</f>
        <v>0</v>
      </c>
      <c r="R16" s="591">
        <f>INDEX('GSA - Price Analysis'!$B$10:$BB$30,MATCH($A16,'GSA - Price Analysis'!$A$10:$A$30,0),MATCH((Q$7&amp;R$8),'GSA - Price Analysis'!$B$9:$BB$9,0))</f>
        <v>0</v>
      </c>
      <c r="S16" s="592">
        <f t="shared" si="6"/>
        <v>0</v>
      </c>
      <c r="T16" s="593">
        <f>INDEX('GSA - Price Analysis'!$B$10:$BB$30,MATCH($A16,'GSA - Price Analysis'!$A$10:$A$30,0),MATCH((Q$7&amp;T$8),'GSA - Price Analysis'!$B$9:$BB$9,0))</f>
        <v>0</v>
      </c>
      <c r="U16" s="638">
        <f t="shared" si="7"/>
        <v>0</v>
      </c>
      <c r="V16" s="590">
        <f>INDEX('GSA - Price Analysis'!$B$10:$BB$30,MATCH($A16,'GSA - Price Analysis'!$A$10:$A$30,0),MATCH((V$7&amp;V$8),'GSA - Price Analysis'!$B$9:$BB$9,0))</f>
        <v>0</v>
      </c>
      <c r="W16" s="591">
        <f>INDEX('GSA - Price Analysis'!$B$10:$BB$30,MATCH($A16,'GSA - Price Analysis'!$A$10:$A$30,0),MATCH((V$7&amp;W$8),'GSA - Price Analysis'!$B$9:$BB$9,0))</f>
        <v>0</v>
      </c>
      <c r="X16" s="592">
        <f t="shared" si="8"/>
        <v>0</v>
      </c>
      <c r="Y16" s="593">
        <f>INDEX('GSA - Price Analysis'!$B$10:$BB$30,MATCH($A16,'GSA - Price Analysis'!$A$10:$A$30,0),MATCH((V$7&amp;Y$8),'GSA - Price Analysis'!$B$9:$BB$9,0))</f>
        <v>0</v>
      </c>
      <c r="Z16" s="638">
        <f t="shared" si="9"/>
        <v>0</v>
      </c>
      <c r="AA16" s="590">
        <f>INDEX('GSA - Price Analysis'!$B$10:$BB$30,MATCH($A16,'GSA - Price Analysis'!$A$10:$A$30,0),MATCH((AA$7&amp;AA$8),'GSA - Price Analysis'!$B$9:$BB$9,0))</f>
        <v>0</v>
      </c>
      <c r="AB16" s="591">
        <f>INDEX('GSA - Price Analysis'!$B$10:$BB$30,MATCH($A16,'GSA - Price Analysis'!$A$10:$A$30,0),MATCH((AA$7&amp;AB$8),'GSA - Price Analysis'!$B$9:$BB$9,0))</f>
        <v>0</v>
      </c>
      <c r="AC16" s="592">
        <f t="shared" si="10"/>
        <v>0</v>
      </c>
      <c r="AD16" s="593">
        <f>INDEX('GSA - Price Analysis'!$B$10:$BB$30,MATCH($A16,'GSA - Price Analysis'!$A$10:$A$30,0),MATCH((AA$7&amp;AD$8),'GSA - Price Analysis'!$B$9:$BB$9,0))</f>
        <v>0</v>
      </c>
      <c r="AE16" s="638">
        <f t="shared" si="11"/>
        <v>0</v>
      </c>
    </row>
    <row r="17" spans="1:31" s="641" customFormat="1">
      <c r="A17" s="642">
        <f t="shared" si="12"/>
        <v>8</v>
      </c>
      <c r="B17" s="643" t="str">
        <f t="shared" si="0"/>
        <v>CIS Trainer</v>
      </c>
      <c r="C17" s="546" t="str">
        <f>'GSA - Price Analysis'!C17</f>
        <v>GSA Category 8</v>
      </c>
      <c r="D17" s="645" t="str">
        <f>'GSA - Price Analysis'!D17</f>
        <v>Govt_Sub</v>
      </c>
      <c r="E17" s="586">
        <f t="shared" si="1"/>
        <v>0</v>
      </c>
      <c r="F17" s="638">
        <f t="shared" si="1"/>
        <v>0</v>
      </c>
      <c r="G17" s="590">
        <f>INDEX('GSA - Price Analysis'!$B$10:$BB$30,MATCH($A17,'GSA - Price Analysis'!$A$10:$A$30,0),MATCH((G$7&amp;G$8),'GSA - Price Analysis'!$B$9:$BB$9,0))</f>
        <v>0</v>
      </c>
      <c r="H17" s="591">
        <f>INDEX('GSA - Price Analysis'!$B$10:$BB$30,MATCH($A17,'GSA - Price Analysis'!$A$10:$A$30,0),MATCH((G$7&amp;H$8),'GSA - Price Analysis'!$B$9:$BB$9,0))</f>
        <v>0</v>
      </c>
      <c r="I17" s="592">
        <f t="shared" si="2"/>
        <v>0</v>
      </c>
      <c r="J17" s="593">
        <f>INDEX('GSA - Price Analysis'!$B$10:$BB$30,MATCH($A17,'GSA - Price Analysis'!$A$10:$A$30,0),MATCH((G$7&amp;J$8),'GSA - Price Analysis'!$B$9:$BB$9,0))</f>
        <v>0</v>
      </c>
      <c r="K17" s="638">
        <f t="shared" si="3"/>
        <v>0</v>
      </c>
      <c r="L17" s="590">
        <f>INDEX('GSA - Price Analysis'!$B$10:$BB$30,MATCH($A17,'GSA - Price Analysis'!$A$10:$A$30,0),MATCH((L$7&amp;L$8),'GSA - Price Analysis'!$B$9:$BB$9,0))</f>
        <v>0</v>
      </c>
      <c r="M17" s="591">
        <f>INDEX('GSA - Price Analysis'!$B$10:$BB$30,MATCH($A17,'GSA - Price Analysis'!$A$10:$A$30,0),MATCH((L$7&amp;M$8),'GSA - Price Analysis'!$B$9:$BB$9,0))</f>
        <v>0</v>
      </c>
      <c r="N17" s="592">
        <f t="shared" si="4"/>
        <v>0</v>
      </c>
      <c r="O17" s="593">
        <f>INDEX('GSA - Price Analysis'!$B$10:$BB$30,MATCH($A17,'GSA - Price Analysis'!$A$10:$A$30,0),MATCH((L$7&amp;O$8),'GSA - Price Analysis'!$B$9:$BB$9,0))</f>
        <v>0</v>
      </c>
      <c r="P17" s="638">
        <f t="shared" si="5"/>
        <v>0</v>
      </c>
      <c r="Q17" s="590">
        <f>INDEX('GSA - Price Analysis'!$B$10:$BB$30,MATCH($A17,'GSA - Price Analysis'!$A$10:$A$30,0),MATCH((Q$7&amp;Q$8),'GSA - Price Analysis'!$B$9:$BB$9,0))</f>
        <v>0</v>
      </c>
      <c r="R17" s="591">
        <f>INDEX('GSA - Price Analysis'!$B$10:$BB$30,MATCH($A17,'GSA - Price Analysis'!$A$10:$A$30,0),MATCH((Q$7&amp;R$8),'GSA - Price Analysis'!$B$9:$BB$9,0))</f>
        <v>0</v>
      </c>
      <c r="S17" s="592">
        <f t="shared" si="6"/>
        <v>0</v>
      </c>
      <c r="T17" s="593">
        <f>INDEX('GSA - Price Analysis'!$B$10:$BB$30,MATCH($A17,'GSA - Price Analysis'!$A$10:$A$30,0),MATCH((Q$7&amp;T$8),'GSA - Price Analysis'!$B$9:$BB$9,0))</f>
        <v>0</v>
      </c>
      <c r="U17" s="638">
        <f t="shared" si="7"/>
        <v>0</v>
      </c>
      <c r="V17" s="590">
        <f>INDEX('GSA - Price Analysis'!$B$10:$BB$30,MATCH($A17,'GSA - Price Analysis'!$A$10:$A$30,0),MATCH((V$7&amp;V$8),'GSA - Price Analysis'!$B$9:$BB$9,0))</f>
        <v>0</v>
      </c>
      <c r="W17" s="591">
        <f>INDEX('GSA - Price Analysis'!$B$10:$BB$30,MATCH($A17,'GSA - Price Analysis'!$A$10:$A$30,0),MATCH((V$7&amp;W$8),'GSA - Price Analysis'!$B$9:$BB$9,0))</f>
        <v>0</v>
      </c>
      <c r="X17" s="592">
        <f t="shared" si="8"/>
        <v>0</v>
      </c>
      <c r="Y17" s="593">
        <f>INDEX('GSA - Price Analysis'!$B$10:$BB$30,MATCH($A17,'GSA - Price Analysis'!$A$10:$A$30,0),MATCH((V$7&amp;Y$8),'GSA - Price Analysis'!$B$9:$BB$9,0))</f>
        <v>0</v>
      </c>
      <c r="Z17" s="638">
        <f t="shared" si="9"/>
        <v>0</v>
      </c>
      <c r="AA17" s="590">
        <f>INDEX('GSA - Price Analysis'!$B$10:$BB$30,MATCH($A17,'GSA - Price Analysis'!$A$10:$A$30,0),MATCH((AA$7&amp;AA$8),'GSA - Price Analysis'!$B$9:$BB$9,0))</f>
        <v>0</v>
      </c>
      <c r="AB17" s="591">
        <f>INDEX('GSA - Price Analysis'!$B$10:$BB$30,MATCH($A17,'GSA - Price Analysis'!$A$10:$A$30,0),MATCH((AA$7&amp;AB$8),'GSA - Price Analysis'!$B$9:$BB$9,0))</f>
        <v>0</v>
      </c>
      <c r="AC17" s="592">
        <f t="shared" si="10"/>
        <v>0</v>
      </c>
      <c r="AD17" s="593">
        <f>INDEX('GSA - Price Analysis'!$B$10:$BB$30,MATCH($A17,'GSA - Price Analysis'!$A$10:$A$30,0),MATCH((AA$7&amp;AD$8),'GSA - Price Analysis'!$B$9:$BB$9,0))</f>
        <v>0</v>
      </c>
      <c r="AE17" s="638">
        <f t="shared" si="11"/>
        <v>0</v>
      </c>
    </row>
    <row r="18" spans="1:31" s="641" customFormat="1">
      <c r="A18" s="642">
        <f t="shared" si="12"/>
        <v>9</v>
      </c>
      <c r="B18" s="643" t="str">
        <f t="shared" si="0"/>
        <v>Radio Technician</v>
      </c>
      <c r="C18" s="546" t="str">
        <f>'GSA - Price Analysis'!C18</f>
        <v>GSA Category 9</v>
      </c>
      <c r="D18" s="645" t="str">
        <f>'GSA - Price Analysis'!D18</f>
        <v>Govt_Sub</v>
      </c>
      <c r="E18" s="586">
        <f t="shared" si="1"/>
        <v>0</v>
      </c>
      <c r="F18" s="638">
        <f t="shared" si="1"/>
        <v>0</v>
      </c>
      <c r="G18" s="590">
        <f>INDEX('GSA - Price Analysis'!$B$10:$BB$30,MATCH($A18,'GSA - Price Analysis'!$A$10:$A$30,0),MATCH((G$7&amp;G$8),'GSA - Price Analysis'!$B$9:$BB$9,0))</f>
        <v>0</v>
      </c>
      <c r="H18" s="591">
        <f>INDEX('GSA - Price Analysis'!$B$10:$BB$30,MATCH($A18,'GSA - Price Analysis'!$A$10:$A$30,0),MATCH((G$7&amp;H$8),'GSA - Price Analysis'!$B$9:$BB$9,0))</f>
        <v>0</v>
      </c>
      <c r="I18" s="592">
        <f t="shared" si="2"/>
        <v>0</v>
      </c>
      <c r="J18" s="593">
        <f>INDEX('GSA - Price Analysis'!$B$10:$BB$30,MATCH($A18,'GSA - Price Analysis'!$A$10:$A$30,0),MATCH((G$7&amp;J$8),'GSA - Price Analysis'!$B$9:$BB$9,0))</f>
        <v>0</v>
      </c>
      <c r="K18" s="638">
        <f t="shared" si="3"/>
        <v>0</v>
      </c>
      <c r="L18" s="590">
        <f>INDEX('GSA - Price Analysis'!$B$10:$BB$30,MATCH($A18,'GSA - Price Analysis'!$A$10:$A$30,0),MATCH((L$7&amp;L$8),'GSA - Price Analysis'!$B$9:$BB$9,0))</f>
        <v>0</v>
      </c>
      <c r="M18" s="591">
        <f>INDEX('GSA - Price Analysis'!$B$10:$BB$30,MATCH($A18,'GSA - Price Analysis'!$A$10:$A$30,0),MATCH((L$7&amp;M$8),'GSA - Price Analysis'!$B$9:$BB$9,0))</f>
        <v>0</v>
      </c>
      <c r="N18" s="592">
        <f t="shared" si="4"/>
        <v>0</v>
      </c>
      <c r="O18" s="593">
        <f>INDEX('GSA - Price Analysis'!$B$10:$BB$30,MATCH($A18,'GSA - Price Analysis'!$A$10:$A$30,0),MATCH((L$7&amp;O$8),'GSA - Price Analysis'!$B$9:$BB$9,0))</f>
        <v>0</v>
      </c>
      <c r="P18" s="638">
        <f t="shared" si="5"/>
        <v>0</v>
      </c>
      <c r="Q18" s="590">
        <f>INDEX('GSA - Price Analysis'!$B$10:$BB$30,MATCH($A18,'GSA - Price Analysis'!$A$10:$A$30,0),MATCH((Q$7&amp;Q$8),'GSA - Price Analysis'!$B$9:$BB$9,0))</f>
        <v>0</v>
      </c>
      <c r="R18" s="591">
        <f>INDEX('GSA - Price Analysis'!$B$10:$BB$30,MATCH($A18,'GSA - Price Analysis'!$A$10:$A$30,0),MATCH((Q$7&amp;R$8),'GSA - Price Analysis'!$B$9:$BB$9,0))</f>
        <v>0</v>
      </c>
      <c r="S18" s="592">
        <f t="shared" si="6"/>
        <v>0</v>
      </c>
      <c r="T18" s="593">
        <f>INDEX('GSA - Price Analysis'!$B$10:$BB$30,MATCH($A18,'GSA - Price Analysis'!$A$10:$A$30,0),MATCH((Q$7&amp;T$8),'GSA - Price Analysis'!$B$9:$BB$9,0))</f>
        <v>0</v>
      </c>
      <c r="U18" s="638">
        <f t="shared" si="7"/>
        <v>0</v>
      </c>
      <c r="V18" s="590">
        <f>INDEX('GSA - Price Analysis'!$B$10:$BB$30,MATCH($A18,'GSA - Price Analysis'!$A$10:$A$30,0),MATCH((V$7&amp;V$8),'GSA - Price Analysis'!$B$9:$BB$9,0))</f>
        <v>0</v>
      </c>
      <c r="W18" s="591">
        <f>INDEX('GSA - Price Analysis'!$B$10:$BB$30,MATCH($A18,'GSA - Price Analysis'!$A$10:$A$30,0),MATCH((V$7&amp;W$8),'GSA - Price Analysis'!$B$9:$BB$9,0))</f>
        <v>0</v>
      </c>
      <c r="X18" s="592">
        <f t="shared" si="8"/>
        <v>0</v>
      </c>
      <c r="Y18" s="593">
        <f>INDEX('GSA - Price Analysis'!$B$10:$BB$30,MATCH($A18,'GSA - Price Analysis'!$A$10:$A$30,0),MATCH((V$7&amp;Y$8),'GSA - Price Analysis'!$B$9:$BB$9,0))</f>
        <v>0</v>
      </c>
      <c r="Z18" s="638">
        <f t="shared" si="9"/>
        <v>0</v>
      </c>
      <c r="AA18" s="590">
        <f>INDEX('GSA - Price Analysis'!$B$10:$BB$30,MATCH($A18,'GSA - Price Analysis'!$A$10:$A$30,0),MATCH((AA$7&amp;AA$8),'GSA - Price Analysis'!$B$9:$BB$9,0))</f>
        <v>0</v>
      </c>
      <c r="AB18" s="591">
        <f>INDEX('GSA - Price Analysis'!$B$10:$BB$30,MATCH($A18,'GSA - Price Analysis'!$A$10:$A$30,0),MATCH((AA$7&amp;AB$8),'GSA - Price Analysis'!$B$9:$BB$9,0))</f>
        <v>0</v>
      </c>
      <c r="AC18" s="592">
        <f t="shared" si="10"/>
        <v>0</v>
      </c>
      <c r="AD18" s="593">
        <f>INDEX('GSA - Price Analysis'!$B$10:$BB$30,MATCH($A18,'GSA - Price Analysis'!$A$10:$A$30,0),MATCH((AA$7&amp;AD$8),'GSA - Price Analysis'!$B$9:$BB$9,0))</f>
        <v>0</v>
      </c>
      <c r="AE18" s="638">
        <f t="shared" si="11"/>
        <v>0</v>
      </c>
    </row>
    <row r="19" spans="1:31" s="641" customFormat="1">
      <c r="A19" s="642">
        <f t="shared" si="12"/>
        <v>10</v>
      </c>
      <c r="B19" s="643" t="str">
        <f t="shared" si="0"/>
        <v>Radio Technician</v>
      </c>
      <c r="C19" s="546" t="str">
        <f>'GSA - Price Analysis'!C19</f>
        <v>GSA Category 10</v>
      </c>
      <c r="D19" s="645" t="str">
        <f>'GSA - Price Analysis'!D19</f>
        <v>Govt_Sub</v>
      </c>
      <c r="E19" s="586">
        <f t="shared" si="1"/>
        <v>0</v>
      </c>
      <c r="F19" s="638">
        <f t="shared" si="1"/>
        <v>0</v>
      </c>
      <c r="G19" s="590">
        <f>INDEX('GSA - Price Analysis'!$B$10:$BB$30,MATCH($A19,'GSA - Price Analysis'!$A$10:$A$30,0),MATCH((G$7&amp;G$8),'GSA - Price Analysis'!$B$9:$BB$9,0))</f>
        <v>0</v>
      </c>
      <c r="H19" s="591">
        <f>INDEX('GSA - Price Analysis'!$B$10:$BB$30,MATCH($A19,'GSA - Price Analysis'!$A$10:$A$30,0),MATCH((G$7&amp;H$8),'GSA - Price Analysis'!$B$9:$BB$9,0))</f>
        <v>0</v>
      </c>
      <c r="I19" s="592">
        <f t="shared" si="2"/>
        <v>0</v>
      </c>
      <c r="J19" s="593">
        <f>INDEX('GSA - Price Analysis'!$B$10:$BB$30,MATCH($A19,'GSA - Price Analysis'!$A$10:$A$30,0),MATCH((G$7&amp;J$8),'GSA - Price Analysis'!$B$9:$BB$9,0))</f>
        <v>0</v>
      </c>
      <c r="K19" s="638">
        <f t="shared" si="3"/>
        <v>0</v>
      </c>
      <c r="L19" s="590">
        <f>INDEX('GSA - Price Analysis'!$B$10:$BB$30,MATCH($A19,'GSA - Price Analysis'!$A$10:$A$30,0),MATCH((L$7&amp;L$8),'GSA - Price Analysis'!$B$9:$BB$9,0))</f>
        <v>0</v>
      </c>
      <c r="M19" s="591">
        <f>INDEX('GSA - Price Analysis'!$B$10:$BB$30,MATCH($A19,'GSA - Price Analysis'!$A$10:$A$30,0),MATCH((L$7&amp;M$8),'GSA - Price Analysis'!$B$9:$BB$9,0))</f>
        <v>0</v>
      </c>
      <c r="N19" s="592">
        <f t="shared" si="4"/>
        <v>0</v>
      </c>
      <c r="O19" s="593">
        <f>INDEX('GSA - Price Analysis'!$B$10:$BB$30,MATCH($A19,'GSA - Price Analysis'!$A$10:$A$30,0),MATCH((L$7&amp;O$8),'GSA - Price Analysis'!$B$9:$BB$9,0))</f>
        <v>0</v>
      </c>
      <c r="P19" s="638">
        <f t="shared" si="5"/>
        <v>0</v>
      </c>
      <c r="Q19" s="590">
        <f>INDEX('GSA - Price Analysis'!$B$10:$BB$30,MATCH($A19,'GSA - Price Analysis'!$A$10:$A$30,0),MATCH((Q$7&amp;Q$8),'GSA - Price Analysis'!$B$9:$BB$9,0))</f>
        <v>0</v>
      </c>
      <c r="R19" s="591">
        <f>INDEX('GSA - Price Analysis'!$B$10:$BB$30,MATCH($A19,'GSA - Price Analysis'!$A$10:$A$30,0),MATCH((Q$7&amp;R$8),'GSA - Price Analysis'!$B$9:$BB$9,0))</f>
        <v>0</v>
      </c>
      <c r="S19" s="592">
        <f t="shared" si="6"/>
        <v>0</v>
      </c>
      <c r="T19" s="593">
        <f>INDEX('GSA - Price Analysis'!$B$10:$BB$30,MATCH($A19,'GSA - Price Analysis'!$A$10:$A$30,0),MATCH((Q$7&amp;T$8),'GSA - Price Analysis'!$B$9:$BB$9,0))</f>
        <v>0</v>
      </c>
      <c r="U19" s="638">
        <f t="shared" si="7"/>
        <v>0</v>
      </c>
      <c r="V19" s="590">
        <f>INDEX('GSA - Price Analysis'!$B$10:$BB$30,MATCH($A19,'GSA - Price Analysis'!$A$10:$A$30,0),MATCH((V$7&amp;V$8),'GSA - Price Analysis'!$B$9:$BB$9,0))</f>
        <v>0</v>
      </c>
      <c r="W19" s="591">
        <f>INDEX('GSA - Price Analysis'!$B$10:$BB$30,MATCH($A19,'GSA - Price Analysis'!$A$10:$A$30,0),MATCH((V$7&amp;W$8),'GSA - Price Analysis'!$B$9:$BB$9,0))</f>
        <v>0</v>
      </c>
      <c r="X19" s="592">
        <f t="shared" si="8"/>
        <v>0</v>
      </c>
      <c r="Y19" s="593">
        <f>INDEX('GSA - Price Analysis'!$B$10:$BB$30,MATCH($A19,'GSA - Price Analysis'!$A$10:$A$30,0),MATCH((V$7&amp;Y$8),'GSA - Price Analysis'!$B$9:$BB$9,0))</f>
        <v>0</v>
      </c>
      <c r="Z19" s="638">
        <f t="shared" si="9"/>
        <v>0</v>
      </c>
      <c r="AA19" s="590">
        <f>INDEX('GSA - Price Analysis'!$B$10:$BB$30,MATCH($A19,'GSA - Price Analysis'!$A$10:$A$30,0),MATCH((AA$7&amp;AA$8),'GSA - Price Analysis'!$B$9:$BB$9,0))</f>
        <v>0</v>
      </c>
      <c r="AB19" s="591">
        <f>INDEX('GSA - Price Analysis'!$B$10:$BB$30,MATCH($A19,'GSA - Price Analysis'!$A$10:$A$30,0),MATCH((AA$7&amp;AB$8),'GSA - Price Analysis'!$B$9:$BB$9,0))</f>
        <v>0</v>
      </c>
      <c r="AC19" s="592">
        <f t="shared" si="10"/>
        <v>0</v>
      </c>
      <c r="AD19" s="593">
        <f>INDEX('GSA - Price Analysis'!$B$10:$BB$30,MATCH($A19,'GSA - Price Analysis'!$A$10:$A$30,0),MATCH((AA$7&amp;AD$8),'GSA - Price Analysis'!$B$9:$BB$9,0))</f>
        <v>0</v>
      </c>
      <c r="AE19" s="638">
        <f t="shared" si="11"/>
        <v>0</v>
      </c>
    </row>
    <row r="20" spans="1:31" s="641" customFormat="1">
      <c r="A20" s="642">
        <f t="shared" si="12"/>
        <v>11</v>
      </c>
      <c r="B20" s="643" t="str">
        <f t="shared" si="0"/>
        <v>Network Administrator</v>
      </c>
      <c r="C20" s="546" t="str">
        <f>'GSA - Price Analysis'!C20</f>
        <v>GSA Category 11</v>
      </c>
      <c r="D20" s="645" t="str">
        <f>'GSA - Price Analysis'!D20</f>
        <v>Govt</v>
      </c>
      <c r="E20" s="586">
        <f t="shared" si="1"/>
        <v>0</v>
      </c>
      <c r="F20" s="638">
        <f t="shared" si="1"/>
        <v>0</v>
      </c>
      <c r="G20" s="590">
        <f>INDEX('GSA - Price Analysis'!$B$10:$BB$30,MATCH($A20,'GSA - Price Analysis'!$A$10:$A$30,0),MATCH((G$7&amp;G$8),'GSA - Price Analysis'!$B$9:$BB$9,0))</f>
        <v>0</v>
      </c>
      <c r="H20" s="591">
        <f>INDEX('GSA - Price Analysis'!$B$10:$BB$30,MATCH($A20,'GSA - Price Analysis'!$A$10:$A$30,0),MATCH((G$7&amp;H$8),'GSA - Price Analysis'!$B$9:$BB$9,0))</f>
        <v>0</v>
      </c>
      <c r="I20" s="592">
        <f t="shared" si="2"/>
        <v>0</v>
      </c>
      <c r="J20" s="593">
        <f>INDEX('GSA - Price Analysis'!$B$10:$BB$30,MATCH($A20,'GSA - Price Analysis'!$A$10:$A$30,0),MATCH((G$7&amp;J$8),'GSA - Price Analysis'!$B$9:$BB$9,0))</f>
        <v>0</v>
      </c>
      <c r="K20" s="638">
        <f t="shared" si="3"/>
        <v>0</v>
      </c>
      <c r="L20" s="590">
        <f>INDEX('GSA - Price Analysis'!$B$10:$BB$30,MATCH($A20,'GSA - Price Analysis'!$A$10:$A$30,0),MATCH((L$7&amp;L$8),'GSA - Price Analysis'!$B$9:$BB$9,0))</f>
        <v>0</v>
      </c>
      <c r="M20" s="591">
        <f>INDEX('GSA - Price Analysis'!$B$10:$BB$30,MATCH($A20,'GSA - Price Analysis'!$A$10:$A$30,0),MATCH((L$7&amp;M$8),'GSA - Price Analysis'!$B$9:$BB$9,0))</f>
        <v>0</v>
      </c>
      <c r="N20" s="592">
        <f t="shared" si="4"/>
        <v>0</v>
      </c>
      <c r="O20" s="593">
        <f>INDEX('GSA - Price Analysis'!$B$10:$BB$30,MATCH($A20,'GSA - Price Analysis'!$A$10:$A$30,0),MATCH((L$7&amp;O$8),'GSA - Price Analysis'!$B$9:$BB$9,0))</f>
        <v>0</v>
      </c>
      <c r="P20" s="638">
        <f t="shared" si="5"/>
        <v>0</v>
      </c>
      <c r="Q20" s="590">
        <f>INDEX('GSA - Price Analysis'!$B$10:$BB$30,MATCH($A20,'GSA - Price Analysis'!$A$10:$A$30,0),MATCH((Q$7&amp;Q$8),'GSA - Price Analysis'!$B$9:$BB$9,0))</f>
        <v>0</v>
      </c>
      <c r="R20" s="591">
        <f>INDEX('GSA - Price Analysis'!$B$10:$BB$30,MATCH($A20,'GSA - Price Analysis'!$A$10:$A$30,0),MATCH((Q$7&amp;R$8),'GSA - Price Analysis'!$B$9:$BB$9,0))</f>
        <v>0</v>
      </c>
      <c r="S20" s="592">
        <f t="shared" si="6"/>
        <v>0</v>
      </c>
      <c r="T20" s="593">
        <f>INDEX('GSA - Price Analysis'!$B$10:$BB$30,MATCH($A20,'GSA - Price Analysis'!$A$10:$A$30,0),MATCH((Q$7&amp;T$8),'GSA - Price Analysis'!$B$9:$BB$9,0))</f>
        <v>0</v>
      </c>
      <c r="U20" s="638">
        <f t="shared" si="7"/>
        <v>0</v>
      </c>
      <c r="V20" s="590">
        <f>INDEX('GSA - Price Analysis'!$B$10:$BB$30,MATCH($A20,'GSA - Price Analysis'!$A$10:$A$30,0),MATCH((V$7&amp;V$8),'GSA - Price Analysis'!$B$9:$BB$9,0))</f>
        <v>0</v>
      </c>
      <c r="W20" s="591">
        <f>INDEX('GSA - Price Analysis'!$B$10:$BB$30,MATCH($A20,'GSA - Price Analysis'!$A$10:$A$30,0),MATCH((V$7&amp;W$8),'GSA - Price Analysis'!$B$9:$BB$9,0))</f>
        <v>0</v>
      </c>
      <c r="X20" s="592">
        <f t="shared" si="8"/>
        <v>0</v>
      </c>
      <c r="Y20" s="593">
        <f>INDEX('GSA - Price Analysis'!$B$10:$BB$30,MATCH($A20,'GSA - Price Analysis'!$A$10:$A$30,0),MATCH((V$7&amp;Y$8),'GSA - Price Analysis'!$B$9:$BB$9,0))</f>
        <v>0</v>
      </c>
      <c r="Z20" s="638">
        <f t="shared" si="9"/>
        <v>0</v>
      </c>
      <c r="AA20" s="590">
        <f>INDEX('GSA - Price Analysis'!$B$10:$BB$30,MATCH($A20,'GSA - Price Analysis'!$A$10:$A$30,0),MATCH((AA$7&amp;AA$8),'GSA - Price Analysis'!$B$9:$BB$9,0))</f>
        <v>0</v>
      </c>
      <c r="AB20" s="591">
        <f>INDEX('GSA - Price Analysis'!$B$10:$BB$30,MATCH($A20,'GSA - Price Analysis'!$A$10:$A$30,0),MATCH((AA$7&amp;AB$8),'GSA - Price Analysis'!$B$9:$BB$9,0))</f>
        <v>0</v>
      </c>
      <c r="AC20" s="592">
        <f t="shared" si="10"/>
        <v>0</v>
      </c>
      <c r="AD20" s="593">
        <f>INDEX('GSA - Price Analysis'!$B$10:$BB$30,MATCH($A20,'GSA - Price Analysis'!$A$10:$A$30,0),MATCH((AA$7&amp;AD$8),'GSA - Price Analysis'!$B$9:$BB$9,0))</f>
        <v>0</v>
      </c>
      <c r="AE20" s="638">
        <f t="shared" si="11"/>
        <v>0</v>
      </c>
    </row>
    <row r="21" spans="1:31" s="641" customFormat="1">
      <c r="A21" s="642">
        <f t="shared" si="12"/>
        <v>12</v>
      </c>
      <c r="B21" s="643" t="str">
        <f t="shared" si="0"/>
        <v>System Administrator</v>
      </c>
      <c r="C21" s="546" t="str">
        <f>'GSA - Price Analysis'!C21</f>
        <v>GSA Category 12</v>
      </c>
      <c r="D21" s="645" t="str">
        <f>'GSA - Price Analysis'!D21</f>
        <v>Govt</v>
      </c>
      <c r="E21" s="586">
        <f t="shared" si="1"/>
        <v>0</v>
      </c>
      <c r="F21" s="638">
        <f t="shared" si="1"/>
        <v>0</v>
      </c>
      <c r="G21" s="590">
        <f>INDEX('GSA - Price Analysis'!$B$10:$BB$30,MATCH($A21,'GSA - Price Analysis'!$A$10:$A$30,0),MATCH((G$7&amp;G$8),'GSA - Price Analysis'!$B$9:$BB$9,0))</f>
        <v>0</v>
      </c>
      <c r="H21" s="591">
        <f>INDEX('GSA - Price Analysis'!$B$10:$BB$30,MATCH($A21,'GSA - Price Analysis'!$A$10:$A$30,0),MATCH((G$7&amp;H$8),'GSA - Price Analysis'!$B$9:$BB$9,0))</f>
        <v>0</v>
      </c>
      <c r="I21" s="592">
        <f t="shared" si="2"/>
        <v>0</v>
      </c>
      <c r="J21" s="593">
        <f>INDEX('GSA - Price Analysis'!$B$10:$BB$30,MATCH($A21,'GSA - Price Analysis'!$A$10:$A$30,0),MATCH((G$7&amp;J$8),'GSA - Price Analysis'!$B$9:$BB$9,0))</f>
        <v>0</v>
      </c>
      <c r="K21" s="638">
        <f t="shared" si="3"/>
        <v>0</v>
      </c>
      <c r="L21" s="590">
        <f>INDEX('GSA - Price Analysis'!$B$10:$BB$30,MATCH($A21,'GSA - Price Analysis'!$A$10:$A$30,0),MATCH((L$7&amp;L$8),'GSA - Price Analysis'!$B$9:$BB$9,0))</f>
        <v>0</v>
      </c>
      <c r="M21" s="591">
        <f>INDEX('GSA - Price Analysis'!$B$10:$BB$30,MATCH($A21,'GSA - Price Analysis'!$A$10:$A$30,0),MATCH((L$7&amp;M$8),'GSA - Price Analysis'!$B$9:$BB$9,0))</f>
        <v>0</v>
      </c>
      <c r="N21" s="592">
        <f t="shared" si="4"/>
        <v>0</v>
      </c>
      <c r="O21" s="593">
        <f>INDEX('GSA - Price Analysis'!$B$10:$BB$30,MATCH($A21,'GSA - Price Analysis'!$A$10:$A$30,0),MATCH((L$7&amp;O$8),'GSA - Price Analysis'!$B$9:$BB$9,0))</f>
        <v>0</v>
      </c>
      <c r="P21" s="638">
        <f t="shared" si="5"/>
        <v>0</v>
      </c>
      <c r="Q21" s="590">
        <f>INDEX('GSA - Price Analysis'!$B$10:$BB$30,MATCH($A21,'GSA - Price Analysis'!$A$10:$A$30,0),MATCH((Q$7&amp;Q$8),'GSA - Price Analysis'!$B$9:$BB$9,0))</f>
        <v>0</v>
      </c>
      <c r="R21" s="591">
        <f>INDEX('GSA - Price Analysis'!$B$10:$BB$30,MATCH($A21,'GSA - Price Analysis'!$A$10:$A$30,0),MATCH((Q$7&amp;R$8),'GSA - Price Analysis'!$B$9:$BB$9,0))</f>
        <v>0</v>
      </c>
      <c r="S21" s="592">
        <f t="shared" si="6"/>
        <v>0</v>
      </c>
      <c r="T21" s="593">
        <f>INDEX('GSA - Price Analysis'!$B$10:$BB$30,MATCH($A21,'GSA - Price Analysis'!$A$10:$A$30,0),MATCH((Q$7&amp;T$8),'GSA - Price Analysis'!$B$9:$BB$9,0))</f>
        <v>0</v>
      </c>
      <c r="U21" s="638">
        <f t="shared" si="7"/>
        <v>0</v>
      </c>
      <c r="V21" s="590">
        <f>INDEX('GSA - Price Analysis'!$B$10:$BB$30,MATCH($A21,'GSA - Price Analysis'!$A$10:$A$30,0),MATCH((V$7&amp;V$8),'GSA - Price Analysis'!$B$9:$BB$9,0))</f>
        <v>0</v>
      </c>
      <c r="W21" s="591">
        <f>INDEX('GSA - Price Analysis'!$B$10:$BB$30,MATCH($A21,'GSA - Price Analysis'!$A$10:$A$30,0),MATCH((V$7&amp;W$8),'GSA - Price Analysis'!$B$9:$BB$9,0))</f>
        <v>0</v>
      </c>
      <c r="X21" s="592">
        <f t="shared" si="8"/>
        <v>0</v>
      </c>
      <c r="Y21" s="593">
        <f>INDEX('GSA - Price Analysis'!$B$10:$BB$30,MATCH($A21,'GSA - Price Analysis'!$A$10:$A$30,0),MATCH((V$7&amp;Y$8),'GSA - Price Analysis'!$B$9:$BB$9,0))</f>
        <v>0</v>
      </c>
      <c r="Z21" s="638">
        <f t="shared" si="9"/>
        <v>0</v>
      </c>
      <c r="AA21" s="590">
        <f>INDEX('GSA - Price Analysis'!$B$10:$BB$30,MATCH($A21,'GSA - Price Analysis'!$A$10:$A$30,0),MATCH((AA$7&amp;AA$8),'GSA - Price Analysis'!$B$9:$BB$9,0))</f>
        <v>0</v>
      </c>
      <c r="AB21" s="591">
        <f>INDEX('GSA - Price Analysis'!$B$10:$BB$30,MATCH($A21,'GSA - Price Analysis'!$A$10:$A$30,0),MATCH((AA$7&amp;AB$8),'GSA - Price Analysis'!$B$9:$BB$9,0))</f>
        <v>0</v>
      </c>
      <c r="AC21" s="592">
        <f t="shared" si="10"/>
        <v>0</v>
      </c>
      <c r="AD21" s="593">
        <f>INDEX('GSA - Price Analysis'!$B$10:$BB$30,MATCH($A21,'GSA - Price Analysis'!$A$10:$A$30,0),MATCH((AA$7&amp;AD$8),'GSA - Price Analysis'!$B$9:$BB$9,0))</f>
        <v>0</v>
      </c>
      <c r="AE21" s="638">
        <f t="shared" si="11"/>
        <v>0</v>
      </c>
    </row>
    <row r="22" spans="1:31" s="641" customFormat="1">
      <c r="A22" s="642">
        <f t="shared" si="12"/>
        <v>13</v>
      </c>
      <c r="B22" s="643" t="str">
        <f t="shared" si="0"/>
        <v>Configuration Manager</v>
      </c>
      <c r="C22" s="546" t="str">
        <f>'GSA - Price Analysis'!C22</f>
        <v>GSA Category 13</v>
      </c>
      <c r="D22" s="645" t="str">
        <f>'GSA - Price Analysis'!D22</f>
        <v>Govt</v>
      </c>
      <c r="E22" s="586">
        <f t="shared" si="1"/>
        <v>0</v>
      </c>
      <c r="F22" s="638">
        <f t="shared" si="1"/>
        <v>0</v>
      </c>
      <c r="G22" s="590">
        <f>INDEX('GSA - Price Analysis'!$B$10:$BB$30,MATCH($A22,'GSA - Price Analysis'!$A$10:$A$30,0),MATCH((G$7&amp;G$8),'GSA - Price Analysis'!$B$9:$BB$9,0))</f>
        <v>0</v>
      </c>
      <c r="H22" s="591">
        <f>INDEX('GSA - Price Analysis'!$B$10:$BB$30,MATCH($A22,'GSA - Price Analysis'!$A$10:$A$30,0),MATCH((G$7&amp;H$8),'GSA - Price Analysis'!$B$9:$BB$9,0))</f>
        <v>0</v>
      </c>
      <c r="I22" s="592">
        <f t="shared" si="2"/>
        <v>0</v>
      </c>
      <c r="J22" s="593">
        <f>INDEX('GSA - Price Analysis'!$B$10:$BB$30,MATCH($A22,'GSA - Price Analysis'!$A$10:$A$30,0),MATCH((G$7&amp;J$8),'GSA - Price Analysis'!$B$9:$BB$9,0))</f>
        <v>0</v>
      </c>
      <c r="K22" s="638">
        <f t="shared" si="3"/>
        <v>0</v>
      </c>
      <c r="L22" s="590">
        <f>INDEX('GSA - Price Analysis'!$B$10:$BB$30,MATCH($A22,'GSA - Price Analysis'!$A$10:$A$30,0),MATCH((L$7&amp;L$8),'GSA - Price Analysis'!$B$9:$BB$9,0))</f>
        <v>0</v>
      </c>
      <c r="M22" s="591">
        <f>INDEX('GSA - Price Analysis'!$B$10:$BB$30,MATCH($A22,'GSA - Price Analysis'!$A$10:$A$30,0),MATCH((L$7&amp;M$8),'GSA - Price Analysis'!$B$9:$BB$9,0))</f>
        <v>0</v>
      </c>
      <c r="N22" s="592">
        <f t="shared" si="4"/>
        <v>0</v>
      </c>
      <c r="O22" s="593">
        <f>INDEX('GSA - Price Analysis'!$B$10:$BB$30,MATCH($A22,'GSA - Price Analysis'!$A$10:$A$30,0),MATCH((L$7&amp;O$8),'GSA - Price Analysis'!$B$9:$BB$9,0))</f>
        <v>0</v>
      </c>
      <c r="P22" s="638">
        <f t="shared" si="5"/>
        <v>0</v>
      </c>
      <c r="Q22" s="590">
        <f>INDEX('GSA - Price Analysis'!$B$10:$BB$30,MATCH($A22,'GSA - Price Analysis'!$A$10:$A$30,0),MATCH((Q$7&amp;Q$8),'GSA - Price Analysis'!$B$9:$BB$9,0))</f>
        <v>0</v>
      </c>
      <c r="R22" s="591">
        <f>INDEX('GSA - Price Analysis'!$B$10:$BB$30,MATCH($A22,'GSA - Price Analysis'!$A$10:$A$30,0),MATCH((Q$7&amp;R$8),'GSA - Price Analysis'!$B$9:$BB$9,0))</f>
        <v>0</v>
      </c>
      <c r="S22" s="592">
        <f t="shared" si="6"/>
        <v>0</v>
      </c>
      <c r="T22" s="593">
        <f>INDEX('GSA - Price Analysis'!$B$10:$BB$30,MATCH($A22,'GSA - Price Analysis'!$A$10:$A$30,0),MATCH((Q$7&amp;T$8),'GSA - Price Analysis'!$B$9:$BB$9,0))</f>
        <v>0</v>
      </c>
      <c r="U22" s="638">
        <f t="shared" si="7"/>
        <v>0</v>
      </c>
      <c r="V22" s="590">
        <f>INDEX('GSA - Price Analysis'!$B$10:$BB$30,MATCH($A22,'GSA - Price Analysis'!$A$10:$A$30,0),MATCH((V$7&amp;V$8),'GSA - Price Analysis'!$B$9:$BB$9,0))</f>
        <v>0</v>
      </c>
      <c r="W22" s="591">
        <f>INDEX('GSA - Price Analysis'!$B$10:$BB$30,MATCH($A22,'GSA - Price Analysis'!$A$10:$A$30,0),MATCH((V$7&amp;W$8),'GSA - Price Analysis'!$B$9:$BB$9,0))</f>
        <v>0</v>
      </c>
      <c r="X22" s="592">
        <f t="shared" si="8"/>
        <v>0</v>
      </c>
      <c r="Y22" s="593">
        <f>INDEX('GSA - Price Analysis'!$B$10:$BB$30,MATCH($A22,'GSA - Price Analysis'!$A$10:$A$30,0),MATCH((V$7&amp;Y$8),'GSA - Price Analysis'!$B$9:$BB$9,0))</f>
        <v>0</v>
      </c>
      <c r="Z22" s="638">
        <f t="shared" si="9"/>
        <v>0</v>
      </c>
      <c r="AA22" s="590">
        <f>INDEX('GSA - Price Analysis'!$B$10:$BB$30,MATCH($A22,'GSA - Price Analysis'!$A$10:$A$30,0),MATCH((AA$7&amp;AA$8),'GSA - Price Analysis'!$B$9:$BB$9,0))</f>
        <v>0</v>
      </c>
      <c r="AB22" s="591">
        <f>INDEX('GSA - Price Analysis'!$B$10:$BB$30,MATCH($A22,'GSA - Price Analysis'!$A$10:$A$30,0),MATCH((AA$7&amp;AB$8),'GSA - Price Analysis'!$B$9:$BB$9,0))</f>
        <v>0</v>
      </c>
      <c r="AC22" s="592">
        <f t="shared" si="10"/>
        <v>0</v>
      </c>
      <c r="AD22" s="593">
        <f>INDEX('GSA - Price Analysis'!$B$10:$BB$30,MATCH($A22,'GSA - Price Analysis'!$A$10:$A$30,0),MATCH((AA$7&amp;AD$8),'GSA - Price Analysis'!$B$9:$BB$9,0))</f>
        <v>0</v>
      </c>
      <c r="AE22" s="638">
        <f t="shared" si="11"/>
        <v>0</v>
      </c>
    </row>
    <row r="23" spans="1:31" s="641" customFormat="1">
      <c r="A23" s="642">
        <f t="shared" si="12"/>
        <v>14</v>
      </c>
      <c r="B23" s="643" t="str">
        <f t="shared" si="0"/>
        <v>Hardware Technician</v>
      </c>
      <c r="C23" s="546" t="str">
        <f>'GSA - Price Analysis'!C23</f>
        <v>GSA Category 14</v>
      </c>
      <c r="D23" s="645" t="str">
        <f>'GSA - Price Analysis'!D23</f>
        <v>Govt</v>
      </c>
      <c r="E23" s="586">
        <f t="shared" si="1"/>
        <v>0</v>
      </c>
      <c r="F23" s="638">
        <f t="shared" si="1"/>
        <v>0</v>
      </c>
      <c r="G23" s="590">
        <f>INDEX('GSA - Price Analysis'!$B$10:$BB$30,MATCH($A23,'GSA - Price Analysis'!$A$10:$A$30,0),MATCH((G$7&amp;G$8),'GSA - Price Analysis'!$B$9:$BB$9,0))</f>
        <v>0</v>
      </c>
      <c r="H23" s="591">
        <f>INDEX('GSA - Price Analysis'!$B$10:$BB$30,MATCH($A23,'GSA - Price Analysis'!$A$10:$A$30,0),MATCH((G$7&amp;H$8),'GSA - Price Analysis'!$B$9:$BB$9,0))</f>
        <v>0</v>
      </c>
      <c r="I23" s="592">
        <f t="shared" si="2"/>
        <v>0</v>
      </c>
      <c r="J23" s="593">
        <f>INDEX('GSA - Price Analysis'!$B$10:$BB$30,MATCH($A23,'GSA - Price Analysis'!$A$10:$A$30,0),MATCH((G$7&amp;J$8),'GSA - Price Analysis'!$B$9:$BB$9,0))</f>
        <v>0</v>
      </c>
      <c r="K23" s="638">
        <f t="shared" si="3"/>
        <v>0</v>
      </c>
      <c r="L23" s="590">
        <f>INDEX('GSA - Price Analysis'!$B$10:$BB$30,MATCH($A23,'GSA - Price Analysis'!$A$10:$A$30,0),MATCH((L$7&amp;L$8),'GSA - Price Analysis'!$B$9:$BB$9,0))</f>
        <v>0</v>
      </c>
      <c r="M23" s="591">
        <f>INDEX('GSA - Price Analysis'!$B$10:$BB$30,MATCH($A23,'GSA - Price Analysis'!$A$10:$A$30,0),MATCH((L$7&amp;M$8),'GSA - Price Analysis'!$B$9:$BB$9,0))</f>
        <v>0</v>
      </c>
      <c r="N23" s="592">
        <f t="shared" si="4"/>
        <v>0</v>
      </c>
      <c r="O23" s="593">
        <f>INDEX('GSA - Price Analysis'!$B$10:$BB$30,MATCH($A23,'GSA - Price Analysis'!$A$10:$A$30,0),MATCH((L$7&amp;O$8),'GSA - Price Analysis'!$B$9:$BB$9,0))</f>
        <v>0</v>
      </c>
      <c r="P23" s="638">
        <f t="shared" si="5"/>
        <v>0</v>
      </c>
      <c r="Q23" s="590">
        <f>INDEX('GSA - Price Analysis'!$B$10:$BB$30,MATCH($A23,'GSA - Price Analysis'!$A$10:$A$30,0),MATCH((Q$7&amp;Q$8),'GSA - Price Analysis'!$B$9:$BB$9,0))</f>
        <v>0</v>
      </c>
      <c r="R23" s="591">
        <f>INDEX('GSA - Price Analysis'!$B$10:$BB$30,MATCH($A23,'GSA - Price Analysis'!$A$10:$A$30,0),MATCH((Q$7&amp;R$8),'GSA - Price Analysis'!$B$9:$BB$9,0))</f>
        <v>0</v>
      </c>
      <c r="S23" s="592">
        <f t="shared" si="6"/>
        <v>0</v>
      </c>
      <c r="T23" s="593">
        <f>INDEX('GSA - Price Analysis'!$B$10:$BB$30,MATCH($A23,'GSA - Price Analysis'!$A$10:$A$30,0),MATCH((Q$7&amp;T$8),'GSA - Price Analysis'!$B$9:$BB$9,0))</f>
        <v>0</v>
      </c>
      <c r="U23" s="638">
        <f t="shared" si="7"/>
        <v>0</v>
      </c>
      <c r="V23" s="590">
        <f>INDEX('GSA - Price Analysis'!$B$10:$BB$30,MATCH($A23,'GSA - Price Analysis'!$A$10:$A$30,0),MATCH((V$7&amp;V$8),'GSA - Price Analysis'!$B$9:$BB$9,0))</f>
        <v>0</v>
      </c>
      <c r="W23" s="591">
        <f>INDEX('GSA - Price Analysis'!$B$10:$BB$30,MATCH($A23,'GSA - Price Analysis'!$A$10:$A$30,0),MATCH((V$7&amp;W$8),'GSA - Price Analysis'!$B$9:$BB$9,0))</f>
        <v>0</v>
      </c>
      <c r="X23" s="592">
        <f t="shared" si="8"/>
        <v>0</v>
      </c>
      <c r="Y23" s="593">
        <f>INDEX('GSA - Price Analysis'!$B$10:$BB$30,MATCH($A23,'GSA - Price Analysis'!$A$10:$A$30,0),MATCH((V$7&amp;Y$8),'GSA - Price Analysis'!$B$9:$BB$9,0))</f>
        <v>0</v>
      </c>
      <c r="Z23" s="638">
        <f t="shared" si="9"/>
        <v>0</v>
      </c>
      <c r="AA23" s="590">
        <f>INDEX('GSA - Price Analysis'!$B$10:$BB$30,MATCH($A23,'GSA - Price Analysis'!$A$10:$A$30,0),MATCH((AA$7&amp;AA$8),'GSA - Price Analysis'!$B$9:$BB$9,0))</f>
        <v>0</v>
      </c>
      <c r="AB23" s="591">
        <f>INDEX('GSA - Price Analysis'!$B$10:$BB$30,MATCH($A23,'GSA - Price Analysis'!$A$10:$A$30,0),MATCH((AA$7&amp;AB$8),'GSA - Price Analysis'!$B$9:$BB$9,0))</f>
        <v>0</v>
      </c>
      <c r="AC23" s="592">
        <f t="shared" si="10"/>
        <v>0</v>
      </c>
      <c r="AD23" s="593">
        <f>INDEX('GSA - Price Analysis'!$B$10:$BB$30,MATCH($A23,'GSA - Price Analysis'!$A$10:$A$30,0),MATCH((AA$7&amp;AD$8),'GSA - Price Analysis'!$B$9:$BB$9,0))</f>
        <v>0</v>
      </c>
      <c r="AE23" s="638">
        <f t="shared" si="11"/>
        <v>0</v>
      </c>
    </row>
    <row r="24" spans="1:31" s="641" customFormat="1">
      <c r="A24" s="642">
        <f t="shared" si="12"/>
        <v>15</v>
      </c>
      <c r="B24" s="643" t="str">
        <f t="shared" si="0"/>
        <v>Repair/Exchange Specialist</v>
      </c>
      <c r="C24" s="546" t="str">
        <f>'GSA - Price Analysis'!C24</f>
        <v>GSA Category 15</v>
      </c>
      <c r="D24" s="645" t="str">
        <f>'GSA - Price Analysis'!D24</f>
        <v>Govt</v>
      </c>
      <c r="E24" s="586">
        <f t="shared" si="1"/>
        <v>0</v>
      </c>
      <c r="F24" s="638">
        <f t="shared" si="1"/>
        <v>0</v>
      </c>
      <c r="G24" s="590">
        <f>INDEX('GSA - Price Analysis'!$B$10:$BB$30,MATCH($A24,'GSA - Price Analysis'!$A$10:$A$30,0),MATCH((G$7&amp;G$8),'GSA - Price Analysis'!$B$9:$BB$9,0))</f>
        <v>0</v>
      </c>
      <c r="H24" s="591">
        <f>INDEX('GSA - Price Analysis'!$B$10:$BB$30,MATCH($A24,'GSA - Price Analysis'!$A$10:$A$30,0),MATCH((G$7&amp;H$8),'GSA - Price Analysis'!$B$9:$BB$9,0))</f>
        <v>0</v>
      </c>
      <c r="I24" s="592">
        <f t="shared" si="2"/>
        <v>0</v>
      </c>
      <c r="J24" s="593">
        <f>INDEX('GSA - Price Analysis'!$B$10:$BB$30,MATCH($A24,'GSA - Price Analysis'!$A$10:$A$30,0),MATCH((G$7&amp;J$8),'GSA - Price Analysis'!$B$9:$BB$9,0))</f>
        <v>0</v>
      </c>
      <c r="K24" s="638">
        <f t="shared" si="3"/>
        <v>0</v>
      </c>
      <c r="L24" s="590">
        <f>INDEX('GSA - Price Analysis'!$B$10:$BB$30,MATCH($A24,'GSA - Price Analysis'!$A$10:$A$30,0),MATCH((L$7&amp;L$8),'GSA - Price Analysis'!$B$9:$BB$9,0))</f>
        <v>0</v>
      </c>
      <c r="M24" s="591">
        <f>INDEX('GSA - Price Analysis'!$B$10:$BB$30,MATCH($A24,'GSA - Price Analysis'!$A$10:$A$30,0),MATCH((L$7&amp;M$8),'GSA - Price Analysis'!$B$9:$BB$9,0))</f>
        <v>0</v>
      </c>
      <c r="N24" s="592">
        <f t="shared" si="4"/>
        <v>0</v>
      </c>
      <c r="O24" s="593">
        <f>INDEX('GSA - Price Analysis'!$B$10:$BB$30,MATCH($A24,'GSA - Price Analysis'!$A$10:$A$30,0),MATCH((L$7&amp;O$8),'GSA - Price Analysis'!$B$9:$BB$9,0))</f>
        <v>0</v>
      </c>
      <c r="P24" s="638">
        <f t="shared" si="5"/>
        <v>0</v>
      </c>
      <c r="Q24" s="590">
        <f>INDEX('GSA - Price Analysis'!$B$10:$BB$30,MATCH($A24,'GSA - Price Analysis'!$A$10:$A$30,0),MATCH((Q$7&amp;Q$8),'GSA - Price Analysis'!$B$9:$BB$9,0))</f>
        <v>0</v>
      </c>
      <c r="R24" s="591">
        <f>INDEX('GSA - Price Analysis'!$B$10:$BB$30,MATCH($A24,'GSA - Price Analysis'!$A$10:$A$30,0),MATCH((Q$7&amp;R$8),'GSA - Price Analysis'!$B$9:$BB$9,0))</f>
        <v>0</v>
      </c>
      <c r="S24" s="592">
        <f t="shared" si="6"/>
        <v>0</v>
      </c>
      <c r="T24" s="593">
        <f>INDEX('GSA - Price Analysis'!$B$10:$BB$30,MATCH($A24,'GSA - Price Analysis'!$A$10:$A$30,0),MATCH((Q$7&amp;T$8),'GSA - Price Analysis'!$B$9:$BB$9,0))</f>
        <v>0</v>
      </c>
      <c r="U24" s="638">
        <f t="shared" si="7"/>
        <v>0</v>
      </c>
      <c r="V24" s="590">
        <f>INDEX('GSA - Price Analysis'!$B$10:$BB$30,MATCH($A24,'GSA - Price Analysis'!$A$10:$A$30,0),MATCH((V$7&amp;V$8),'GSA - Price Analysis'!$B$9:$BB$9,0))</f>
        <v>0</v>
      </c>
      <c r="W24" s="591">
        <f>INDEX('GSA - Price Analysis'!$B$10:$BB$30,MATCH($A24,'GSA - Price Analysis'!$A$10:$A$30,0),MATCH((V$7&amp;W$8),'GSA - Price Analysis'!$B$9:$BB$9,0))</f>
        <v>0</v>
      </c>
      <c r="X24" s="592">
        <f t="shared" si="8"/>
        <v>0</v>
      </c>
      <c r="Y24" s="593">
        <f>INDEX('GSA - Price Analysis'!$B$10:$BB$30,MATCH($A24,'GSA - Price Analysis'!$A$10:$A$30,0),MATCH((V$7&amp;Y$8),'GSA - Price Analysis'!$B$9:$BB$9,0))</f>
        <v>0</v>
      </c>
      <c r="Z24" s="638">
        <f t="shared" si="9"/>
        <v>0</v>
      </c>
      <c r="AA24" s="590">
        <f>INDEX('GSA - Price Analysis'!$B$10:$BB$30,MATCH($A24,'GSA - Price Analysis'!$A$10:$A$30,0),MATCH((AA$7&amp;AA$8),'GSA - Price Analysis'!$B$9:$BB$9,0))</f>
        <v>0</v>
      </c>
      <c r="AB24" s="591">
        <f>INDEX('GSA - Price Analysis'!$B$10:$BB$30,MATCH($A24,'GSA - Price Analysis'!$A$10:$A$30,0),MATCH((AA$7&amp;AB$8),'GSA - Price Analysis'!$B$9:$BB$9,0))</f>
        <v>0</v>
      </c>
      <c r="AC24" s="592">
        <f t="shared" si="10"/>
        <v>0</v>
      </c>
      <c r="AD24" s="593">
        <f>INDEX('GSA - Price Analysis'!$B$10:$BB$30,MATCH($A24,'GSA - Price Analysis'!$A$10:$A$30,0),MATCH((AA$7&amp;AD$8),'GSA - Price Analysis'!$B$9:$BB$9,0))</f>
        <v>0</v>
      </c>
      <c r="AE24" s="638">
        <f t="shared" si="11"/>
        <v>0</v>
      </c>
    </row>
    <row r="25" spans="1:31" s="641" customFormat="1">
      <c r="A25" s="642">
        <f t="shared" si="12"/>
        <v>16</v>
      </c>
      <c r="B25" s="643" t="str">
        <f t="shared" si="0"/>
        <v>PMO Cost</v>
      </c>
      <c r="C25" s="546" t="str">
        <f>'GSA - Price Analysis'!C25</f>
        <v>GSA Category 16</v>
      </c>
      <c r="D25" s="645" t="str">
        <f>'GSA - Price Analysis'!D25</f>
        <v>Govt</v>
      </c>
      <c r="E25" s="586">
        <f t="shared" si="1"/>
        <v>0</v>
      </c>
      <c r="F25" s="638">
        <f t="shared" si="1"/>
        <v>0</v>
      </c>
      <c r="G25" s="590">
        <f>INDEX('GSA - Price Analysis'!$B$10:$BB$30,MATCH($A25,'GSA - Price Analysis'!$A$10:$A$30,0),MATCH((G$7&amp;G$8),'GSA - Price Analysis'!$B$9:$BB$9,0))</f>
        <v>0</v>
      </c>
      <c r="H25" s="591">
        <f>INDEX('GSA - Price Analysis'!$B$10:$BB$30,MATCH($A25,'GSA - Price Analysis'!$A$10:$A$30,0),MATCH((G$7&amp;H$8),'GSA - Price Analysis'!$B$9:$BB$9,0))</f>
        <v>0</v>
      </c>
      <c r="I25" s="592">
        <f t="shared" si="2"/>
        <v>0</v>
      </c>
      <c r="J25" s="593">
        <f>INDEX('GSA - Price Analysis'!$B$10:$BB$30,MATCH($A25,'GSA - Price Analysis'!$A$10:$A$30,0),MATCH((G$7&amp;J$8),'GSA - Price Analysis'!$B$9:$BB$9,0))</f>
        <v>0</v>
      </c>
      <c r="K25" s="638">
        <f t="shared" si="3"/>
        <v>0</v>
      </c>
      <c r="L25" s="590">
        <f>INDEX('GSA - Price Analysis'!$B$10:$BB$30,MATCH($A25,'GSA - Price Analysis'!$A$10:$A$30,0),MATCH((L$7&amp;L$8),'GSA - Price Analysis'!$B$9:$BB$9,0))</f>
        <v>0</v>
      </c>
      <c r="M25" s="591">
        <f>INDEX('GSA - Price Analysis'!$B$10:$BB$30,MATCH($A25,'GSA - Price Analysis'!$A$10:$A$30,0),MATCH((L$7&amp;M$8),'GSA - Price Analysis'!$B$9:$BB$9,0))</f>
        <v>0</v>
      </c>
      <c r="N25" s="592">
        <f t="shared" si="4"/>
        <v>0</v>
      </c>
      <c r="O25" s="593">
        <f>INDEX('GSA - Price Analysis'!$B$10:$BB$30,MATCH($A25,'GSA - Price Analysis'!$A$10:$A$30,0),MATCH((L$7&amp;O$8),'GSA - Price Analysis'!$B$9:$BB$9,0))</f>
        <v>0</v>
      </c>
      <c r="P25" s="638">
        <f t="shared" si="5"/>
        <v>0</v>
      </c>
      <c r="Q25" s="590">
        <f>INDEX('GSA - Price Analysis'!$B$10:$BB$30,MATCH($A25,'GSA - Price Analysis'!$A$10:$A$30,0),MATCH((Q$7&amp;Q$8),'GSA - Price Analysis'!$B$9:$BB$9,0))</f>
        <v>0</v>
      </c>
      <c r="R25" s="591">
        <f>INDEX('GSA - Price Analysis'!$B$10:$BB$30,MATCH($A25,'GSA - Price Analysis'!$A$10:$A$30,0),MATCH((Q$7&amp;R$8),'GSA - Price Analysis'!$B$9:$BB$9,0))</f>
        <v>0</v>
      </c>
      <c r="S25" s="592">
        <f t="shared" si="6"/>
        <v>0</v>
      </c>
      <c r="T25" s="593">
        <f>INDEX('GSA - Price Analysis'!$B$10:$BB$30,MATCH($A25,'GSA - Price Analysis'!$A$10:$A$30,0),MATCH((Q$7&amp;T$8),'GSA - Price Analysis'!$B$9:$BB$9,0))</f>
        <v>0</v>
      </c>
      <c r="U25" s="638">
        <f t="shared" si="7"/>
        <v>0</v>
      </c>
      <c r="V25" s="590">
        <f>INDEX('GSA - Price Analysis'!$B$10:$BB$30,MATCH($A25,'GSA - Price Analysis'!$A$10:$A$30,0),MATCH((V$7&amp;V$8),'GSA - Price Analysis'!$B$9:$BB$9,0))</f>
        <v>0</v>
      </c>
      <c r="W25" s="591">
        <f>INDEX('GSA - Price Analysis'!$B$10:$BB$30,MATCH($A25,'GSA - Price Analysis'!$A$10:$A$30,0),MATCH((V$7&amp;W$8),'GSA - Price Analysis'!$B$9:$BB$9,0))</f>
        <v>0</v>
      </c>
      <c r="X25" s="592">
        <f t="shared" si="8"/>
        <v>0</v>
      </c>
      <c r="Y25" s="593">
        <f>INDEX('GSA - Price Analysis'!$B$10:$BB$30,MATCH($A25,'GSA - Price Analysis'!$A$10:$A$30,0),MATCH((V$7&amp;Y$8),'GSA - Price Analysis'!$B$9:$BB$9,0))</f>
        <v>0</v>
      </c>
      <c r="Z25" s="638">
        <f t="shared" si="9"/>
        <v>0</v>
      </c>
      <c r="AA25" s="590">
        <f>INDEX('GSA - Price Analysis'!$B$10:$BB$30,MATCH($A25,'GSA - Price Analysis'!$A$10:$A$30,0),MATCH((AA$7&amp;AA$8),'GSA - Price Analysis'!$B$9:$BB$9,0))</f>
        <v>0</v>
      </c>
      <c r="AB25" s="591">
        <f>INDEX('GSA - Price Analysis'!$B$10:$BB$30,MATCH($A25,'GSA - Price Analysis'!$A$10:$A$30,0),MATCH((AA$7&amp;AB$8),'GSA - Price Analysis'!$B$9:$BB$9,0))</f>
        <v>0</v>
      </c>
      <c r="AC25" s="592">
        <f t="shared" si="10"/>
        <v>0</v>
      </c>
      <c r="AD25" s="593">
        <f>INDEX('GSA - Price Analysis'!$B$10:$BB$30,MATCH($A25,'GSA - Price Analysis'!$A$10:$A$30,0),MATCH((AA$7&amp;AD$8),'GSA - Price Analysis'!$B$9:$BB$9,0))</f>
        <v>0</v>
      </c>
      <c r="AE25" s="638">
        <f t="shared" si="11"/>
        <v>0</v>
      </c>
    </row>
    <row r="26" spans="1:31" s="641" customFormat="1">
      <c r="A26" s="642">
        <f t="shared" si="12"/>
        <v>17</v>
      </c>
      <c r="B26" s="643" t="str">
        <f t="shared" si="0"/>
        <v>Project Controller Cost</v>
      </c>
      <c r="C26" s="546" t="str">
        <f>'GSA - Price Analysis'!C26</f>
        <v>GSA Category 17</v>
      </c>
      <c r="D26" s="645" t="str">
        <f>'GSA - Price Analysis'!D26</f>
        <v>Govt_Sub</v>
      </c>
      <c r="E26" s="586">
        <f t="shared" si="1"/>
        <v>0</v>
      </c>
      <c r="F26" s="638">
        <f t="shared" si="1"/>
        <v>0</v>
      </c>
      <c r="G26" s="590">
        <f>INDEX('GSA - Price Analysis'!$B$10:$BB$30,MATCH($A26,'GSA - Price Analysis'!$A$10:$A$30,0),MATCH((G$7&amp;G$8),'GSA - Price Analysis'!$B$9:$BB$9,0))</f>
        <v>0</v>
      </c>
      <c r="H26" s="591">
        <f>INDEX('GSA - Price Analysis'!$B$10:$BB$30,MATCH($A26,'GSA - Price Analysis'!$A$10:$A$30,0),MATCH((G$7&amp;H$8),'GSA - Price Analysis'!$B$9:$BB$9,0))</f>
        <v>0</v>
      </c>
      <c r="I26" s="592">
        <f t="shared" si="2"/>
        <v>0</v>
      </c>
      <c r="J26" s="593">
        <f>INDEX('GSA - Price Analysis'!$B$10:$BB$30,MATCH($A26,'GSA - Price Analysis'!$A$10:$A$30,0),MATCH((G$7&amp;J$8),'GSA - Price Analysis'!$B$9:$BB$9,0))</f>
        <v>0</v>
      </c>
      <c r="K26" s="638">
        <f t="shared" si="3"/>
        <v>0</v>
      </c>
      <c r="L26" s="590">
        <f>INDEX('GSA - Price Analysis'!$B$10:$BB$30,MATCH($A26,'GSA - Price Analysis'!$A$10:$A$30,0),MATCH((L$7&amp;L$8),'GSA - Price Analysis'!$B$9:$BB$9,0))</f>
        <v>0</v>
      </c>
      <c r="M26" s="591">
        <f>INDEX('GSA - Price Analysis'!$B$10:$BB$30,MATCH($A26,'GSA - Price Analysis'!$A$10:$A$30,0),MATCH((L$7&amp;M$8),'GSA - Price Analysis'!$B$9:$BB$9,0))</f>
        <v>0</v>
      </c>
      <c r="N26" s="592">
        <f t="shared" si="4"/>
        <v>0</v>
      </c>
      <c r="O26" s="593">
        <f>INDEX('GSA - Price Analysis'!$B$10:$BB$30,MATCH($A26,'GSA - Price Analysis'!$A$10:$A$30,0),MATCH((L$7&amp;O$8),'GSA - Price Analysis'!$B$9:$BB$9,0))</f>
        <v>0</v>
      </c>
      <c r="P26" s="638">
        <f t="shared" si="5"/>
        <v>0</v>
      </c>
      <c r="Q26" s="590">
        <f>INDEX('GSA - Price Analysis'!$B$10:$BB$30,MATCH($A26,'GSA - Price Analysis'!$A$10:$A$30,0),MATCH((Q$7&amp;Q$8),'GSA - Price Analysis'!$B$9:$BB$9,0))</f>
        <v>0</v>
      </c>
      <c r="R26" s="591">
        <f>INDEX('GSA - Price Analysis'!$B$10:$BB$30,MATCH($A26,'GSA - Price Analysis'!$A$10:$A$30,0),MATCH((Q$7&amp;R$8),'GSA - Price Analysis'!$B$9:$BB$9,0))</f>
        <v>0</v>
      </c>
      <c r="S26" s="592">
        <f t="shared" si="6"/>
        <v>0</v>
      </c>
      <c r="T26" s="593">
        <f>INDEX('GSA - Price Analysis'!$B$10:$BB$30,MATCH($A26,'GSA - Price Analysis'!$A$10:$A$30,0),MATCH((Q$7&amp;T$8),'GSA - Price Analysis'!$B$9:$BB$9,0))</f>
        <v>0</v>
      </c>
      <c r="U26" s="638">
        <f t="shared" si="7"/>
        <v>0</v>
      </c>
      <c r="V26" s="590">
        <f>INDEX('GSA - Price Analysis'!$B$10:$BB$30,MATCH($A26,'GSA - Price Analysis'!$A$10:$A$30,0),MATCH((V$7&amp;V$8),'GSA - Price Analysis'!$B$9:$BB$9,0))</f>
        <v>0</v>
      </c>
      <c r="W26" s="591">
        <f>INDEX('GSA - Price Analysis'!$B$10:$BB$30,MATCH($A26,'GSA - Price Analysis'!$A$10:$A$30,0),MATCH((V$7&amp;W$8),'GSA - Price Analysis'!$B$9:$BB$9,0))</f>
        <v>0</v>
      </c>
      <c r="X26" s="592">
        <f t="shared" si="8"/>
        <v>0</v>
      </c>
      <c r="Y26" s="593">
        <f>INDEX('GSA - Price Analysis'!$B$10:$BB$30,MATCH($A26,'GSA - Price Analysis'!$A$10:$A$30,0),MATCH((V$7&amp;Y$8),'GSA - Price Analysis'!$B$9:$BB$9,0))</f>
        <v>0</v>
      </c>
      <c r="Z26" s="638">
        <f t="shared" si="9"/>
        <v>0</v>
      </c>
      <c r="AA26" s="590">
        <f>INDEX('GSA - Price Analysis'!$B$10:$BB$30,MATCH($A26,'GSA - Price Analysis'!$A$10:$A$30,0),MATCH((AA$7&amp;AA$8),'GSA - Price Analysis'!$B$9:$BB$9,0))</f>
        <v>0</v>
      </c>
      <c r="AB26" s="591">
        <f>INDEX('GSA - Price Analysis'!$B$10:$BB$30,MATCH($A26,'GSA - Price Analysis'!$A$10:$A$30,0),MATCH((AA$7&amp;AB$8),'GSA - Price Analysis'!$B$9:$BB$9,0))</f>
        <v>0</v>
      </c>
      <c r="AC26" s="592">
        <f t="shared" si="10"/>
        <v>0</v>
      </c>
      <c r="AD26" s="593">
        <f>INDEX('GSA - Price Analysis'!$B$10:$BB$30,MATCH($A26,'GSA - Price Analysis'!$A$10:$A$30,0),MATCH((AA$7&amp;AD$8),'GSA - Price Analysis'!$B$9:$BB$9,0))</f>
        <v>0</v>
      </c>
      <c r="AE26" s="638">
        <f t="shared" si="11"/>
        <v>0</v>
      </c>
    </row>
    <row r="27" spans="1:31" s="641" customFormat="1">
      <c r="A27" s="642">
        <f t="shared" si="12"/>
        <v>18</v>
      </c>
      <c r="B27" s="643" t="e">
        <f t="shared" si="0"/>
        <v>#N/A</v>
      </c>
      <c r="C27" s="546" t="str">
        <f>'GSA - Price Analysis'!C27</f>
        <v>GSA Category 18</v>
      </c>
      <c r="D27" s="645" t="e">
        <f>'GSA - Price Analysis'!D27</f>
        <v>#N/A</v>
      </c>
      <c r="E27" s="586">
        <f t="shared" si="1"/>
        <v>0</v>
      </c>
      <c r="F27" s="638">
        <f t="shared" si="1"/>
        <v>0</v>
      </c>
      <c r="G27" s="590">
        <f>INDEX('GSA - Price Analysis'!$B$10:$BB$30,MATCH($A27,'GSA - Price Analysis'!$A$10:$A$30,0),MATCH((G$7&amp;G$8),'GSA - Price Analysis'!$B$9:$BB$9,0))</f>
        <v>0</v>
      </c>
      <c r="H27" s="591">
        <f>INDEX('GSA - Price Analysis'!$B$10:$BB$30,MATCH($A27,'GSA - Price Analysis'!$A$10:$A$30,0),MATCH((G$7&amp;H$8),'GSA - Price Analysis'!$B$9:$BB$9,0))</f>
        <v>0</v>
      </c>
      <c r="I27" s="592">
        <f t="shared" si="2"/>
        <v>0</v>
      </c>
      <c r="J27" s="593">
        <f>INDEX('GSA - Price Analysis'!$B$10:$BB$30,MATCH($A27,'GSA - Price Analysis'!$A$10:$A$30,0),MATCH((G$7&amp;J$8),'GSA - Price Analysis'!$B$9:$BB$9,0))</f>
        <v>0</v>
      </c>
      <c r="K27" s="638">
        <f t="shared" si="3"/>
        <v>0</v>
      </c>
      <c r="L27" s="590">
        <f>INDEX('GSA - Price Analysis'!$B$10:$BB$30,MATCH($A27,'GSA - Price Analysis'!$A$10:$A$30,0),MATCH((L$7&amp;L$8),'GSA - Price Analysis'!$B$9:$BB$9,0))</f>
        <v>0</v>
      </c>
      <c r="M27" s="591">
        <f>INDEX('GSA - Price Analysis'!$B$10:$BB$30,MATCH($A27,'GSA - Price Analysis'!$A$10:$A$30,0),MATCH((L$7&amp;M$8),'GSA - Price Analysis'!$B$9:$BB$9,0))</f>
        <v>0</v>
      </c>
      <c r="N27" s="592">
        <f t="shared" si="4"/>
        <v>0</v>
      </c>
      <c r="O27" s="593">
        <f>INDEX('GSA - Price Analysis'!$B$10:$BB$30,MATCH($A27,'GSA - Price Analysis'!$A$10:$A$30,0),MATCH((L$7&amp;O$8),'GSA - Price Analysis'!$B$9:$BB$9,0))</f>
        <v>0</v>
      </c>
      <c r="P27" s="638">
        <f t="shared" si="5"/>
        <v>0</v>
      </c>
      <c r="Q27" s="590">
        <f>INDEX('GSA - Price Analysis'!$B$10:$BB$30,MATCH($A27,'GSA - Price Analysis'!$A$10:$A$30,0),MATCH((Q$7&amp;Q$8),'GSA - Price Analysis'!$B$9:$BB$9,0))</f>
        <v>0</v>
      </c>
      <c r="R27" s="591">
        <f>INDEX('GSA - Price Analysis'!$B$10:$BB$30,MATCH($A27,'GSA - Price Analysis'!$A$10:$A$30,0),MATCH((Q$7&amp;R$8),'GSA - Price Analysis'!$B$9:$BB$9,0))</f>
        <v>0</v>
      </c>
      <c r="S27" s="592">
        <f t="shared" si="6"/>
        <v>0</v>
      </c>
      <c r="T27" s="593">
        <f>INDEX('GSA - Price Analysis'!$B$10:$BB$30,MATCH($A27,'GSA - Price Analysis'!$A$10:$A$30,0),MATCH((Q$7&amp;T$8),'GSA - Price Analysis'!$B$9:$BB$9,0))</f>
        <v>0</v>
      </c>
      <c r="U27" s="638">
        <f t="shared" si="7"/>
        <v>0</v>
      </c>
      <c r="V27" s="590">
        <f>INDEX('GSA - Price Analysis'!$B$10:$BB$30,MATCH($A27,'GSA - Price Analysis'!$A$10:$A$30,0),MATCH((V$7&amp;V$8),'GSA - Price Analysis'!$B$9:$BB$9,0))</f>
        <v>0</v>
      </c>
      <c r="W27" s="591">
        <f>INDEX('GSA - Price Analysis'!$B$10:$BB$30,MATCH($A27,'GSA - Price Analysis'!$A$10:$A$30,0),MATCH((V$7&amp;W$8),'GSA - Price Analysis'!$B$9:$BB$9,0))</f>
        <v>0</v>
      </c>
      <c r="X27" s="592">
        <f t="shared" si="8"/>
        <v>0</v>
      </c>
      <c r="Y27" s="593">
        <f>INDEX('GSA - Price Analysis'!$B$10:$BB$30,MATCH($A27,'GSA - Price Analysis'!$A$10:$A$30,0),MATCH((V$7&amp;Y$8),'GSA - Price Analysis'!$B$9:$BB$9,0))</f>
        <v>0</v>
      </c>
      <c r="Z27" s="638">
        <f t="shared" si="9"/>
        <v>0</v>
      </c>
      <c r="AA27" s="590">
        <f>INDEX('GSA - Price Analysis'!$B$10:$BB$30,MATCH($A27,'GSA - Price Analysis'!$A$10:$A$30,0),MATCH((AA$7&amp;AA$8),'GSA - Price Analysis'!$B$9:$BB$9,0))</f>
        <v>0</v>
      </c>
      <c r="AB27" s="591">
        <f>INDEX('GSA - Price Analysis'!$B$10:$BB$30,MATCH($A27,'GSA - Price Analysis'!$A$10:$A$30,0),MATCH((AA$7&amp;AB$8),'GSA - Price Analysis'!$B$9:$BB$9,0))</f>
        <v>0</v>
      </c>
      <c r="AC27" s="592">
        <f t="shared" si="10"/>
        <v>0</v>
      </c>
      <c r="AD27" s="593">
        <f>INDEX('GSA - Price Analysis'!$B$10:$BB$30,MATCH($A27,'GSA - Price Analysis'!$A$10:$A$30,0),MATCH((AA$7&amp;AD$8),'GSA - Price Analysis'!$B$9:$BB$9,0))</f>
        <v>0</v>
      </c>
      <c r="AE27" s="638">
        <f t="shared" si="11"/>
        <v>0</v>
      </c>
    </row>
    <row r="28" spans="1:31" s="641" customFormat="1">
      <c r="A28" s="642">
        <f t="shared" si="12"/>
        <v>19</v>
      </c>
      <c r="B28" s="643" t="e">
        <f t="shared" si="0"/>
        <v>#N/A</v>
      </c>
      <c r="C28" s="644" t="str">
        <f>'GSA - Price Analysis'!C28</f>
        <v>GSA Category 19</v>
      </c>
      <c r="D28" s="645" t="e">
        <f>'GSA - Price Analysis'!D28</f>
        <v>#N/A</v>
      </c>
      <c r="E28" s="586">
        <f t="shared" si="1"/>
        <v>0</v>
      </c>
      <c r="F28" s="638">
        <f t="shared" si="1"/>
        <v>0</v>
      </c>
      <c r="G28" s="590">
        <f>INDEX('GSA - Price Analysis'!$B$10:$BB$30,MATCH($A28,'GSA - Price Analysis'!$A$10:$A$30,0),MATCH((G$7&amp;G$8),'GSA - Price Analysis'!$B$9:$BB$9,0))</f>
        <v>0</v>
      </c>
      <c r="H28" s="591">
        <f>INDEX('GSA - Price Analysis'!$B$10:$BB$30,MATCH($A28,'GSA - Price Analysis'!$A$10:$A$30,0),MATCH((G$7&amp;H$8),'GSA - Price Analysis'!$B$9:$BB$9,0))</f>
        <v>0</v>
      </c>
      <c r="I28" s="592">
        <f t="shared" si="2"/>
        <v>0</v>
      </c>
      <c r="J28" s="593">
        <f>INDEX('GSA - Price Analysis'!$B$10:$BB$30,MATCH($A28,'GSA - Price Analysis'!$A$10:$A$30,0),MATCH((G$7&amp;J$8),'GSA - Price Analysis'!$B$9:$BB$9,0))</f>
        <v>0</v>
      </c>
      <c r="K28" s="638">
        <f t="shared" si="3"/>
        <v>0</v>
      </c>
      <c r="L28" s="590">
        <f>INDEX('GSA - Price Analysis'!$B$10:$BB$30,MATCH($A28,'GSA - Price Analysis'!$A$10:$A$30,0),MATCH((L$7&amp;L$8),'GSA - Price Analysis'!$B$9:$BB$9,0))</f>
        <v>0</v>
      </c>
      <c r="M28" s="591">
        <f>INDEX('GSA - Price Analysis'!$B$10:$BB$30,MATCH($A28,'GSA - Price Analysis'!$A$10:$A$30,0),MATCH((L$7&amp;M$8),'GSA - Price Analysis'!$B$9:$BB$9,0))</f>
        <v>0</v>
      </c>
      <c r="N28" s="592">
        <f t="shared" si="4"/>
        <v>0</v>
      </c>
      <c r="O28" s="593">
        <f>INDEX('GSA - Price Analysis'!$B$10:$BB$30,MATCH($A28,'GSA - Price Analysis'!$A$10:$A$30,0),MATCH((L$7&amp;O$8),'GSA - Price Analysis'!$B$9:$BB$9,0))</f>
        <v>0</v>
      </c>
      <c r="P28" s="638">
        <f t="shared" si="5"/>
        <v>0</v>
      </c>
      <c r="Q28" s="590">
        <f>INDEX('GSA - Price Analysis'!$B$10:$BB$30,MATCH($A28,'GSA - Price Analysis'!$A$10:$A$30,0),MATCH((Q$7&amp;Q$8),'GSA - Price Analysis'!$B$9:$BB$9,0))</f>
        <v>0</v>
      </c>
      <c r="R28" s="591">
        <f>INDEX('GSA - Price Analysis'!$B$10:$BB$30,MATCH($A28,'GSA - Price Analysis'!$A$10:$A$30,0),MATCH((Q$7&amp;R$8),'GSA - Price Analysis'!$B$9:$BB$9,0))</f>
        <v>0</v>
      </c>
      <c r="S28" s="592">
        <f t="shared" si="6"/>
        <v>0</v>
      </c>
      <c r="T28" s="593">
        <f>INDEX('GSA - Price Analysis'!$B$10:$BB$30,MATCH($A28,'GSA - Price Analysis'!$A$10:$A$30,0),MATCH((Q$7&amp;T$8),'GSA - Price Analysis'!$B$9:$BB$9,0))</f>
        <v>0</v>
      </c>
      <c r="U28" s="638">
        <f t="shared" si="7"/>
        <v>0</v>
      </c>
      <c r="V28" s="590">
        <f>INDEX('GSA - Price Analysis'!$B$10:$BB$30,MATCH($A28,'GSA - Price Analysis'!$A$10:$A$30,0),MATCH((V$7&amp;V$8),'GSA - Price Analysis'!$B$9:$BB$9,0))</f>
        <v>0</v>
      </c>
      <c r="W28" s="591">
        <f>INDEX('GSA - Price Analysis'!$B$10:$BB$30,MATCH($A28,'GSA - Price Analysis'!$A$10:$A$30,0),MATCH((V$7&amp;W$8),'GSA - Price Analysis'!$B$9:$BB$9,0))</f>
        <v>0</v>
      </c>
      <c r="X28" s="592">
        <f t="shared" si="8"/>
        <v>0</v>
      </c>
      <c r="Y28" s="593">
        <f>INDEX('GSA - Price Analysis'!$B$10:$BB$30,MATCH($A28,'GSA - Price Analysis'!$A$10:$A$30,0),MATCH((V$7&amp;Y$8),'GSA - Price Analysis'!$B$9:$BB$9,0))</f>
        <v>0</v>
      </c>
      <c r="Z28" s="638">
        <f t="shared" si="9"/>
        <v>0</v>
      </c>
      <c r="AA28" s="590">
        <f>INDEX('GSA - Price Analysis'!$B$10:$BB$30,MATCH($A28,'GSA - Price Analysis'!$A$10:$A$30,0),MATCH((AA$7&amp;AA$8),'GSA - Price Analysis'!$B$9:$BB$9,0))</f>
        <v>0</v>
      </c>
      <c r="AB28" s="591">
        <f>INDEX('GSA - Price Analysis'!$B$10:$BB$30,MATCH($A28,'GSA - Price Analysis'!$A$10:$A$30,0),MATCH((AA$7&amp;AB$8),'GSA - Price Analysis'!$B$9:$BB$9,0))</f>
        <v>0</v>
      </c>
      <c r="AC28" s="592">
        <f t="shared" si="10"/>
        <v>0</v>
      </c>
      <c r="AD28" s="593">
        <f>INDEX('GSA - Price Analysis'!$B$10:$BB$30,MATCH($A28,'GSA - Price Analysis'!$A$10:$A$30,0),MATCH((AA$7&amp;AD$8),'GSA - Price Analysis'!$B$9:$BB$9,0))</f>
        <v>0</v>
      </c>
      <c r="AE28" s="638">
        <f t="shared" si="11"/>
        <v>0</v>
      </c>
    </row>
    <row r="29" spans="1:31" s="641" customFormat="1" ht="13.5" thickBot="1">
      <c r="A29" s="642">
        <f t="shared" si="12"/>
        <v>20</v>
      </c>
      <c r="B29" s="643" t="e">
        <f t="shared" si="0"/>
        <v>#N/A</v>
      </c>
      <c r="C29" s="644" t="str">
        <f>'GSA - Price Analysis'!C29</f>
        <v>GSA Category 20</v>
      </c>
      <c r="D29" s="645" t="e">
        <f>'GSA - Price Analysis'!D29</f>
        <v>#N/A</v>
      </c>
      <c r="E29" s="586">
        <f t="shared" si="1"/>
        <v>0</v>
      </c>
      <c r="F29" s="638">
        <f t="shared" si="1"/>
        <v>0</v>
      </c>
      <c r="G29" s="595">
        <f>INDEX('GSA - Price Analysis'!$B$10:$BB$30,MATCH($A29,'GSA - Price Analysis'!$A$10:$A$30,0),MATCH((G$7&amp;G$8),'GSA - Price Analysis'!$B$9:$BB$9,0))</f>
        <v>0</v>
      </c>
      <c r="H29" s="596">
        <f>INDEX('GSA - Price Analysis'!$B$10:$BB$30,MATCH($A29,'GSA - Price Analysis'!$A$10:$A$30,0),MATCH((G$7&amp;H$8),'GSA - Price Analysis'!$B$9:$BB$9,0))</f>
        <v>0</v>
      </c>
      <c r="I29" s="597">
        <f t="shared" si="2"/>
        <v>0</v>
      </c>
      <c r="J29" s="598">
        <f>INDEX('GSA - Price Analysis'!$B$10:$BB$30,MATCH($A29,'GSA - Price Analysis'!$A$10:$A$30,0),MATCH((G$7&amp;J$8),'GSA - Price Analysis'!$B$9:$BB$9,0))</f>
        <v>0</v>
      </c>
      <c r="K29" s="646">
        <f t="shared" si="3"/>
        <v>0</v>
      </c>
      <c r="L29" s="595">
        <f>INDEX('GSA - Price Analysis'!$B$10:$BB$30,MATCH($A29,'GSA - Price Analysis'!$A$10:$A$30,0),MATCH((L$7&amp;L$8),'GSA - Price Analysis'!$B$9:$BB$9,0))</f>
        <v>0</v>
      </c>
      <c r="M29" s="596">
        <f>INDEX('GSA - Price Analysis'!$B$10:$BB$30,MATCH($A29,'GSA - Price Analysis'!$A$10:$A$30,0),MATCH((L$7&amp;M$8),'GSA - Price Analysis'!$B$9:$BB$9,0))</f>
        <v>0</v>
      </c>
      <c r="N29" s="597">
        <f t="shared" si="4"/>
        <v>0</v>
      </c>
      <c r="O29" s="598">
        <f>INDEX('GSA - Price Analysis'!$B$10:$BB$30,MATCH($A29,'GSA - Price Analysis'!$A$10:$A$30,0),MATCH((L$7&amp;O$8),'GSA - Price Analysis'!$B$9:$BB$9,0))</f>
        <v>0</v>
      </c>
      <c r="P29" s="646">
        <f t="shared" si="5"/>
        <v>0</v>
      </c>
      <c r="Q29" s="595">
        <f>INDEX('GSA - Price Analysis'!$B$10:$BB$30,MATCH($A29,'GSA - Price Analysis'!$A$10:$A$30,0),MATCH((Q$7&amp;Q$8),'GSA - Price Analysis'!$B$9:$BB$9,0))</f>
        <v>0</v>
      </c>
      <c r="R29" s="596">
        <f>INDEX('GSA - Price Analysis'!$B$10:$BB$30,MATCH($A29,'GSA - Price Analysis'!$A$10:$A$30,0),MATCH((Q$7&amp;R$8),'GSA - Price Analysis'!$B$9:$BB$9,0))</f>
        <v>0</v>
      </c>
      <c r="S29" s="597">
        <f t="shared" si="6"/>
        <v>0</v>
      </c>
      <c r="T29" s="598">
        <f>INDEX('GSA - Price Analysis'!$B$10:$BB$30,MATCH($A29,'GSA - Price Analysis'!$A$10:$A$30,0),MATCH((Q$7&amp;T$8),'GSA - Price Analysis'!$B$9:$BB$9,0))</f>
        <v>0</v>
      </c>
      <c r="U29" s="646">
        <f t="shared" si="7"/>
        <v>0</v>
      </c>
      <c r="V29" s="595">
        <f>INDEX('GSA - Price Analysis'!$B$10:$BB$30,MATCH($A29,'GSA - Price Analysis'!$A$10:$A$30,0),MATCH((V$7&amp;V$8),'GSA - Price Analysis'!$B$9:$BB$9,0))</f>
        <v>0</v>
      </c>
      <c r="W29" s="596">
        <f>INDEX('GSA - Price Analysis'!$B$10:$BB$30,MATCH($A29,'GSA - Price Analysis'!$A$10:$A$30,0),MATCH((V$7&amp;W$8),'GSA - Price Analysis'!$B$9:$BB$9,0))</f>
        <v>0</v>
      </c>
      <c r="X29" s="597">
        <f t="shared" si="8"/>
        <v>0</v>
      </c>
      <c r="Y29" s="598">
        <f>INDEX('GSA - Price Analysis'!$B$10:$BB$30,MATCH($A29,'GSA - Price Analysis'!$A$10:$A$30,0),MATCH((V$7&amp;Y$8),'GSA - Price Analysis'!$B$9:$BB$9,0))</f>
        <v>0</v>
      </c>
      <c r="Z29" s="646">
        <f t="shared" si="9"/>
        <v>0</v>
      </c>
      <c r="AA29" s="595">
        <f>INDEX('GSA - Price Analysis'!$B$10:$BB$30,MATCH($A29,'GSA - Price Analysis'!$A$10:$A$30,0),MATCH((AA$7&amp;AA$8),'GSA - Price Analysis'!$B$9:$BB$9,0))</f>
        <v>0</v>
      </c>
      <c r="AB29" s="596">
        <f>INDEX('GSA - Price Analysis'!$B$10:$BB$30,MATCH($A29,'GSA - Price Analysis'!$A$10:$A$30,0),MATCH((AA$7&amp;AB$8),'GSA - Price Analysis'!$B$9:$BB$9,0))</f>
        <v>0</v>
      </c>
      <c r="AC29" s="597">
        <f t="shared" si="10"/>
        <v>0</v>
      </c>
      <c r="AD29" s="598">
        <f>INDEX('GSA - Price Analysis'!$B$10:$BB$30,MATCH($A29,'GSA - Price Analysis'!$A$10:$A$30,0),MATCH((AA$7&amp;AD$8),'GSA - Price Analysis'!$B$9:$BB$9,0))</f>
        <v>0</v>
      </c>
      <c r="AE29" s="646">
        <f t="shared" si="11"/>
        <v>0</v>
      </c>
    </row>
    <row r="30" spans="1:31" s="653" customFormat="1">
      <c r="A30" s="647"/>
      <c r="B30" s="648"/>
      <c r="C30" s="649"/>
      <c r="D30" s="650"/>
      <c r="E30" s="651"/>
      <c r="F30" s="652"/>
      <c r="G30" s="648"/>
      <c r="H30" s="649"/>
      <c r="I30" s="649"/>
      <c r="J30" s="641"/>
      <c r="K30" s="652"/>
      <c r="L30" s="648"/>
      <c r="M30" s="649"/>
      <c r="N30" s="649"/>
      <c r="O30" s="641"/>
      <c r="P30" s="652"/>
      <c r="Q30" s="648"/>
      <c r="R30" s="649"/>
      <c r="S30" s="649"/>
      <c r="T30" s="641"/>
      <c r="U30" s="652"/>
      <c r="V30" s="648"/>
      <c r="W30" s="649"/>
      <c r="X30" s="649"/>
      <c r="Y30" s="641"/>
      <c r="Z30" s="652"/>
      <c r="AA30" s="648"/>
      <c r="AB30" s="649"/>
      <c r="AC30" s="649"/>
      <c r="AD30" s="641"/>
      <c r="AE30" s="652"/>
    </row>
    <row r="31" spans="1:31" s="580" customFormat="1">
      <c r="A31" s="647"/>
      <c r="B31" s="654"/>
      <c r="C31" s="583"/>
      <c r="D31" s="655"/>
      <c r="E31" s="656"/>
      <c r="F31" s="904"/>
      <c r="G31" s="658"/>
      <c r="H31" s="583"/>
      <c r="I31" s="657"/>
      <c r="J31" s="659"/>
      <c r="K31" s="660"/>
      <c r="L31" s="658"/>
      <c r="M31" s="583"/>
      <c r="N31" s="657"/>
      <c r="O31" s="659"/>
      <c r="P31" s="660"/>
      <c r="Q31" s="658"/>
      <c r="R31" s="583"/>
      <c r="S31" s="657"/>
      <c r="T31" s="659"/>
      <c r="U31" s="660"/>
      <c r="V31" s="658"/>
      <c r="W31" s="583"/>
      <c r="X31" s="657"/>
      <c r="Y31" s="659"/>
      <c r="Z31" s="660"/>
      <c r="AA31" s="658"/>
      <c r="AB31" s="583"/>
      <c r="AC31" s="657"/>
      <c r="AD31" s="659"/>
      <c r="AE31" s="660"/>
    </row>
    <row r="32" spans="1:31" s="580" customFormat="1">
      <c r="A32" s="220"/>
      <c r="B32" s="654" t="s">
        <v>640</v>
      </c>
      <c r="C32" s="583"/>
      <c r="D32" s="655"/>
      <c r="E32" s="661">
        <f>SUM(E10:E29)</f>
        <v>0</v>
      </c>
      <c r="F32" s="663">
        <f>SUM(F10:F29)</f>
        <v>0</v>
      </c>
      <c r="G32" s="658"/>
      <c r="H32" s="583"/>
      <c r="I32" s="657"/>
      <c r="J32" s="662">
        <f>SUM(J10:J29)</f>
        <v>0</v>
      </c>
      <c r="K32" s="663">
        <f>SUM(K10:K29)</f>
        <v>0</v>
      </c>
      <c r="L32" s="658"/>
      <c r="M32" s="583"/>
      <c r="N32" s="657"/>
      <c r="O32" s="662">
        <f>SUM(O10:O29)</f>
        <v>0</v>
      </c>
      <c r="P32" s="663">
        <f>SUM(P10:P29)</f>
        <v>0</v>
      </c>
      <c r="Q32" s="658"/>
      <c r="R32" s="583"/>
      <c r="S32" s="657"/>
      <c r="T32" s="662">
        <f>SUM(T10:T29)</f>
        <v>0</v>
      </c>
      <c r="U32" s="663">
        <f>SUM(U10:U29)</f>
        <v>0</v>
      </c>
      <c r="V32" s="658"/>
      <c r="W32" s="583"/>
      <c r="X32" s="657"/>
      <c r="Y32" s="662">
        <f>SUM(Y10:Y29)</f>
        <v>0</v>
      </c>
      <c r="Z32" s="663">
        <f>SUM(Z10:Z29)</f>
        <v>0</v>
      </c>
      <c r="AA32" s="658"/>
      <c r="AB32" s="583"/>
      <c r="AC32" s="657"/>
      <c r="AD32" s="662">
        <f>SUM(AD10:AD29)</f>
        <v>0</v>
      </c>
      <c r="AE32" s="663">
        <f>SUM(AE10:AE29)</f>
        <v>0</v>
      </c>
    </row>
    <row r="33" spans="1:31" s="580" customFormat="1">
      <c r="A33" s="220"/>
      <c r="B33" s="654"/>
      <c r="C33" s="583"/>
      <c r="D33" s="655"/>
      <c r="E33" s="664"/>
      <c r="F33" s="904"/>
      <c r="G33" s="658"/>
      <c r="H33" s="583"/>
      <c r="I33" s="657"/>
      <c r="J33" s="665"/>
      <c r="K33" s="666"/>
      <c r="L33" s="658"/>
      <c r="M33" s="583"/>
      <c r="N33" s="657"/>
      <c r="O33" s="665"/>
      <c r="P33" s="666"/>
      <c r="Q33" s="658"/>
      <c r="R33" s="583"/>
      <c r="S33" s="657"/>
      <c r="T33" s="665"/>
      <c r="U33" s="666"/>
      <c r="V33" s="658"/>
      <c r="W33" s="583"/>
      <c r="X33" s="657"/>
      <c r="Y33" s="665"/>
      <c r="Z33" s="666"/>
      <c r="AA33" s="658"/>
      <c r="AB33" s="583"/>
      <c r="AC33" s="657"/>
      <c r="AD33" s="665"/>
      <c r="AE33" s="666"/>
    </row>
    <row r="34" spans="1:31" s="580" customFormat="1">
      <c r="A34" s="220"/>
      <c r="B34" s="667" t="s">
        <v>718</v>
      </c>
      <c r="C34" s="583"/>
      <c r="D34" s="655"/>
      <c r="E34" s="664"/>
      <c r="F34" s="905">
        <f>SUM(K34:AE34)</f>
        <v>0</v>
      </c>
      <c r="G34" s="658"/>
      <c r="H34" s="583"/>
      <c r="I34" s="657"/>
      <c r="J34" s="665"/>
      <c r="K34" s="666">
        <f>INDEX('GSA - Price Analysis'!$C$10:$BB$43,MATCH($B34,'GSA - Price Analysis'!$B$10:$B$43,0),MATCH((G$7&amp;K$8),'GSA - Price Analysis'!$C$9:$BB$9,0))</f>
        <v>0</v>
      </c>
      <c r="L34" s="658"/>
      <c r="M34" s="583"/>
      <c r="N34" s="657"/>
      <c r="O34" s="665"/>
      <c r="P34" s="666">
        <f>INDEX('GSA - Price Analysis'!$C$10:$BB$43,MATCH($B34,'GSA - Price Analysis'!$B$10:$B$43,0),MATCH((L$7&amp;P$8),'GSA - Price Analysis'!$C$9:$BB$9,0))</f>
        <v>0</v>
      </c>
      <c r="Q34" s="658"/>
      <c r="R34" s="583"/>
      <c r="S34" s="657"/>
      <c r="T34" s="665"/>
      <c r="U34" s="666">
        <f>INDEX('GSA - Price Analysis'!$C$10:$BB$43,MATCH($B34,'GSA - Price Analysis'!$B$10:$B$43,0),MATCH((Q$7&amp;U$8),'GSA - Price Analysis'!$C$9:$BB$9,0))</f>
        <v>0</v>
      </c>
      <c r="V34" s="658"/>
      <c r="W34" s="583"/>
      <c r="X34" s="657"/>
      <c r="Y34" s="665"/>
      <c r="Z34" s="666">
        <f>INDEX('GSA - Price Analysis'!$C$10:$BB$43,MATCH($B34,'GSA - Price Analysis'!$B$10:$B$43,0),MATCH((V$7&amp;Z$8),'GSA - Price Analysis'!$C$9:$BB$9,0))</f>
        <v>0</v>
      </c>
      <c r="AA34" s="658"/>
      <c r="AB34" s="583"/>
      <c r="AC34" s="657"/>
      <c r="AD34" s="665"/>
      <c r="AE34" s="666">
        <f>INDEX('GSA - Price Analysis'!$C$10:$BB$43,MATCH($B34,'GSA - Price Analysis'!$B$10:$B$43,0),MATCH((AA$7&amp;AE$8),'GSA - Price Analysis'!$C$9:$BB$9,0))</f>
        <v>0</v>
      </c>
    </row>
    <row r="35" spans="1:31" s="580" customFormat="1">
      <c r="A35" s="220"/>
      <c r="B35" s="667" t="s">
        <v>772</v>
      </c>
      <c r="C35" s="583"/>
      <c r="D35" s="655"/>
      <c r="E35" s="664"/>
      <c r="F35" s="905">
        <f>SUM(K35:AE35)</f>
        <v>0</v>
      </c>
      <c r="G35" s="658"/>
      <c r="H35" s="583"/>
      <c r="I35" s="657"/>
      <c r="J35" s="665"/>
      <c r="K35" s="666">
        <f>INDEX('GSA - Price Analysis'!$C$10:$BB$43,MATCH($B35,'GSA - Price Analysis'!$B$10:$B$43,0),MATCH((G$7&amp;K$8),'GSA - Price Analysis'!$C$9:$BB$9,0))</f>
        <v>0</v>
      </c>
      <c r="L35" s="658"/>
      <c r="M35" s="583"/>
      <c r="N35" s="657"/>
      <c r="O35" s="665"/>
      <c r="P35" s="666">
        <f>INDEX('GSA - Price Analysis'!$C$10:$BB$43,MATCH($B35,'GSA - Price Analysis'!$B$10:$B$43,0),MATCH((L$7&amp;P$8),'GSA - Price Analysis'!$C$9:$BB$9,0))</f>
        <v>0</v>
      </c>
      <c r="Q35" s="658"/>
      <c r="R35" s="583"/>
      <c r="S35" s="657"/>
      <c r="T35" s="665"/>
      <c r="U35" s="666">
        <f>INDEX('GSA - Price Analysis'!$C$10:$BB$43,MATCH($B35,'GSA - Price Analysis'!$B$10:$B$43,0),MATCH((Q$7&amp;U$8),'GSA - Price Analysis'!$C$9:$BB$9,0))</f>
        <v>0</v>
      </c>
      <c r="V35" s="658"/>
      <c r="W35" s="583"/>
      <c r="X35" s="657"/>
      <c r="Y35" s="665"/>
      <c r="Z35" s="666">
        <f>INDEX('GSA - Price Analysis'!$C$10:$BB$43,MATCH($B35,'GSA - Price Analysis'!$B$10:$B$43,0),MATCH((V$7&amp;Z$8),'GSA - Price Analysis'!$C$9:$BB$9,0))</f>
        <v>0</v>
      </c>
      <c r="AA35" s="658"/>
      <c r="AB35" s="583"/>
      <c r="AC35" s="657"/>
      <c r="AD35" s="665"/>
      <c r="AE35" s="666">
        <f>INDEX('GSA - Price Analysis'!$C$10:$BB$43,MATCH($B35,'GSA - Price Analysis'!$B$10:$B$43,0),MATCH((AA$7&amp;AE$8),'GSA - Price Analysis'!$C$9:$BB$9,0))</f>
        <v>0</v>
      </c>
    </row>
    <row r="36" spans="1:31" s="580" customFormat="1">
      <c r="A36" s="220"/>
      <c r="B36" s="667" t="s">
        <v>616</v>
      </c>
      <c r="C36" s="583"/>
      <c r="D36" s="655"/>
      <c r="E36" s="664"/>
      <c r="F36" s="905">
        <f>SUM(K36:AE36)</f>
        <v>0</v>
      </c>
      <c r="G36" s="658"/>
      <c r="H36" s="583"/>
      <c r="I36" s="657"/>
      <c r="J36" s="665"/>
      <c r="K36" s="666">
        <f>INDEX('GSA - Price Analysis'!$C$10:$BB$43,MATCH($B36,'GSA - Price Analysis'!$B$10:$B$43,0),MATCH((G$7&amp;K$8),'GSA - Price Analysis'!$C$9:$BB$9,0))</f>
        <v>0</v>
      </c>
      <c r="L36" s="658"/>
      <c r="M36" s="583"/>
      <c r="N36" s="657"/>
      <c r="O36" s="665"/>
      <c r="P36" s="666">
        <f>INDEX('GSA - Price Analysis'!$C$10:$BB$43,MATCH($B36,'GSA - Price Analysis'!$B$10:$B$43,0),MATCH((L$7&amp;P$8),'GSA - Price Analysis'!$C$9:$BB$9,0))</f>
        <v>0</v>
      </c>
      <c r="Q36" s="658"/>
      <c r="R36" s="583"/>
      <c r="S36" s="657"/>
      <c r="T36" s="665"/>
      <c r="U36" s="666">
        <f>INDEX('GSA - Price Analysis'!$C$10:$BB$43,MATCH($B36,'GSA - Price Analysis'!$B$10:$B$43,0),MATCH((Q$7&amp;U$8),'GSA - Price Analysis'!$C$9:$BB$9,0))</f>
        <v>0</v>
      </c>
      <c r="V36" s="658"/>
      <c r="W36" s="583"/>
      <c r="X36" s="657"/>
      <c r="Y36" s="665"/>
      <c r="Z36" s="666">
        <f>INDEX('GSA - Price Analysis'!$C$10:$BB$43,MATCH($B36,'GSA - Price Analysis'!$B$10:$B$43,0),MATCH((V$7&amp;Z$8),'GSA - Price Analysis'!$C$9:$BB$9,0))</f>
        <v>0</v>
      </c>
      <c r="AA36" s="658"/>
      <c r="AB36" s="583"/>
      <c r="AC36" s="657"/>
      <c r="AD36" s="665"/>
      <c r="AE36" s="666">
        <f>INDEX('GSA - Price Analysis'!$C$10:$BB$43,MATCH($B36,'GSA - Price Analysis'!$B$10:$B$43,0),MATCH((AA$7&amp;AE$8),'GSA - Price Analysis'!$C$9:$BB$9,0))</f>
        <v>0</v>
      </c>
    </row>
    <row r="37" spans="1:31" s="580" customFormat="1">
      <c r="A37" s="220"/>
      <c r="B37" s="658"/>
      <c r="C37" s="583"/>
      <c r="D37" s="655"/>
      <c r="E37" s="664"/>
      <c r="F37" s="904"/>
      <c r="G37" s="658"/>
      <c r="H37" s="583"/>
      <c r="I37" s="657"/>
      <c r="J37" s="665"/>
      <c r="K37" s="663"/>
      <c r="L37" s="658"/>
      <c r="M37" s="583"/>
      <c r="N37" s="657"/>
      <c r="O37" s="665"/>
      <c r="P37" s="663"/>
      <c r="Q37" s="658"/>
      <c r="R37" s="583"/>
      <c r="S37" s="657"/>
      <c r="T37" s="665"/>
      <c r="U37" s="663"/>
      <c r="V37" s="658"/>
      <c r="W37" s="583"/>
      <c r="X37" s="657"/>
      <c r="Y37" s="665"/>
      <c r="Z37" s="663"/>
      <c r="AA37" s="658"/>
      <c r="AB37" s="583"/>
      <c r="AC37" s="657"/>
      <c r="AD37" s="665"/>
      <c r="AE37" s="663"/>
    </row>
    <row r="38" spans="1:31" s="580" customFormat="1" ht="13.5" thickBot="1">
      <c r="A38" s="220"/>
      <c r="B38" s="654" t="s">
        <v>751</v>
      </c>
      <c r="C38" s="583"/>
      <c r="D38" s="655"/>
      <c r="E38" s="664"/>
      <c r="F38" s="906">
        <f>SUM(F32:F36)</f>
        <v>0</v>
      </c>
      <c r="G38" s="658"/>
      <c r="H38" s="583"/>
      <c r="I38" s="657"/>
      <c r="J38" s="665"/>
      <c r="K38" s="668">
        <f>SUM(K32:K36)</f>
        <v>0</v>
      </c>
      <c r="L38" s="658"/>
      <c r="M38" s="583"/>
      <c r="N38" s="657"/>
      <c r="O38" s="665"/>
      <c r="P38" s="669">
        <f>SUM(P32:P36)</f>
        <v>0</v>
      </c>
      <c r="Q38" s="658"/>
      <c r="R38" s="583"/>
      <c r="S38" s="657"/>
      <c r="T38" s="665"/>
      <c r="U38" s="669">
        <f>SUM(U32:U36)</f>
        <v>0</v>
      </c>
      <c r="V38" s="658"/>
      <c r="W38" s="583"/>
      <c r="X38" s="657"/>
      <c r="Y38" s="665"/>
      <c r="Z38" s="669">
        <f>SUM(Z32:Z36)</f>
        <v>0</v>
      </c>
      <c r="AA38" s="658"/>
      <c r="AB38" s="583"/>
      <c r="AC38" s="657"/>
      <c r="AD38" s="665"/>
      <c r="AE38" s="669">
        <f>SUM(AE32:AE36)</f>
        <v>0</v>
      </c>
    </row>
    <row r="39" spans="1:31" s="580" customFormat="1" ht="14.25" thickTop="1" thickBot="1">
      <c r="A39" s="220"/>
      <c r="B39" s="670"/>
      <c r="C39" s="671"/>
      <c r="D39" s="672"/>
      <c r="E39" s="673"/>
      <c r="F39" s="907"/>
      <c r="G39" s="670"/>
      <c r="H39" s="671"/>
      <c r="I39" s="674"/>
      <c r="J39" s="675"/>
      <c r="K39" s="676"/>
      <c r="L39" s="670"/>
      <c r="M39" s="671"/>
      <c r="N39" s="674"/>
      <c r="O39" s="675"/>
      <c r="P39" s="676"/>
      <c r="Q39" s="670"/>
      <c r="R39" s="671"/>
      <c r="S39" s="674"/>
      <c r="T39" s="675"/>
      <c r="U39" s="676"/>
      <c r="V39" s="670"/>
      <c r="W39" s="671"/>
      <c r="X39" s="674"/>
      <c r="Y39" s="675"/>
      <c r="Z39" s="676"/>
      <c r="AA39" s="670"/>
      <c r="AB39" s="671"/>
      <c r="AC39" s="674"/>
      <c r="AD39" s="675"/>
      <c r="AE39" s="676"/>
    </row>
    <row r="40" spans="1:31" s="580" customFormat="1">
      <c r="A40" s="220"/>
      <c r="B40" s="220"/>
      <c r="C40" s="220"/>
      <c r="D40" s="220"/>
      <c r="F40" s="677"/>
      <c r="G40" s="583"/>
      <c r="H40" s="583"/>
      <c r="I40" s="657"/>
      <c r="J40" s="665"/>
      <c r="K40" s="678"/>
      <c r="L40" s="220"/>
      <c r="M40" s="220"/>
      <c r="N40" s="677"/>
      <c r="P40" s="679"/>
      <c r="Q40" s="220"/>
      <c r="R40" s="220"/>
      <c r="S40" s="677"/>
      <c r="U40" s="679"/>
      <c r="V40" s="220"/>
      <c r="W40" s="220"/>
      <c r="X40" s="677"/>
      <c r="Z40" s="679"/>
      <c r="AA40" s="220"/>
      <c r="AB40" s="220"/>
      <c r="AC40" s="677"/>
      <c r="AE40" s="679"/>
    </row>
    <row r="41" spans="1:31" s="580" customFormat="1">
      <c r="A41" s="220"/>
      <c r="B41" s="220"/>
      <c r="C41" s="220"/>
      <c r="D41" s="220"/>
      <c r="F41" s="677"/>
      <c r="G41" s="583"/>
      <c r="H41" s="583"/>
      <c r="I41" s="657"/>
      <c r="J41" s="665"/>
      <c r="K41" s="678"/>
      <c r="L41" s="220"/>
      <c r="M41" s="220"/>
      <c r="N41" s="677"/>
      <c r="P41" s="679"/>
      <c r="Q41" s="220"/>
      <c r="R41" s="220"/>
      <c r="S41" s="677"/>
      <c r="U41" s="679"/>
      <c r="V41" s="220"/>
      <c r="W41" s="220"/>
      <c r="X41" s="677"/>
      <c r="Z41" s="679"/>
      <c r="AA41" s="220"/>
      <c r="AB41" s="220"/>
      <c r="AC41" s="677"/>
      <c r="AE41" s="679"/>
    </row>
    <row r="42" spans="1:31" s="580" customFormat="1">
      <c r="A42" s="220"/>
      <c r="B42" s="220"/>
      <c r="C42" s="220"/>
      <c r="D42" s="220"/>
      <c r="F42" s="677"/>
      <c r="G42" s="583"/>
      <c r="H42" s="583"/>
      <c r="I42" s="657"/>
      <c r="J42" s="665"/>
      <c r="K42" s="678"/>
      <c r="L42" s="220"/>
      <c r="M42" s="220"/>
      <c r="N42" s="677"/>
      <c r="P42" s="679"/>
      <c r="Q42" s="220"/>
      <c r="R42" s="220"/>
      <c r="S42" s="677"/>
      <c r="U42" s="679"/>
      <c r="V42" s="220"/>
      <c r="W42" s="220"/>
      <c r="X42" s="677"/>
      <c r="Z42" s="679"/>
      <c r="AA42" s="220"/>
      <c r="AB42" s="220"/>
      <c r="AC42" s="677"/>
      <c r="AE42" s="679"/>
    </row>
    <row r="43" spans="1:31" s="580" customFormat="1">
      <c r="A43" s="220"/>
      <c r="B43" s="220"/>
      <c r="C43" s="220"/>
      <c r="D43" s="220"/>
      <c r="G43" s="583"/>
      <c r="H43" s="583"/>
      <c r="I43" s="583"/>
      <c r="J43" s="665"/>
      <c r="K43" s="665"/>
      <c r="L43" s="220"/>
      <c r="M43" s="220"/>
      <c r="N43" s="220"/>
      <c r="Q43" s="220"/>
      <c r="R43" s="220"/>
      <c r="S43" s="220"/>
      <c r="V43" s="220"/>
      <c r="W43" s="220"/>
      <c r="X43" s="220"/>
      <c r="AA43" s="220"/>
      <c r="AB43" s="220"/>
      <c r="AC43" s="220"/>
    </row>
    <row r="44" spans="1:31" s="580" customFormat="1">
      <c r="A44" s="220"/>
      <c r="B44" s="220"/>
      <c r="C44" s="220"/>
      <c r="D44" s="220"/>
      <c r="G44" s="583"/>
      <c r="H44" s="583"/>
      <c r="I44" s="583"/>
      <c r="J44" s="665"/>
      <c r="K44" s="665"/>
      <c r="L44" s="220"/>
      <c r="M44" s="220"/>
      <c r="N44" s="220"/>
      <c r="Q44" s="220"/>
      <c r="R44" s="220"/>
      <c r="S44" s="220"/>
      <c r="V44" s="220"/>
      <c r="W44" s="220"/>
      <c r="X44" s="220"/>
      <c r="AA44" s="220"/>
      <c r="AB44" s="220"/>
      <c r="AC44" s="220"/>
    </row>
    <row r="45" spans="1:31" s="580" customFormat="1">
      <c r="A45" s="220"/>
      <c r="B45" s="220"/>
      <c r="C45" s="220"/>
      <c r="D45" s="220"/>
      <c r="G45" s="583"/>
      <c r="H45" s="583"/>
      <c r="I45" s="583"/>
      <c r="J45" s="665"/>
      <c r="K45" s="665"/>
      <c r="L45" s="220"/>
      <c r="M45" s="220"/>
      <c r="N45" s="220"/>
      <c r="Q45" s="220"/>
      <c r="R45" s="220"/>
      <c r="S45" s="220"/>
      <c r="V45" s="220"/>
      <c r="W45" s="220"/>
      <c r="X45" s="220"/>
      <c r="AA45" s="220"/>
      <c r="AB45" s="220"/>
      <c r="AC45" s="220"/>
    </row>
  </sheetData>
  <mergeCells count="6">
    <mergeCell ref="V7:Z7"/>
    <mergeCell ref="AA7:AE7"/>
    <mergeCell ref="E7:F7"/>
    <mergeCell ref="G7:K7"/>
    <mergeCell ref="L7:P7"/>
    <mergeCell ref="Q7:U7"/>
  </mergeCells>
  <phoneticPr fontId="23" type="noConversion"/>
  <pageMargins left="1" right="1" top="1" bottom="1" header="0.5" footer="0.5"/>
  <pageSetup scale="65" orientation="landscape" r:id="rId1"/>
  <headerFooter alignWithMargins="0">
    <oddFooter xml:space="preserve">&amp;CManTech Proprietary Information
</oddFooter>
  </headerFooter>
  <colBreaks count="3" manualBreakCount="3">
    <brk id="6" max="1048575" man="1"/>
    <brk id="16" max="38" man="1"/>
    <brk id="26" max="38" man="1"/>
  </colBreaks>
</worksheet>
</file>

<file path=xl/worksheets/sheet24.xml><?xml version="1.0" encoding="utf-8"?>
<worksheet xmlns="http://schemas.openxmlformats.org/spreadsheetml/2006/main" xmlns:r="http://schemas.openxmlformats.org/officeDocument/2006/relationships">
  <sheetPr codeName="Sheet4" enableFormatConditionsCalculation="0">
    <tabColor indexed="41"/>
  </sheetPr>
  <dimension ref="A1:IK48"/>
  <sheetViews>
    <sheetView showGridLines="0" zoomScale="85" zoomScaleNormal="60" workbookViewId="0">
      <pane xSplit="3" ySplit="8" topLeftCell="D9" activePane="bottomRight" state="frozen"/>
      <selection activeCell="F47" sqref="F47"/>
      <selection pane="topRight" activeCell="F47" sqref="F47"/>
      <selection pane="bottomLeft" activeCell="F47" sqref="F47"/>
      <selection pane="bottomRight" activeCell="D26" sqref="D26"/>
    </sheetView>
  </sheetViews>
  <sheetFormatPr defaultRowHeight="12.75" outlineLevelCol="2"/>
  <cols>
    <col min="1" max="1" width="6.5703125" style="653" customWidth="1"/>
    <col min="2" max="2" width="38.42578125" style="742" bestFit="1" customWidth="1"/>
    <col min="3" max="3" width="20.5703125" style="742" bestFit="1" customWidth="1"/>
    <col min="4" max="4" width="12.85546875" style="647" customWidth="1"/>
    <col min="5" max="5" width="38" style="46" customWidth="1" outlineLevel="1"/>
    <col min="6" max="6" width="19" style="129" bestFit="1" customWidth="1"/>
    <col min="7" max="7" width="19.140625" style="129" customWidth="1"/>
    <col min="8" max="8" width="16.28515625" style="129" customWidth="1"/>
    <col min="9" max="20" width="17" style="129" hidden="1" customWidth="1" outlineLevel="1"/>
    <col min="21" max="21" width="9.5703125" style="129" bestFit="1" customWidth="1" collapsed="1"/>
    <col min="22" max="22" width="19" style="129" bestFit="1" customWidth="1"/>
    <col min="23" max="23" width="19.140625" style="129" customWidth="1"/>
    <col min="24" max="24" width="16.28515625" style="129" customWidth="1"/>
    <col min="25" max="36" width="17" style="129" hidden="1" customWidth="1" outlineLevel="1"/>
    <col min="37" max="37" width="9.5703125" style="129" bestFit="1" customWidth="1" collapsed="1"/>
    <col min="38" max="38" width="19" style="129" bestFit="1" customWidth="1"/>
    <col min="39" max="39" width="19.140625" style="129" customWidth="1"/>
    <col min="40" max="40" width="16.28515625" style="129" customWidth="1"/>
    <col min="41" max="52" width="17" style="129" hidden="1" customWidth="1" outlineLevel="1"/>
    <col min="53" max="53" width="9.5703125" style="129" bestFit="1" customWidth="1" collapsed="1"/>
    <col min="54" max="54" width="19" style="129" bestFit="1" customWidth="1"/>
    <col min="55" max="55" width="19.140625" style="129" customWidth="1"/>
    <col min="56" max="56" width="16.28515625" style="129" customWidth="1"/>
    <col min="57" max="68" width="17" style="129" hidden="1" customWidth="1" outlineLevel="1"/>
    <col min="69" max="69" width="9.5703125" style="129" bestFit="1" customWidth="1" collapsed="1"/>
    <col min="70" max="70" width="19" style="129" bestFit="1" customWidth="1"/>
    <col min="71" max="71" width="19.140625" style="129" customWidth="1"/>
    <col min="72" max="72" width="16.28515625" style="129" customWidth="1"/>
    <col min="73" max="84" width="17" style="129" hidden="1" customWidth="1" outlineLevel="1"/>
    <col min="85" max="85" width="9.5703125" style="129" bestFit="1" customWidth="1" collapsed="1"/>
    <col min="86" max="86" width="19" style="129" hidden="1" customWidth="1" outlineLevel="1"/>
    <col min="87" max="87" width="19.140625" style="129" hidden="1" customWidth="1" outlineLevel="1"/>
    <col min="88" max="88" width="16.28515625" style="129" hidden="1" customWidth="1" outlineLevel="1"/>
    <col min="89" max="100" width="17" style="129" hidden="1" customWidth="1" outlineLevel="2"/>
    <col min="101" max="101" width="9.5703125" style="129" hidden="1" customWidth="1" outlineLevel="1"/>
    <col min="102" max="102" width="19" style="129" hidden="1" customWidth="1" outlineLevel="1"/>
    <col min="103" max="103" width="19.140625" style="129" hidden="1" customWidth="1" outlineLevel="1"/>
    <col min="104" max="104" width="16.28515625" style="129" hidden="1" customWidth="1" outlineLevel="1"/>
    <col min="105" max="116" width="17" style="129" hidden="1" customWidth="1" outlineLevel="2"/>
    <col min="117" max="117" width="9.140625" style="129" hidden="1" customWidth="1" outlineLevel="1"/>
    <col min="118" max="118" width="19" style="129" hidden="1" customWidth="1" outlineLevel="1"/>
    <col min="119" max="119" width="19.140625" style="129" hidden="1" customWidth="1" outlineLevel="1"/>
    <col min="120" max="120" width="16.28515625" style="129" hidden="1" customWidth="1" outlineLevel="1"/>
    <col min="121" max="132" width="17" style="129" hidden="1" customWidth="1" outlineLevel="2"/>
    <col min="133" max="133" width="9.140625" style="129" hidden="1" customWidth="1" outlineLevel="1"/>
    <col min="134" max="134" width="19" style="129" hidden="1" customWidth="1" outlineLevel="1"/>
    <col min="135" max="135" width="19.140625" style="129" hidden="1" customWidth="1" outlineLevel="1"/>
    <col min="136" max="136" width="16.28515625" style="129" hidden="1" customWidth="1" outlineLevel="1"/>
    <col min="137" max="148" width="17" style="129" hidden="1" customWidth="1" outlineLevel="2"/>
    <col min="149" max="149" width="9.140625" style="129" hidden="1" customWidth="1" outlineLevel="1"/>
    <col min="150" max="150" width="19" style="129" hidden="1" customWidth="1" outlineLevel="1"/>
    <col min="151" max="151" width="19.140625" style="129" hidden="1" customWidth="1" outlineLevel="1"/>
    <col min="152" max="152" width="16.28515625" style="129" hidden="1" customWidth="1" outlineLevel="1"/>
    <col min="153" max="164" width="17" style="129" hidden="1" customWidth="1" outlineLevel="2"/>
    <col min="165" max="165" width="9.140625" style="129" hidden="1" customWidth="1" outlineLevel="1"/>
    <col min="166" max="166" width="19" style="129" hidden="1" customWidth="1" outlineLevel="1"/>
    <col min="167" max="167" width="19.140625" style="129" hidden="1" customWidth="1" outlineLevel="1"/>
    <col min="168" max="168" width="16.28515625" style="129" hidden="1" customWidth="1" outlineLevel="1"/>
    <col min="169" max="180" width="17" style="129" hidden="1" customWidth="1" outlineLevel="2"/>
    <col min="181" max="181" width="9.140625" style="129" hidden="1" customWidth="1" outlineLevel="1"/>
    <col min="182" max="182" width="19" style="129" hidden="1" customWidth="1" outlineLevel="1"/>
    <col min="183" max="183" width="19.140625" style="129" hidden="1" customWidth="1" outlineLevel="1"/>
    <col min="184" max="184" width="16.28515625" style="129" hidden="1" customWidth="1" outlineLevel="1"/>
    <col min="185" max="196" width="17" style="129" hidden="1" customWidth="1" outlineLevel="2"/>
    <col min="197" max="197" width="9.140625" style="129" hidden="1" customWidth="1" outlineLevel="1"/>
    <col min="198" max="198" width="19" style="129" hidden="1" customWidth="1" outlineLevel="1"/>
    <col min="199" max="199" width="19.140625" style="129" hidden="1" customWidth="1" outlineLevel="1"/>
    <col min="200" max="200" width="16.28515625" style="129" hidden="1" customWidth="1" outlineLevel="1"/>
    <col min="201" max="212" width="17" style="129" hidden="1" customWidth="1" outlineLevel="2"/>
    <col min="213" max="213" width="9.140625" style="129" hidden="1" customWidth="1" outlineLevel="1"/>
    <col min="214" max="214" width="19" style="129" hidden="1" customWidth="1" outlineLevel="1"/>
    <col min="215" max="215" width="19.140625" style="129" hidden="1" customWidth="1" outlineLevel="1"/>
    <col min="216" max="216" width="16.28515625" style="129" hidden="1" customWidth="1" outlineLevel="1"/>
    <col min="217" max="228" width="17" style="129" hidden="1" customWidth="1" outlineLevel="2"/>
    <col min="229" max="229" width="9.140625" style="129" hidden="1" customWidth="1" outlineLevel="1"/>
    <col min="230" max="230" width="19" style="129" hidden="1" customWidth="1" outlineLevel="1"/>
    <col min="231" max="231" width="19.140625" style="129" hidden="1" customWidth="1" outlineLevel="1"/>
    <col min="232" max="232" width="16.28515625" style="129" hidden="1" customWidth="1" outlineLevel="1"/>
    <col min="233" max="244" width="17" style="129" hidden="1" customWidth="1" outlineLevel="2"/>
    <col min="245" max="245" width="9.140625" style="129" customWidth="1" collapsed="1"/>
    <col min="246" max="16384" width="9.140625" style="129"/>
  </cols>
  <sheetData>
    <row r="1" spans="1:245">
      <c r="A1" s="3"/>
      <c r="B1" s="730" t="s">
        <v>610</v>
      </c>
      <c r="C1" s="731" t="str">
        <f>InputSheet!D4</f>
        <v>P-12246</v>
      </c>
      <c r="D1" s="732"/>
      <c r="F1" s="733"/>
      <c r="G1" s="733"/>
      <c r="H1" s="733"/>
      <c r="I1" s="733"/>
      <c r="J1" s="733"/>
      <c r="K1" s="733"/>
      <c r="L1" s="733"/>
      <c r="M1" s="733"/>
      <c r="N1" s="733"/>
      <c r="O1" s="733"/>
      <c r="P1" s="733"/>
      <c r="Q1" s="733"/>
      <c r="R1" s="733"/>
      <c r="S1" s="733"/>
      <c r="T1" s="733"/>
      <c r="V1" s="733"/>
      <c r="W1" s="733"/>
      <c r="X1" s="733"/>
      <c r="Y1" s="733"/>
      <c r="Z1" s="733"/>
      <c r="AA1" s="733"/>
      <c r="AB1" s="733"/>
      <c r="AC1" s="733"/>
      <c r="AD1" s="733"/>
      <c r="AE1" s="733"/>
      <c r="AF1" s="733"/>
      <c r="AG1" s="733"/>
      <c r="AH1" s="733"/>
      <c r="AI1" s="733"/>
      <c r="AJ1" s="733"/>
      <c r="AL1" s="733"/>
      <c r="AM1" s="733"/>
      <c r="AN1" s="733"/>
      <c r="AO1" s="733"/>
      <c r="AP1" s="733"/>
      <c r="AQ1" s="733"/>
      <c r="AR1" s="733"/>
      <c r="AS1" s="733"/>
      <c r="AT1" s="733"/>
      <c r="AU1" s="733"/>
      <c r="AV1" s="733"/>
      <c r="AW1" s="733"/>
      <c r="AX1" s="733"/>
      <c r="AY1" s="733"/>
      <c r="AZ1" s="733"/>
      <c r="BB1" s="733"/>
      <c r="BC1" s="733"/>
      <c r="BD1" s="733"/>
      <c r="BE1" s="733"/>
      <c r="BF1" s="733"/>
      <c r="BG1" s="733"/>
      <c r="BH1" s="733"/>
      <c r="BI1" s="733"/>
      <c r="BJ1" s="733"/>
      <c r="BK1" s="733"/>
      <c r="BL1" s="733"/>
      <c r="BM1" s="733"/>
      <c r="BN1" s="733"/>
      <c r="BO1" s="733"/>
      <c r="BP1" s="733"/>
      <c r="BR1" s="733"/>
      <c r="BS1" s="733"/>
      <c r="BT1" s="733"/>
      <c r="BU1" s="733"/>
      <c r="BV1" s="733"/>
      <c r="BW1" s="733"/>
      <c r="BX1" s="733"/>
      <c r="BY1" s="733"/>
      <c r="BZ1" s="733"/>
      <c r="CA1" s="733"/>
      <c r="CB1" s="733"/>
      <c r="CC1" s="733"/>
      <c r="CD1" s="733"/>
      <c r="CE1" s="733"/>
      <c r="CF1" s="733"/>
      <c r="CH1" s="733"/>
      <c r="CI1" s="733"/>
      <c r="CJ1" s="733"/>
      <c r="CK1" s="733"/>
      <c r="CL1" s="733"/>
      <c r="CM1" s="733"/>
      <c r="CN1" s="733"/>
      <c r="CO1" s="733"/>
      <c r="CP1" s="733"/>
      <c r="CQ1" s="733"/>
      <c r="CR1" s="733"/>
      <c r="CS1" s="733"/>
      <c r="CT1" s="733"/>
      <c r="CU1" s="733"/>
      <c r="CV1" s="733"/>
      <c r="CX1" s="733"/>
      <c r="CY1" s="733"/>
      <c r="CZ1" s="733"/>
      <c r="DA1" s="733"/>
      <c r="DB1" s="733"/>
      <c r="DC1" s="733"/>
      <c r="DD1" s="733"/>
      <c r="DE1" s="733"/>
      <c r="DF1" s="733"/>
      <c r="DG1" s="733"/>
      <c r="DH1" s="733"/>
      <c r="DI1" s="733"/>
      <c r="DJ1" s="733"/>
      <c r="DK1" s="733"/>
      <c r="DL1" s="733"/>
      <c r="DN1" s="733"/>
      <c r="DO1" s="733"/>
      <c r="DP1" s="733"/>
      <c r="DQ1" s="733"/>
      <c r="DR1" s="733"/>
      <c r="DS1" s="733"/>
      <c r="DT1" s="733"/>
      <c r="DU1" s="733"/>
      <c r="DV1" s="733"/>
      <c r="DW1" s="733"/>
      <c r="DX1" s="733"/>
      <c r="DY1" s="733"/>
      <c r="DZ1" s="733"/>
      <c r="EA1" s="733"/>
      <c r="EB1" s="733"/>
      <c r="ED1" s="733"/>
      <c r="EE1" s="733"/>
      <c r="EF1" s="733"/>
      <c r="EG1" s="733"/>
      <c r="EH1" s="733"/>
      <c r="EI1" s="733"/>
      <c r="EJ1" s="733"/>
      <c r="EK1" s="733"/>
      <c r="EL1" s="733"/>
      <c r="EM1" s="733"/>
      <c r="EN1" s="733"/>
      <c r="EO1" s="733"/>
      <c r="EP1" s="733"/>
      <c r="EQ1" s="733"/>
      <c r="ER1" s="733"/>
      <c r="ET1" s="733"/>
      <c r="EU1" s="733"/>
      <c r="EV1" s="733"/>
      <c r="EW1" s="733"/>
      <c r="EX1" s="733"/>
      <c r="EY1" s="733"/>
      <c r="EZ1" s="733"/>
      <c r="FA1" s="733"/>
      <c r="FB1" s="733"/>
      <c r="FC1" s="733"/>
      <c r="FD1" s="733"/>
      <c r="FE1" s="733"/>
      <c r="FF1" s="733"/>
      <c r="FG1" s="733"/>
      <c r="FH1" s="733"/>
      <c r="FJ1" s="733"/>
      <c r="FK1" s="733"/>
      <c r="FL1" s="733"/>
      <c r="FM1" s="733"/>
      <c r="FN1" s="733"/>
      <c r="FO1" s="733"/>
      <c r="FP1" s="733"/>
      <c r="FQ1" s="733"/>
      <c r="FR1" s="733"/>
      <c r="FS1" s="733"/>
      <c r="FT1" s="733"/>
      <c r="FU1" s="733"/>
      <c r="FV1" s="733"/>
      <c r="FW1" s="733"/>
      <c r="FX1" s="733"/>
      <c r="FZ1" s="733"/>
      <c r="GA1" s="733"/>
      <c r="GB1" s="733"/>
      <c r="GC1" s="733"/>
      <c r="GD1" s="733"/>
      <c r="GE1" s="733"/>
      <c r="GF1" s="733"/>
      <c r="GG1" s="733"/>
      <c r="GH1" s="733"/>
      <c r="GI1" s="733"/>
      <c r="GJ1" s="733"/>
      <c r="GK1" s="733"/>
      <c r="GL1" s="733"/>
      <c r="GM1" s="733"/>
      <c r="GN1" s="733"/>
      <c r="GP1" s="733"/>
      <c r="GQ1" s="733"/>
      <c r="GR1" s="733"/>
      <c r="GS1" s="733"/>
      <c r="GT1" s="733"/>
      <c r="GU1" s="733"/>
      <c r="GV1" s="733"/>
      <c r="GW1" s="733"/>
      <c r="GX1" s="733"/>
      <c r="GY1" s="733"/>
      <c r="GZ1" s="733"/>
      <c r="HA1" s="733"/>
      <c r="HB1" s="733"/>
      <c r="HC1" s="733"/>
      <c r="HD1" s="733"/>
      <c r="HF1" s="733"/>
      <c r="HG1" s="733"/>
      <c r="HH1" s="733"/>
      <c r="HI1" s="733"/>
      <c r="HJ1" s="733"/>
      <c r="HK1" s="733"/>
      <c r="HL1" s="733"/>
      <c r="HM1" s="733"/>
      <c r="HN1" s="733"/>
      <c r="HO1" s="733"/>
      <c r="HP1" s="733"/>
      <c r="HQ1" s="733"/>
      <c r="HR1" s="733"/>
      <c r="HS1" s="733"/>
      <c r="HT1" s="733"/>
      <c r="HV1" s="733"/>
      <c r="HW1" s="733"/>
      <c r="HX1" s="733"/>
      <c r="HY1" s="733"/>
      <c r="HZ1" s="733"/>
      <c r="IA1" s="733"/>
      <c r="IB1" s="733"/>
      <c r="IC1" s="733"/>
      <c r="ID1" s="733"/>
      <c r="IE1" s="733"/>
      <c r="IF1" s="733"/>
      <c r="IG1" s="733"/>
      <c r="IH1" s="733"/>
      <c r="II1" s="733"/>
      <c r="IJ1" s="733"/>
    </row>
    <row r="2" spans="1:245">
      <c r="B2" s="730" t="s">
        <v>666</v>
      </c>
      <c r="C2" s="731" t="str">
        <f>InputSheet!D1</f>
        <v>NCSA HQ 7010</v>
      </c>
      <c r="D2" s="732"/>
      <c r="F2" s="733"/>
      <c r="G2" s="733"/>
      <c r="H2" s="733"/>
      <c r="I2" s="733"/>
      <c r="J2" s="733"/>
      <c r="K2" s="733"/>
      <c r="L2" s="733"/>
      <c r="M2" s="733"/>
      <c r="N2" s="733"/>
      <c r="O2" s="733"/>
      <c r="P2" s="733"/>
      <c r="Q2" s="733"/>
      <c r="R2" s="733"/>
      <c r="S2" s="733"/>
      <c r="T2" s="733"/>
      <c r="V2" s="733"/>
      <c r="W2" s="733"/>
      <c r="X2" s="733"/>
      <c r="Y2" s="733"/>
      <c r="Z2" s="733"/>
      <c r="AA2" s="733"/>
      <c r="AB2" s="733"/>
      <c r="AC2" s="733"/>
      <c r="AD2" s="733"/>
      <c r="AE2" s="733"/>
      <c r="AF2" s="733"/>
      <c r="AG2" s="733"/>
      <c r="AH2" s="733"/>
      <c r="AI2" s="733"/>
      <c r="AJ2" s="733"/>
      <c r="AL2" s="733"/>
      <c r="AM2" s="733"/>
      <c r="AN2" s="733"/>
      <c r="AO2" s="733"/>
      <c r="AP2" s="733"/>
      <c r="AQ2" s="733"/>
      <c r="AR2" s="733"/>
      <c r="AS2" s="733"/>
      <c r="AT2" s="733"/>
      <c r="AU2" s="733"/>
      <c r="AV2" s="733"/>
      <c r="AW2" s="733"/>
      <c r="AX2" s="733"/>
      <c r="AY2" s="733"/>
      <c r="AZ2" s="733"/>
      <c r="BB2" s="733"/>
      <c r="BC2" s="733"/>
      <c r="BD2" s="733"/>
      <c r="BE2" s="733"/>
      <c r="BF2" s="733"/>
      <c r="BG2" s="733"/>
      <c r="BH2" s="733"/>
      <c r="BI2" s="733"/>
      <c r="BJ2" s="733"/>
      <c r="BK2" s="733"/>
      <c r="BL2" s="733"/>
      <c r="BM2" s="733"/>
      <c r="BN2" s="733"/>
      <c r="BO2" s="733"/>
      <c r="BP2" s="733"/>
      <c r="BR2" s="733"/>
      <c r="BS2" s="733"/>
      <c r="BT2" s="733"/>
      <c r="BU2" s="733"/>
      <c r="BV2" s="733"/>
      <c r="BW2" s="733"/>
      <c r="BX2" s="733"/>
      <c r="BY2" s="733"/>
      <c r="BZ2" s="733"/>
      <c r="CA2" s="733"/>
      <c r="CB2" s="733"/>
      <c r="CC2" s="733"/>
      <c r="CD2" s="733"/>
      <c r="CE2" s="733"/>
      <c r="CF2" s="733"/>
      <c r="CH2" s="733"/>
      <c r="CI2" s="733"/>
      <c r="CJ2" s="733"/>
      <c r="CK2" s="733"/>
      <c r="CL2" s="733"/>
      <c r="CM2" s="733"/>
      <c r="CN2" s="733"/>
      <c r="CO2" s="733"/>
      <c r="CP2" s="733"/>
      <c r="CQ2" s="733"/>
      <c r="CR2" s="733"/>
      <c r="CS2" s="733"/>
      <c r="CT2" s="733"/>
      <c r="CU2" s="733"/>
      <c r="CV2" s="733"/>
      <c r="CX2" s="733"/>
      <c r="CY2" s="733"/>
      <c r="CZ2" s="733"/>
      <c r="DA2" s="733"/>
      <c r="DB2" s="733"/>
      <c r="DC2" s="733"/>
      <c r="DD2" s="733"/>
      <c r="DE2" s="733"/>
      <c r="DF2" s="733"/>
      <c r="DG2" s="733"/>
      <c r="DH2" s="733"/>
      <c r="DI2" s="733"/>
      <c r="DJ2" s="733"/>
      <c r="DK2" s="733"/>
      <c r="DL2" s="733"/>
      <c r="DN2" s="733"/>
      <c r="DO2" s="733"/>
      <c r="DP2" s="733"/>
      <c r="DQ2" s="733"/>
      <c r="DR2" s="733"/>
      <c r="DS2" s="733"/>
      <c r="DT2" s="733"/>
      <c r="DU2" s="733"/>
      <c r="DV2" s="733"/>
      <c r="DW2" s="733"/>
      <c r="DX2" s="733"/>
      <c r="DY2" s="733"/>
      <c r="DZ2" s="733"/>
      <c r="EA2" s="733"/>
      <c r="EB2" s="733"/>
      <c r="ED2" s="733"/>
      <c r="EE2" s="733"/>
      <c r="EF2" s="733"/>
      <c r="EG2" s="733"/>
      <c r="EH2" s="733"/>
      <c r="EI2" s="733"/>
      <c r="EJ2" s="733"/>
      <c r="EK2" s="733"/>
      <c r="EL2" s="733"/>
      <c r="EM2" s="733"/>
      <c r="EN2" s="733"/>
      <c r="EO2" s="733"/>
      <c r="EP2" s="733"/>
      <c r="EQ2" s="733"/>
      <c r="ER2" s="733"/>
      <c r="ET2" s="733"/>
      <c r="EU2" s="733"/>
      <c r="EV2" s="733"/>
      <c r="EW2" s="733"/>
      <c r="EX2" s="733"/>
      <c r="EY2" s="733"/>
      <c r="EZ2" s="733"/>
      <c r="FA2" s="733"/>
      <c r="FB2" s="733"/>
      <c r="FC2" s="733"/>
      <c r="FD2" s="733"/>
      <c r="FE2" s="733"/>
      <c r="FF2" s="733"/>
      <c r="FG2" s="733"/>
      <c r="FH2" s="733"/>
      <c r="FJ2" s="733"/>
      <c r="FK2" s="733"/>
      <c r="FL2" s="733"/>
      <c r="FM2" s="733"/>
      <c r="FN2" s="733"/>
      <c r="FO2" s="733"/>
      <c r="FP2" s="733"/>
      <c r="FQ2" s="733"/>
      <c r="FR2" s="733"/>
      <c r="FS2" s="733"/>
      <c r="FT2" s="733"/>
      <c r="FU2" s="733"/>
      <c r="FV2" s="733"/>
      <c r="FW2" s="733"/>
      <c r="FX2" s="733"/>
      <c r="FZ2" s="733"/>
      <c r="GA2" s="733"/>
      <c r="GB2" s="733"/>
      <c r="GC2" s="733"/>
      <c r="GD2" s="733"/>
      <c r="GE2" s="733"/>
      <c r="GF2" s="733"/>
      <c r="GG2" s="733"/>
      <c r="GH2" s="733"/>
      <c r="GI2" s="733"/>
      <c r="GJ2" s="733"/>
      <c r="GK2" s="733"/>
      <c r="GL2" s="733"/>
      <c r="GM2" s="733"/>
      <c r="GN2" s="733"/>
      <c r="GP2" s="733"/>
      <c r="GQ2" s="733"/>
      <c r="GR2" s="733"/>
      <c r="GS2" s="733"/>
      <c r="GT2" s="733"/>
      <c r="GU2" s="733"/>
      <c r="GV2" s="733"/>
      <c r="GW2" s="733"/>
      <c r="GX2" s="733"/>
      <c r="GY2" s="733"/>
      <c r="GZ2" s="733"/>
      <c r="HA2" s="733"/>
      <c r="HB2" s="733"/>
      <c r="HC2" s="733"/>
      <c r="HD2" s="733"/>
      <c r="HF2" s="733"/>
      <c r="HG2" s="733"/>
      <c r="HH2" s="733"/>
      <c r="HI2" s="733"/>
      <c r="HJ2" s="733"/>
      <c r="HK2" s="733"/>
      <c r="HL2" s="733"/>
      <c r="HM2" s="733"/>
      <c r="HN2" s="733"/>
      <c r="HO2" s="733"/>
      <c r="HP2" s="733"/>
      <c r="HQ2" s="733"/>
      <c r="HR2" s="733"/>
      <c r="HS2" s="733"/>
      <c r="HT2" s="733"/>
      <c r="HV2" s="733"/>
      <c r="HW2" s="733"/>
      <c r="HX2" s="733"/>
      <c r="HY2" s="733"/>
      <c r="HZ2" s="733"/>
      <c r="IA2" s="733"/>
      <c r="IB2" s="733"/>
      <c r="IC2" s="733"/>
      <c r="ID2" s="733"/>
      <c r="IE2" s="733"/>
      <c r="IF2" s="733"/>
      <c r="IG2" s="733"/>
      <c r="IH2" s="733"/>
      <c r="II2" s="733"/>
      <c r="IJ2" s="733"/>
    </row>
    <row r="3" spans="1:245">
      <c r="B3" s="730" t="s">
        <v>611</v>
      </c>
      <c r="C3" s="731" t="str">
        <f>InputSheet!D3</f>
        <v>ManTech Telecommunications and Information Systems Corporation</v>
      </c>
      <c r="D3" s="732"/>
      <c r="F3" s="733"/>
      <c r="G3" s="733"/>
      <c r="H3" s="733"/>
      <c r="I3" s="733"/>
      <c r="J3" s="733"/>
      <c r="K3" s="733"/>
      <c r="L3" s="733"/>
      <c r="M3" s="733"/>
      <c r="N3" s="733"/>
      <c r="O3" s="733"/>
      <c r="P3" s="733"/>
      <c r="Q3" s="733"/>
      <c r="R3" s="733"/>
      <c r="S3" s="733"/>
      <c r="T3" s="733"/>
      <c r="V3" s="733"/>
      <c r="W3" s="733"/>
      <c r="X3" s="733"/>
      <c r="Y3" s="733"/>
      <c r="Z3" s="733"/>
      <c r="AA3" s="733"/>
      <c r="AB3" s="733"/>
      <c r="AC3" s="733"/>
      <c r="AD3" s="733"/>
      <c r="AE3" s="733"/>
      <c r="AF3" s="733"/>
      <c r="AG3" s="733"/>
      <c r="AH3" s="733"/>
      <c r="AI3" s="733"/>
      <c r="AJ3" s="733"/>
      <c r="AL3" s="733"/>
      <c r="AM3" s="733"/>
      <c r="AN3" s="733"/>
      <c r="AO3" s="733"/>
      <c r="AP3" s="733"/>
      <c r="AQ3" s="733"/>
      <c r="AR3" s="733"/>
      <c r="AS3" s="733"/>
      <c r="AT3" s="733"/>
      <c r="AU3" s="733"/>
      <c r="AV3" s="733"/>
      <c r="AW3" s="733"/>
      <c r="AX3" s="733"/>
      <c r="AY3" s="733"/>
      <c r="AZ3" s="733"/>
      <c r="BB3" s="733"/>
      <c r="BC3" s="733"/>
      <c r="BD3" s="733"/>
      <c r="BE3" s="733"/>
      <c r="BF3" s="733"/>
      <c r="BG3" s="733"/>
      <c r="BH3" s="733"/>
      <c r="BI3" s="733"/>
      <c r="BJ3" s="733"/>
      <c r="BK3" s="733"/>
      <c r="BL3" s="733"/>
      <c r="BM3" s="733"/>
      <c r="BN3" s="733"/>
      <c r="BO3" s="733"/>
      <c r="BP3" s="733"/>
      <c r="BR3" s="733"/>
      <c r="BS3" s="733"/>
      <c r="BT3" s="733"/>
      <c r="BU3" s="733"/>
      <c r="BV3" s="733"/>
      <c r="BW3" s="733"/>
      <c r="BX3" s="733"/>
      <c r="BY3" s="733"/>
      <c r="BZ3" s="733"/>
      <c r="CA3" s="733"/>
      <c r="CB3" s="733"/>
      <c r="CC3" s="733"/>
      <c r="CD3" s="733"/>
      <c r="CE3" s="733"/>
      <c r="CF3" s="733"/>
      <c r="CH3" s="733"/>
      <c r="CI3" s="733"/>
      <c r="CJ3" s="733"/>
      <c r="CK3" s="733"/>
      <c r="CL3" s="733"/>
      <c r="CM3" s="733"/>
      <c r="CN3" s="733"/>
      <c r="CO3" s="733"/>
      <c r="CP3" s="733"/>
      <c r="CQ3" s="733"/>
      <c r="CR3" s="733"/>
      <c r="CS3" s="733"/>
      <c r="CT3" s="733"/>
      <c r="CU3" s="733"/>
      <c r="CV3" s="733"/>
      <c r="CX3" s="733"/>
      <c r="CY3" s="733"/>
      <c r="CZ3" s="733"/>
      <c r="DA3" s="733"/>
      <c r="DB3" s="733"/>
      <c r="DC3" s="733"/>
      <c r="DD3" s="733"/>
      <c r="DE3" s="733"/>
      <c r="DF3" s="733"/>
      <c r="DG3" s="733"/>
      <c r="DH3" s="733"/>
      <c r="DI3" s="733"/>
      <c r="DJ3" s="733"/>
      <c r="DK3" s="733"/>
      <c r="DL3" s="733"/>
      <c r="DN3" s="733"/>
      <c r="DO3" s="733"/>
      <c r="DP3" s="733"/>
      <c r="DQ3" s="733"/>
      <c r="DR3" s="733"/>
      <c r="DS3" s="733"/>
      <c r="DT3" s="733"/>
      <c r="DU3" s="733"/>
      <c r="DV3" s="733"/>
      <c r="DW3" s="733"/>
      <c r="DX3" s="733"/>
      <c r="DY3" s="733"/>
      <c r="DZ3" s="733"/>
      <c r="EA3" s="733"/>
      <c r="EB3" s="733"/>
      <c r="ED3" s="733"/>
      <c r="EE3" s="733"/>
      <c r="EF3" s="733"/>
      <c r="EG3" s="733"/>
      <c r="EH3" s="733"/>
      <c r="EI3" s="733"/>
      <c r="EJ3" s="733"/>
      <c r="EK3" s="733"/>
      <c r="EL3" s="733"/>
      <c r="EM3" s="733"/>
      <c r="EN3" s="733"/>
      <c r="EO3" s="733"/>
      <c r="EP3" s="733"/>
      <c r="EQ3" s="733"/>
      <c r="ER3" s="733"/>
      <c r="ET3" s="733"/>
      <c r="EU3" s="733"/>
      <c r="EV3" s="733"/>
      <c r="EW3" s="733"/>
      <c r="EX3" s="733"/>
      <c r="EY3" s="733"/>
      <c r="EZ3" s="733"/>
      <c r="FA3" s="733"/>
      <c r="FB3" s="733"/>
      <c r="FC3" s="733"/>
      <c r="FD3" s="733"/>
      <c r="FE3" s="733"/>
      <c r="FF3" s="733"/>
      <c r="FG3" s="733"/>
      <c r="FH3" s="733"/>
      <c r="FJ3" s="733"/>
      <c r="FK3" s="733"/>
      <c r="FL3" s="733"/>
      <c r="FM3" s="733"/>
      <c r="FN3" s="733"/>
      <c r="FO3" s="733"/>
      <c r="FP3" s="733"/>
      <c r="FQ3" s="733"/>
      <c r="FR3" s="733"/>
      <c r="FS3" s="733"/>
      <c r="FT3" s="733"/>
      <c r="FU3" s="733"/>
      <c r="FV3" s="733"/>
      <c r="FW3" s="733"/>
      <c r="FX3" s="733"/>
      <c r="FZ3" s="733"/>
      <c r="GA3" s="733"/>
      <c r="GB3" s="733"/>
      <c r="GC3" s="733"/>
      <c r="GD3" s="733"/>
      <c r="GE3" s="733"/>
      <c r="GF3" s="733"/>
      <c r="GG3" s="733"/>
      <c r="GH3" s="733"/>
      <c r="GI3" s="733"/>
      <c r="GJ3" s="733"/>
      <c r="GK3" s="733"/>
      <c r="GL3" s="733"/>
      <c r="GM3" s="733"/>
      <c r="GN3" s="733"/>
      <c r="GP3" s="733"/>
      <c r="GQ3" s="733"/>
      <c r="GR3" s="733"/>
      <c r="GS3" s="733"/>
      <c r="GT3" s="733"/>
      <c r="GU3" s="733"/>
      <c r="GV3" s="733"/>
      <c r="GW3" s="733"/>
      <c r="GX3" s="733"/>
      <c r="GY3" s="733"/>
      <c r="GZ3" s="733"/>
      <c r="HA3" s="733"/>
      <c r="HB3" s="733"/>
      <c r="HC3" s="733"/>
      <c r="HD3" s="733"/>
      <c r="HF3" s="733"/>
      <c r="HG3" s="733"/>
      <c r="HH3" s="733"/>
      <c r="HI3" s="733"/>
      <c r="HJ3" s="733"/>
      <c r="HK3" s="733"/>
      <c r="HL3" s="733"/>
      <c r="HM3" s="733"/>
      <c r="HN3" s="733"/>
      <c r="HO3" s="733"/>
      <c r="HP3" s="733"/>
      <c r="HQ3" s="733"/>
      <c r="HR3" s="733"/>
      <c r="HS3" s="733"/>
      <c r="HT3" s="733"/>
      <c r="HV3" s="733"/>
      <c r="HW3" s="733"/>
      <c r="HX3" s="733"/>
      <c r="HY3" s="733"/>
      <c r="HZ3" s="733"/>
      <c r="IA3" s="733"/>
      <c r="IB3" s="733"/>
      <c r="IC3" s="733"/>
      <c r="ID3" s="733"/>
      <c r="IE3" s="733"/>
      <c r="IF3" s="733"/>
      <c r="IG3" s="733"/>
      <c r="IH3" s="733"/>
      <c r="II3" s="733"/>
      <c r="IJ3" s="733"/>
    </row>
    <row r="4" spans="1:245" s="759" customFormat="1" ht="13.5" thickBot="1">
      <c r="A4" s="753"/>
      <c r="B4" s="754" t="s">
        <v>612</v>
      </c>
      <c r="C4" s="755" t="str">
        <f>InputSheet!D2</f>
        <v>CIS Consultant Services</v>
      </c>
      <c r="D4" s="756"/>
      <c r="E4" s="757"/>
      <c r="F4" s="758"/>
      <c r="G4" s="758"/>
      <c r="H4" s="758"/>
      <c r="I4" s="758"/>
      <c r="J4" s="758"/>
      <c r="K4" s="758"/>
      <c r="L4" s="758"/>
      <c r="M4" s="758"/>
      <c r="N4" s="758"/>
      <c r="O4" s="758"/>
      <c r="P4" s="758"/>
      <c r="Q4" s="758"/>
      <c r="R4" s="758"/>
      <c r="S4" s="758"/>
      <c r="T4" s="758"/>
      <c r="V4" s="758"/>
      <c r="W4" s="758"/>
      <c r="X4" s="758"/>
      <c r="Y4" s="758"/>
      <c r="Z4" s="758"/>
      <c r="AA4" s="758"/>
      <c r="AB4" s="758"/>
      <c r="AC4" s="758"/>
      <c r="AD4" s="758"/>
      <c r="AE4" s="758"/>
      <c r="AF4" s="758"/>
      <c r="AG4" s="758"/>
      <c r="AH4" s="758"/>
      <c r="AI4" s="758"/>
      <c r="AJ4" s="758"/>
      <c r="AL4" s="758"/>
      <c r="AM4" s="758"/>
      <c r="AN4" s="758"/>
      <c r="AO4" s="758"/>
      <c r="AP4" s="758"/>
      <c r="AQ4" s="758"/>
      <c r="AR4" s="758"/>
      <c r="AS4" s="758"/>
      <c r="AT4" s="758"/>
      <c r="AU4" s="758"/>
      <c r="AV4" s="758"/>
      <c r="AW4" s="758"/>
      <c r="AX4" s="758"/>
      <c r="AY4" s="758"/>
      <c r="AZ4" s="758"/>
      <c r="BB4" s="758"/>
      <c r="BC4" s="758"/>
      <c r="BD4" s="758"/>
      <c r="BE4" s="758"/>
      <c r="BF4" s="758"/>
      <c r="BG4" s="758"/>
      <c r="BH4" s="758"/>
      <c r="BI4" s="758"/>
      <c r="BJ4" s="758"/>
      <c r="BK4" s="758"/>
      <c r="BL4" s="758"/>
      <c r="BM4" s="758"/>
      <c r="BN4" s="758"/>
      <c r="BO4" s="758"/>
      <c r="BP4" s="758"/>
      <c r="BR4" s="758"/>
      <c r="BS4" s="758"/>
      <c r="BT4" s="758"/>
      <c r="BU4" s="758"/>
      <c r="BV4" s="758"/>
      <c r="BW4" s="758"/>
      <c r="BX4" s="758"/>
      <c r="BY4" s="758"/>
      <c r="BZ4" s="758"/>
      <c r="CA4" s="758"/>
      <c r="CB4" s="758"/>
      <c r="CC4" s="758"/>
      <c r="CD4" s="758"/>
      <c r="CE4" s="758"/>
      <c r="CF4" s="758"/>
      <c r="CH4" s="758"/>
      <c r="CI4" s="758"/>
      <c r="CJ4" s="758"/>
      <c r="CK4" s="758"/>
      <c r="CL4" s="758"/>
      <c r="CM4" s="758"/>
      <c r="CN4" s="758"/>
      <c r="CO4" s="758"/>
      <c r="CP4" s="758"/>
      <c r="CQ4" s="758"/>
      <c r="CR4" s="758"/>
      <c r="CS4" s="758"/>
      <c r="CT4" s="758"/>
      <c r="CU4" s="758"/>
      <c r="CV4" s="758"/>
      <c r="CX4" s="758"/>
      <c r="CY4" s="758"/>
      <c r="CZ4" s="758"/>
      <c r="DA4" s="758"/>
      <c r="DB4" s="758"/>
      <c r="DC4" s="758"/>
      <c r="DD4" s="758"/>
      <c r="DE4" s="758"/>
      <c r="DF4" s="758"/>
      <c r="DG4" s="758"/>
      <c r="DH4" s="758"/>
      <c r="DI4" s="758"/>
      <c r="DJ4" s="758"/>
      <c r="DK4" s="758"/>
      <c r="DL4" s="758"/>
      <c r="DN4" s="758"/>
      <c r="DO4" s="758"/>
      <c r="DP4" s="758"/>
      <c r="DQ4" s="758"/>
      <c r="DR4" s="758"/>
      <c r="DS4" s="758"/>
      <c r="DT4" s="758"/>
      <c r="DU4" s="758"/>
      <c r="DV4" s="758"/>
      <c r="DW4" s="758"/>
      <c r="DX4" s="758"/>
      <c r="DY4" s="758"/>
      <c r="DZ4" s="758"/>
      <c r="EA4" s="758"/>
      <c r="EB4" s="758"/>
      <c r="ED4" s="758"/>
      <c r="EE4" s="758"/>
      <c r="EF4" s="758"/>
      <c r="EG4" s="758"/>
      <c r="EH4" s="758"/>
      <c r="EI4" s="758"/>
      <c r="EJ4" s="758"/>
      <c r="EK4" s="758"/>
      <c r="EL4" s="758"/>
      <c r="EM4" s="758"/>
      <c r="EN4" s="758"/>
      <c r="EO4" s="758"/>
      <c r="EP4" s="758"/>
      <c r="EQ4" s="758"/>
      <c r="ER4" s="758"/>
      <c r="ET4" s="758"/>
      <c r="EU4" s="758"/>
      <c r="EV4" s="758"/>
      <c r="EW4" s="758"/>
      <c r="EX4" s="758"/>
      <c r="EY4" s="758"/>
      <c r="EZ4" s="758"/>
      <c r="FA4" s="758"/>
      <c r="FB4" s="758"/>
      <c r="FC4" s="758"/>
      <c r="FD4" s="758"/>
      <c r="FE4" s="758"/>
      <c r="FF4" s="758"/>
      <c r="FG4" s="758"/>
      <c r="FH4" s="758"/>
      <c r="FJ4" s="758"/>
      <c r="FK4" s="758"/>
      <c r="FL4" s="758"/>
      <c r="FM4" s="758"/>
      <c r="FN4" s="758"/>
      <c r="FO4" s="758"/>
      <c r="FP4" s="758"/>
      <c r="FQ4" s="758"/>
      <c r="FR4" s="758"/>
      <c r="FS4" s="758"/>
      <c r="FT4" s="758"/>
      <c r="FU4" s="758"/>
      <c r="FV4" s="758"/>
      <c r="FW4" s="758"/>
      <c r="FX4" s="758"/>
      <c r="FZ4" s="758"/>
      <c r="GA4" s="758"/>
      <c r="GB4" s="758"/>
      <c r="GC4" s="758"/>
      <c r="GD4" s="758"/>
      <c r="GE4" s="758"/>
      <c r="GF4" s="758"/>
      <c r="GG4" s="758"/>
      <c r="GH4" s="758"/>
      <c r="GI4" s="758"/>
      <c r="GJ4" s="758"/>
      <c r="GK4" s="758"/>
      <c r="GL4" s="758"/>
      <c r="GM4" s="758"/>
      <c r="GN4" s="758"/>
      <c r="GP4" s="758"/>
      <c r="GQ4" s="758"/>
      <c r="GR4" s="758"/>
      <c r="GS4" s="758"/>
      <c r="GT4" s="758"/>
      <c r="GU4" s="758"/>
      <c r="GV4" s="758"/>
      <c r="GW4" s="758"/>
      <c r="GX4" s="758"/>
      <c r="GY4" s="758"/>
      <c r="GZ4" s="758"/>
      <c r="HA4" s="758"/>
      <c r="HB4" s="758"/>
      <c r="HC4" s="758"/>
      <c r="HD4" s="758"/>
      <c r="HF4" s="758"/>
      <c r="HG4" s="758"/>
      <c r="HH4" s="758"/>
      <c r="HI4" s="758"/>
      <c r="HJ4" s="758"/>
      <c r="HK4" s="758"/>
      <c r="HL4" s="758"/>
      <c r="HM4" s="758"/>
      <c r="HN4" s="758"/>
      <c r="HO4" s="758"/>
      <c r="HP4" s="758"/>
      <c r="HQ4" s="758"/>
      <c r="HR4" s="758"/>
      <c r="HS4" s="758"/>
      <c r="HT4" s="758"/>
      <c r="HV4" s="758"/>
      <c r="HW4" s="758"/>
      <c r="HX4" s="758"/>
      <c r="HY4" s="758"/>
      <c r="HZ4" s="758"/>
      <c r="IA4" s="758"/>
      <c r="IB4" s="758"/>
      <c r="IC4" s="758"/>
      <c r="ID4" s="758"/>
      <c r="IE4" s="758"/>
      <c r="IF4" s="758"/>
      <c r="IG4" s="758"/>
      <c r="IH4" s="758"/>
      <c r="II4" s="758"/>
      <c r="IJ4" s="758"/>
    </row>
    <row r="5" spans="1:245" ht="11.25" customHeight="1">
      <c r="A5" s="734"/>
      <c r="B5" s="735"/>
      <c r="C5" s="736"/>
      <c r="D5" s="731"/>
      <c r="F5" s="737"/>
      <c r="G5" s="737"/>
      <c r="H5" s="737"/>
      <c r="I5" s="737"/>
      <c r="J5" s="737"/>
      <c r="K5" s="737"/>
      <c r="L5" s="737"/>
      <c r="M5" s="737"/>
      <c r="N5" s="737"/>
      <c r="O5" s="737"/>
      <c r="P5" s="737"/>
      <c r="Q5" s="737"/>
      <c r="R5" s="737"/>
      <c r="S5" s="737"/>
      <c r="T5" s="737"/>
      <c r="V5" s="737"/>
      <c r="W5" s="737"/>
      <c r="X5" s="737"/>
      <c r="Y5" s="737"/>
      <c r="Z5" s="737"/>
      <c r="AA5" s="737"/>
      <c r="AB5" s="737"/>
      <c r="AC5" s="737"/>
      <c r="AD5" s="737"/>
      <c r="AE5" s="737"/>
      <c r="AF5" s="737"/>
      <c r="AG5" s="737"/>
      <c r="AH5" s="737"/>
      <c r="AI5" s="737"/>
      <c r="AJ5" s="737"/>
      <c r="AL5" s="737"/>
      <c r="AM5" s="737"/>
      <c r="AN5" s="737"/>
      <c r="AO5" s="737"/>
      <c r="AP5" s="737"/>
      <c r="AQ5" s="737"/>
      <c r="AR5" s="737"/>
      <c r="AS5" s="737"/>
      <c r="AT5" s="737"/>
      <c r="AU5" s="737"/>
      <c r="AV5" s="737"/>
      <c r="AW5" s="737"/>
      <c r="AX5" s="737"/>
      <c r="AY5" s="737"/>
      <c r="AZ5" s="737"/>
      <c r="BB5" s="737"/>
      <c r="BC5" s="737"/>
      <c r="BD5" s="737"/>
      <c r="BE5" s="737"/>
      <c r="BF5" s="737"/>
      <c r="BG5" s="737"/>
      <c r="BH5" s="737"/>
      <c r="BI5" s="737"/>
      <c r="BJ5" s="737"/>
      <c r="BK5" s="737"/>
      <c r="BL5" s="737"/>
      <c r="BM5" s="737"/>
      <c r="BN5" s="737"/>
      <c r="BO5" s="737"/>
      <c r="BP5" s="737"/>
      <c r="BR5" s="737"/>
      <c r="BS5" s="737"/>
      <c r="BT5" s="737"/>
      <c r="BU5" s="737"/>
      <c r="BV5" s="737"/>
      <c r="BW5" s="737"/>
      <c r="BX5" s="737"/>
      <c r="BY5" s="737"/>
      <c r="BZ5" s="737"/>
      <c r="CA5" s="737"/>
      <c r="CB5" s="737"/>
      <c r="CC5" s="737"/>
      <c r="CD5" s="737"/>
      <c r="CE5" s="737"/>
      <c r="CF5" s="737"/>
      <c r="CH5" s="737"/>
      <c r="CI5" s="737"/>
      <c r="CJ5" s="737"/>
      <c r="CK5" s="737"/>
      <c r="CL5" s="737"/>
      <c r="CM5" s="737"/>
      <c r="CN5" s="737"/>
      <c r="CO5" s="737"/>
      <c r="CP5" s="737"/>
      <c r="CQ5" s="737"/>
      <c r="CR5" s="737"/>
      <c r="CS5" s="737"/>
      <c r="CT5" s="737"/>
      <c r="CU5" s="737"/>
      <c r="CV5" s="737"/>
      <c r="CX5" s="737"/>
      <c r="CY5" s="737"/>
      <c r="CZ5" s="737"/>
      <c r="DA5" s="737"/>
      <c r="DB5" s="737"/>
      <c r="DC5" s="737"/>
      <c r="DD5" s="737"/>
      <c r="DE5" s="737"/>
      <c r="DF5" s="737"/>
      <c r="DG5" s="737"/>
      <c r="DH5" s="737"/>
      <c r="DI5" s="737"/>
      <c r="DJ5" s="737"/>
      <c r="DK5" s="737"/>
      <c r="DL5" s="737"/>
      <c r="DN5" s="737"/>
      <c r="DO5" s="737"/>
      <c r="DP5" s="737"/>
      <c r="DQ5" s="737"/>
      <c r="DR5" s="737"/>
      <c r="DS5" s="737"/>
      <c r="DT5" s="737"/>
      <c r="DU5" s="737"/>
      <c r="DV5" s="737"/>
      <c r="DW5" s="737"/>
      <c r="DX5" s="737"/>
      <c r="DY5" s="737"/>
      <c r="DZ5" s="737"/>
      <c r="EA5" s="737"/>
      <c r="EB5" s="737"/>
      <c r="ED5" s="737"/>
      <c r="EE5" s="737"/>
      <c r="EF5" s="737"/>
      <c r="EG5" s="737"/>
      <c r="EH5" s="737"/>
      <c r="EI5" s="737"/>
      <c r="EJ5" s="737"/>
      <c r="EK5" s="737"/>
      <c r="EL5" s="737"/>
      <c r="EM5" s="737"/>
      <c r="EN5" s="737"/>
      <c r="EO5" s="737"/>
      <c r="EP5" s="737"/>
      <c r="EQ5" s="737"/>
      <c r="ER5" s="737"/>
      <c r="ET5" s="737"/>
      <c r="EU5" s="737"/>
      <c r="EV5" s="737"/>
      <c r="EW5" s="737"/>
      <c r="EX5" s="737"/>
      <c r="EY5" s="737"/>
      <c r="EZ5" s="737"/>
      <c r="FA5" s="737"/>
      <c r="FB5" s="737"/>
      <c r="FC5" s="737"/>
      <c r="FD5" s="737"/>
      <c r="FE5" s="737"/>
      <c r="FF5" s="737"/>
      <c r="FG5" s="737"/>
      <c r="FH5" s="737"/>
      <c r="FJ5" s="737"/>
      <c r="FK5" s="737"/>
      <c r="FL5" s="737"/>
      <c r="FM5" s="737"/>
      <c r="FN5" s="737"/>
      <c r="FO5" s="737"/>
      <c r="FP5" s="737"/>
      <c r="FQ5" s="737"/>
      <c r="FR5" s="737"/>
      <c r="FS5" s="737"/>
      <c r="FT5" s="737"/>
      <c r="FU5" s="737"/>
      <c r="FV5" s="737"/>
      <c r="FW5" s="737"/>
      <c r="FX5" s="737"/>
      <c r="FZ5" s="737"/>
      <c r="GA5" s="737"/>
      <c r="GB5" s="737"/>
      <c r="GC5" s="737"/>
      <c r="GD5" s="737"/>
      <c r="GE5" s="737"/>
      <c r="GF5" s="737"/>
      <c r="GG5" s="737"/>
      <c r="GH5" s="737"/>
      <c r="GI5" s="737"/>
      <c r="GJ5" s="737"/>
      <c r="GK5" s="737"/>
      <c r="GL5" s="737"/>
      <c r="GM5" s="737"/>
      <c r="GN5" s="737"/>
      <c r="GP5" s="737"/>
      <c r="GQ5" s="737"/>
      <c r="GR5" s="737"/>
      <c r="GS5" s="737"/>
      <c r="GT5" s="737"/>
      <c r="GU5" s="737"/>
      <c r="GV5" s="737"/>
      <c r="GW5" s="737"/>
      <c r="GX5" s="737"/>
      <c r="GY5" s="737"/>
      <c r="GZ5" s="737"/>
      <c r="HA5" s="737"/>
      <c r="HB5" s="737"/>
      <c r="HC5" s="737"/>
      <c r="HD5" s="737"/>
      <c r="HF5" s="737"/>
      <c r="HG5" s="737"/>
      <c r="HH5" s="737"/>
      <c r="HI5" s="737"/>
      <c r="HJ5" s="737"/>
      <c r="HK5" s="737"/>
      <c r="HL5" s="737"/>
      <c r="HM5" s="737"/>
      <c r="HN5" s="737"/>
      <c r="HO5" s="737"/>
      <c r="HP5" s="737"/>
      <c r="HQ5" s="737"/>
      <c r="HR5" s="737"/>
      <c r="HS5" s="737"/>
      <c r="HT5" s="737"/>
      <c r="HV5" s="737"/>
      <c r="HW5" s="737"/>
      <c r="HX5" s="737"/>
      <c r="HY5" s="737"/>
      <c r="HZ5" s="737"/>
      <c r="IA5" s="737"/>
      <c r="IB5" s="737"/>
      <c r="IC5" s="737"/>
      <c r="ID5" s="737"/>
      <c r="IE5" s="737"/>
      <c r="IF5" s="737"/>
      <c r="IG5" s="737"/>
      <c r="IH5" s="737"/>
      <c r="II5" s="737"/>
      <c r="IJ5" s="737"/>
    </row>
    <row r="6" spans="1:245" ht="13.5" thickBot="1">
      <c r="B6" s="730" t="s">
        <v>711</v>
      </c>
      <c r="C6" s="738"/>
      <c r="D6" s="220"/>
      <c r="E6" s="739"/>
      <c r="F6" s="778" t="str">
        <f>InputSheet!$C$22</f>
        <v>Base Year</v>
      </c>
      <c r="G6" s="740"/>
      <c r="H6" s="741"/>
      <c r="I6" s="737"/>
      <c r="J6" s="737"/>
      <c r="K6" s="737"/>
      <c r="L6" s="737"/>
      <c r="M6" s="737"/>
      <c r="N6" s="737"/>
      <c r="O6" s="737"/>
      <c r="P6" s="737"/>
      <c r="Q6" s="737"/>
      <c r="R6" s="737"/>
      <c r="S6" s="737"/>
      <c r="T6" s="737"/>
      <c r="V6" s="778" t="str">
        <f>InputSheet!$C$23</f>
        <v>Option Year 1</v>
      </c>
      <c r="W6" s="740"/>
      <c r="X6" s="741"/>
      <c r="Y6" s="737"/>
      <c r="Z6" s="737"/>
      <c r="AA6" s="737"/>
      <c r="AB6" s="737"/>
      <c r="AC6" s="737"/>
      <c r="AD6" s="737"/>
      <c r="AE6" s="737"/>
      <c r="AF6" s="737"/>
      <c r="AG6" s="737"/>
      <c r="AH6" s="737"/>
      <c r="AI6" s="737"/>
      <c r="AJ6" s="737"/>
      <c r="AL6" s="778" t="str">
        <f>InputSheet!$C$24</f>
        <v>Option Year 2</v>
      </c>
      <c r="AM6" s="740"/>
      <c r="AN6" s="741"/>
      <c r="AO6" s="737"/>
      <c r="AP6" s="737"/>
      <c r="AQ6" s="737"/>
      <c r="AR6" s="737"/>
      <c r="AS6" s="737"/>
      <c r="AT6" s="737"/>
      <c r="AU6" s="737"/>
      <c r="AV6" s="737"/>
      <c r="AW6" s="737"/>
      <c r="AX6" s="737"/>
      <c r="AY6" s="737"/>
      <c r="AZ6" s="737"/>
      <c r="BB6" s="778" t="str">
        <f>InputSheet!$C$25</f>
        <v>Training and Processing</v>
      </c>
      <c r="BC6" s="740"/>
      <c r="BD6" s="741"/>
      <c r="BE6" s="737"/>
      <c r="BF6" s="737"/>
      <c r="BG6" s="737"/>
      <c r="BH6" s="737"/>
      <c r="BI6" s="737"/>
      <c r="BJ6" s="737"/>
      <c r="BK6" s="737"/>
      <c r="BL6" s="737"/>
      <c r="BM6" s="737"/>
      <c r="BN6" s="737"/>
      <c r="BO6" s="737"/>
      <c r="BP6" s="737"/>
      <c r="BR6" s="778">
        <f>InputSheet!$C$26</f>
        <v>0</v>
      </c>
      <c r="BS6" s="740"/>
      <c r="BT6" s="741"/>
      <c r="BU6" s="737"/>
      <c r="BV6" s="737"/>
      <c r="BW6" s="737"/>
      <c r="BX6" s="737"/>
      <c r="BY6" s="737"/>
      <c r="BZ6" s="737"/>
      <c r="CA6" s="737"/>
      <c r="CB6" s="737"/>
      <c r="CC6" s="737"/>
      <c r="CD6" s="737"/>
      <c r="CE6" s="737"/>
      <c r="CF6" s="737"/>
      <c r="CH6" s="778" t="str">
        <f>InputSheet!$C$27</f>
        <v>Option Year 5</v>
      </c>
      <c r="CI6" s="740"/>
      <c r="CJ6" s="741"/>
      <c r="CK6" s="737"/>
      <c r="CL6" s="737"/>
      <c r="CM6" s="737"/>
      <c r="CN6" s="737"/>
      <c r="CO6" s="737"/>
      <c r="CP6" s="737"/>
      <c r="CQ6" s="737"/>
      <c r="CR6" s="737"/>
      <c r="CS6" s="737"/>
      <c r="CT6" s="737"/>
      <c r="CU6" s="737"/>
      <c r="CV6" s="737"/>
      <c r="CX6" s="778" t="str">
        <f>InputSheet!$C$28</f>
        <v>Option Year 6</v>
      </c>
      <c r="CY6" s="740"/>
      <c r="CZ6" s="741"/>
      <c r="DA6" s="737"/>
      <c r="DB6" s="737"/>
      <c r="DC6" s="737"/>
      <c r="DD6" s="737"/>
      <c r="DE6" s="737"/>
      <c r="DF6" s="737"/>
      <c r="DG6" s="737"/>
      <c r="DH6" s="737"/>
      <c r="DI6" s="737"/>
      <c r="DJ6" s="737"/>
      <c r="DK6" s="737"/>
      <c r="DL6" s="737"/>
      <c r="DN6" s="778" t="str">
        <f>InputSheet!$C$29</f>
        <v>Option Year 7</v>
      </c>
      <c r="DO6" s="740"/>
      <c r="DP6" s="741"/>
      <c r="DQ6" s="737"/>
      <c r="DR6" s="737"/>
      <c r="DS6" s="737"/>
      <c r="DT6" s="737"/>
      <c r="DU6" s="737"/>
      <c r="DV6" s="737"/>
      <c r="DW6" s="737"/>
      <c r="DX6" s="737"/>
      <c r="DY6" s="737"/>
      <c r="DZ6" s="737"/>
      <c r="EA6" s="737"/>
      <c r="EB6" s="737"/>
      <c r="ED6" s="778" t="str">
        <f>InputSheet!$C$30</f>
        <v>Option Year 8</v>
      </c>
      <c r="EE6" s="740"/>
      <c r="EF6" s="741"/>
      <c r="EG6" s="737"/>
      <c r="EH6" s="737"/>
      <c r="EI6" s="737"/>
      <c r="EJ6" s="737"/>
      <c r="EK6" s="737"/>
      <c r="EL6" s="737"/>
      <c r="EM6" s="737"/>
      <c r="EN6" s="737"/>
      <c r="EO6" s="737"/>
      <c r="EP6" s="737"/>
      <c r="EQ6" s="737"/>
      <c r="ER6" s="737"/>
      <c r="ET6" s="778" t="str">
        <f>InputSheet!$C$31</f>
        <v>Option Year 9</v>
      </c>
      <c r="EU6" s="740"/>
      <c r="EV6" s="741"/>
      <c r="EW6" s="737"/>
      <c r="EX6" s="737"/>
      <c r="EY6" s="737"/>
      <c r="EZ6" s="737"/>
      <c r="FA6" s="737"/>
      <c r="FB6" s="737"/>
      <c r="FC6" s="737"/>
      <c r="FD6" s="737"/>
      <c r="FE6" s="737"/>
      <c r="FF6" s="737"/>
      <c r="FG6" s="737"/>
      <c r="FH6" s="737"/>
      <c r="FJ6" s="778" t="str">
        <f>InputSheet!$C$32</f>
        <v>Option Year 10</v>
      </c>
      <c r="FK6" s="740"/>
      <c r="FL6" s="741"/>
      <c r="FM6" s="737"/>
      <c r="FN6" s="737"/>
      <c r="FO6" s="737"/>
      <c r="FP6" s="737"/>
      <c r="FQ6" s="737"/>
      <c r="FR6" s="737"/>
      <c r="FS6" s="737"/>
      <c r="FT6" s="737"/>
      <c r="FU6" s="737"/>
      <c r="FV6" s="737"/>
      <c r="FW6" s="737"/>
      <c r="FX6" s="737"/>
      <c r="FZ6" s="778" t="str">
        <f>InputSheet!$C$33</f>
        <v>Option Year 11</v>
      </c>
      <c r="GA6" s="740"/>
      <c r="GB6" s="741"/>
      <c r="GC6" s="737"/>
      <c r="GD6" s="737"/>
      <c r="GE6" s="737"/>
      <c r="GF6" s="737"/>
      <c r="GG6" s="737"/>
      <c r="GH6" s="737"/>
      <c r="GI6" s="737"/>
      <c r="GJ6" s="737"/>
      <c r="GK6" s="737"/>
      <c r="GL6" s="737"/>
      <c r="GM6" s="737"/>
      <c r="GN6" s="737"/>
      <c r="GP6" s="778" t="str">
        <f>InputSheet!$C$34</f>
        <v>Option Year 12</v>
      </c>
      <c r="GQ6" s="740"/>
      <c r="GR6" s="741"/>
      <c r="GS6" s="737"/>
      <c r="GT6" s="737"/>
      <c r="GU6" s="737"/>
      <c r="GV6" s="737"/>
      <c r="GW6" s="737"/>
      <c r="GX6" s="737"/>
      <c r="GY6" s="737"/>
      <c r="GZ6" s="737"/>
      <c r="HA6" s="737"/>
      <c r="HB6" s="737"/>
      <c r="HC6" s="737"/>
      <c r="HD6" s="737"/>
      <c r="HF6" s="778" t="str">
        <f>InputSheet!$C$35</f>
        <v>Option Year 13</v>
      </c>
      <c r="HG6" s="740"/>
      <c r="HH6" s="741"/>
      <c r="HI6" s="737"/>
      <c r="HJ6" s="737"/>
      <c r="HK6" s="737"/>
      <c r="HL6" s="737"/>
      <c r="HM6" s="737"/>
      <c r="HN6" s="737"/>
      <c r="HO6" s="737"/>
      <c r="HP6" s="737"/>
      <c r="HQ6" s="737"/>
      <c r="HR6" s="737"/>
      <c r="HS6" s="737"/>
      <c r="HT6" s="737"/>
      <c r="HV6" s="778" t="str">
        <f>InputSheet!$C$36</f>
        <v>Option Year 14</v>
      </c>
      <c r="HW6" s="740"/>
      <c r="HX6" s="741"/>
      <c r="HY6" s="737"/>
      <c r="HZ6" s="737"/>
      <c r="IA6" s="737"/>
      <c r="IB6" s="737"/>
      <c r="IC6" s="737"/>
      <c r="ID6" s="737"/>
      <c r="IE6" s="737"/>
      <c r="IF6" s="737"/>
      <c r="IG6" s="737"/>
      <c r="IH6" s="737"/>
      <c r="II6" s="737"/>
      <c r="IJ6" s="737"/>
    </row>
    <row r="7" spans="1:245" s="740" customFormat="1" ht="13.5" thickBot="1">
      <c r="A7" s="653"/>
      <c r="B7" s="742"/>
      <c r="C7" s="742"/>
      <c r="D7" s="648"/>
      <c r="E7" s="779"/>
      <c r="F7" s="790" t="str">
        <f>InputSheet!$C149</f>
        <v>Segovia, Inc.</v>
      </c>
      <c r="G7" s="780" t="str">
        <f>InputSheet!$C150</f>
        <v>Briggs and Sons</v>
      </c>
      <c r="H7" s="780" t="str">
        <f>InputSheet!$C151</f>
        <v>Yvan</v>
      </c>
      <c r="I7" s="780" t="str">
        <f>InputSheet!$C152</f>
        <v>Sub 4</v>
      </c>
      <c r="J7" s="780" t="str">
        <f>InputSheet!$C153</f>
        <v>Sub 5</v>
      </c>
      <c r="K7" s="780" t="str">
        <f>InputSheet!$C154</f>
        <v>Sub 6</v>
      </c>
      <c r="L7" s="780" t="str">
        <f>InputSheet!$C155</f>
        <v>Sub 7</v>
      </c>
      <c r="M7" s="780" t="str">
        <f>InputSheet!$C156</f>
        <v>Sub 8</v>
      </c>
      <c r="N7" s="780" t="str">
        <f>InputSheet!$C157</f>
        <v>Sub 9</v>
      </c>
      <c r="O7" s="780" t="str">
        <f>InputSheet!$C158</f>
        <v>Sub 10</v>
      </c>
      <c r="P7" s="780" t="str">
        <f>InputSheet!$C159</f>
        <v>Sub 11</v>
      </c>
      <c r="Q7" s="780" t="str">
        <f>InputSheet!$C160</f>
        <v>Sub 12</v>
      </c>
      <c r="R7" s="780" t="str">
        <f>InputSheet!$C161</f>
        <v>Sub 13</v>
      </c>
      <c r="S7" s="780" t="str">
        <f>InputSheet!$C162</f>
        <v>Sub 14</v>
      </c>
      <c r="T7" s="780" t="str">
        <f>InputSheet!$C163</f>
        <v>Sub 15</v>
      </c>
      <c r="U7" s="781"/>
      <c r="V7" s="780" t="str">
        <f>InputSheet!$C149</f>
        <v>Segovia, Inc.</v>
      </c>
      <c r="W7" s="780" t="str">
        <f>InputSheet!$C150</f>
        <v>Briggs and Sons</v>
      </c>
      <c r="X7" s="780" t="str">
        <f>InputSheet!$C151</f>
        <v>Yvan</v>
      </c>
      <c r="Y7" s="780" t="str">
        <f>InputSheet!$C152</f>
        <v>Sub 4</v>
      </c>
      <c r="Z7" s="780" t="str">
        <f>InputSheet!$C153</f>
        <v>Sub 5</v>
      </c>
      <c r="AA7" s="780" t="str">
        <f>InputSheet!$C154</f>
        <v>Sub 6</v>
      </c>
      <c r="AB7" s="780" t="str">
        <f>InputSheet!$C155</f>
        <v>Sub 7</v>
      </c>
      <c r="AC7" s="780" t="str">
        <f>InputSheet!$C156</f>
        <v>Sub 8</v>
      </c>
      <c r="AD7" s="780" t="str">
        <f>InputSheet!$C157</f>
        <v>Sub 9</v>
      </c>
      <c r="AE7" s="780" t="str">
        <f>InputSheet!$C158</f>
        <v>Sub 10</v>
      </c>
      <c r="AF7" s="780" t="str">
        <f>InputSheet!$C159</f>
        <v>Sub 11</v>
      </c>
      <c r="AG7" s="780" t="str">
        <f>InputSheet!$C160</f>
        <v>Sub 12</v>
      </c>
      <c r="AH7" s="780" t="str">
        <f>InputSheet!$C161</f>
        <v>Sub 13</v>
      </c>
      <c r="AI7" s="780" t="str">
        <f>InputSheet!$C162</f>
        <v>Sub 14</v>
      </c>
      <c r="AJ7" s="780" t="str">
        <f>InputSheet!$C163</f>
        <v>Sub 15</v>
      </c>
      <c r="AK7" s="781"/>
      <c r="AL7" s="780" t="str">
        <f>InputSheet!$C149</f>
        <v>Segovia, Inc.</v>
      </c>
      <c r="AM7" s="780" t="str">
        <f>InputSheet!$C150</f>
        <v>Briggs and Sons</v>
      </c>
      <c r="AN7" s="780" t="str">
        <f>InputSheet!$C151</f>
        <v>Yvan</v>
      </c>
      <c r="AO7" s="780" t="str">
        <f>InputSheet!$C152</f>
        <v>Sub 4</v>
      </c>
      <c r="AP7" s="780" t="str">
        <f>InputSheet!$C153</f>
        <v>Sub 5</v>
      </c>
      <c r="AQ7" s="780" t="str">
        <f>InputSheet!$C154</f>
        <v>Sub 6</v>
      </c>
      <c r="AR7" s="780" t="str">
        <f>InputSheet!$C155</f>
        <v>Sub 7</v>
      </c>
      <c r="AS7" s="780" t="str">
        <f>InputSheet!$C156</f>
        <v>Sub 8</v>
      </c>
      <c r="AT7" s="780" t="str">
        <f>InputSheet!$C157</f>
        <v>Sub 9</v>
      </c>
      <c r="AU7" s="780" t="str">
        <f>InputSheet!$C158</f>
        <v>Sub 10</v>
      </c>
      <c r="AV7" s="780" t="str">
        <f>InputSheet!$C159</f>
        <v>Sub 11</v>
      </c>
      <c r="AW7" s="780" t="str">
        <f>InputSheet!$C160</f>
        <v>Sub 12</v>
      </c>
      <c r="AX7" s="780" t="str">
        <f>InputSheet!$C161</f>
        <v>Sub 13</v>
      </c>
      <c r="AY7" s="780" t="str">
        <f>InputSheet!$C162</f>
        <v>Sub 14</v>
      </c>
      <c r="AZ7" s="780" t="str">
        <f>InputSheet!$C163</f>
        <v>Sub 15</v>
      </c>
      <c r="BA7" s="781"/>
      <c r="BB7" s="780" t="str">
        <f>InputSheet!$C149</f>
        <v>Segovia, Inc.</v>
      </c>
      <c r="BC7" s="780" t="str">
        <f>InputSheet!$C150</f>
        <v>Briggs and Sons</v>
      </c>
      <c r="BD7" s="780" t="str">
        <f>InputSheet!$C151</f>
        <v>Yvan</v>
      </c>
      <c r="BE7" s="780" t="str">
        <f>InputSheet!$C152</f>
        <v>Sub 4</v>
      </c>
      <c r="BF7" s="780" t="str">
        <f>InputSheet!$C153</f>
        <v>Sub 5</v>
      </c>
      <c r="BG7" s="780" t="str">
        <f>InputSheet!$C154</f>
        <v>Sub 6</v>
      </c>
      <c r="BH7" s="780" t="str">
        <f>InputSheet!$C155</f>
        <v>Sub 7</v>
      </c>
      <c r="BI7" s="780" t="str">
        <f>InputSheet!$C156</f>
        <v>Sub 8</v>
      </c>
      <c r="BJ7" s="780" t="str">
        <f>InputSheet!$C157</f>
        <v>Sub 9</v>
      </c>
      <c r="BK7" s="780" t="str">
        <f>InputSheet!$C158</f>
        <v>Sub 10</v>
      </c>
      <c r="BL7" s="780" t="str">
        <f>InputSheet!$C159</f>
        <v>Sub 11</v>
      </c>
      <c r="BM7" s="780" t="str">
        <f>InputSheet!$C160</f>
        <v>Sub 12</v>
      </c>
      <c r="BN7" s="780" t="str">
        <f>InputSheet!$C161</f>
        <v>Sub 13</v>
      </c>
      <c r="BO7" s="780" t="str">
        <f>InputSheet!$C162</f>
        <v>Sub 14</v>
      </c>
      <c r="BP7" s="780" t="str">
        <f>InputSheet!$C163</f>
        <v>Sub 15</v>
      </c>
      <c r="BQ7" s="781"/>
      <c r="BR7" s="780" t="str">
        <f>InputSheet!$C149</f>
        <v>Segovia, Inc.</v>
      </c>
      <c r="BS7" s="780" t="str">
        <f>InputSheet!$C150</f>
        <v>Briggs and Sons</v>
      </c>
      <c r="BT7" s="780" t="str">
        <f>InputSheet!$C151</f>
        <v>Yvan</v>
      </c>
      <c r="BU7" s="780" t="str">
        <f>InputSheet!$C152</f>
        <v>Sub 4</v>
      </c>
      <c r="BV7" s="780" t="str">
        <f>InputSheet!$C153</f>
        <v>Sub 5</v>
      </c>
      <c r="BW7" s="780" t="str">
        <f>InputSheet!$C154</f>
        <v>Sub 6</v>
      </c>
      <c r="BX7" s="780" t="str">
        <f>InputSheet!$C155</f>
        <v>Sub 7</v>
      </c>
      <c r="BY7" s="780" t="str">
        <f>InputSheet!$C156</f>
        <v>Sub 8</v>
      </c>
      <c r="BZ7" s="780" t="str">
        <f>InputSheet!$C157</f>
        <v>Sub 9</v>
      </c>
      <c r="CA7" s="780" t="str">
        <f>InputSheet!$C158</f>
        <v>Sub 10</v>
      </c>
      <c r="CB7" s="780" t="str">
        <f>InputSheet!$C159</f>
        <v>Sub 11</v>
      </c>
      <c r="CC7" s="780" t="str">
        <f>InputSheet!$C160</f>
        <v>Sub 12</v>
      </c>
      <c r="CD7" s="780" t="str">
        <f>InputSheet!$C161</f>
        <v>Sub 13</v>
      </c>
      <c r="CE7" s="780" t="str">
        <f>InputSheet!$C162</f>
        <v>Sub 14</v>
      </c>
      <c r="CF7" s="780" t="str">
        <f>InputSheet!$C163</f>
        <v>Sub 15</v>
      </c>
      <c r="CG7" s="781"/>
      <c r="CH7" s="780" t="str">
        <f>InputSheet!$C149</f>
        <v>Segovia, Inc.</v>
      </c>
      <c r="CI7" s="780" t="str">
        <f>InputSheet!$C150</f>
        <v>Briggs and Sons</v>
      </c>
      <c r="CJ7" s="780" t="str">
        <f>InputSheet!$C151</f>
        <v>Yvan</v>
      </c>
      <c r="CK7" s="780" t="str">
        <f>InputSheet!$C152</f>
        <v>Sub 4</v>
      </c>
      <c r="CL7" s="780" t="str">
        <f>InputSheet!$C153</f>
        <v>Sub 5</v>
      </c>
      <c r="CM7" s="780" t="str">
        <f>InputSheet!$C154</f>
        <v>Sub 6</v>
      </c>
      <c r="CN7" s="780" t="str">
        <f>InputSheet!$C155</f>
        <v>Sub 7</v>
      </c>
      <c r="CO7" s="780" t="str">
        <f>InputSheet!$C156</f>
        <v>Sub 8</v>
      </c>
      <c r="CP7" s="780" t="str">
        <f>InputSheet!$C157</f>
        <v>Sub 9</v>
      </c>
      <c r="CQ7" s="780" t="str">
        <f>InputSheet!$C158</f>
        <v>Sub 10</v>
      </c>
      <c r="CR7" s="780" t="str">
        <f>InputSheet!$C159</f>
        <v>Sub 11</v>
      </c>
      <c r="CS7" s="780" t="str">
        <f>InputSheet!$C160</f>
        <v>Sub 12</v>
      </c>
      <c r="CT7" s="780" t="str">
        <f>InputSheet!$C161</f>
        <v>Sub 13</v>
      </c>
      <c r="CU7" s="780" t="str">
        <f>InputSheet!$C162</f>
        <v>Sub 14</v>
      </c>
      <c r="CV7" s="780" t="str">
        <f>InputSheet!$C163</f>
        <v>Sub 15</v>
      </c>
      <c r="CW7" s="781"/>
      <c r="CX7" s="780" t="str">
        <f>InputSheet!$C149</f>
        <v>Segovia, Inc.</v>
      </c>
      <c r="CY7" s="780" t="str">
        <f>InputSheet!$C150</f>
        <v>Briggs and Sons</v>
      </c>
      <c r="CZ7" s="780" t="str">
        <f>InputSheet!$C151</f>
        <v>Yvan</v>
      </c>
      <c r="DA7" s="780" t="str">
        <f>InputSheet!$C152</f>
        <v>Sub 4</v>
      </c>
      <c r="DB7" s="780" t="str">
        <f>InputSheet!$C153</f>
        <v>Sub 5</v>
      </c>
      <c r="DC7" s="780" t="str">
        <f>InputSheet!$C154</f>
        <v>Sub 6</v>
      </c>
      <c r="DD7" s="780" t="str">
        <f>InputSheet!$C155</f>
        <v>Sub 7</v>
      </c>
      <c r="DE7" s="780" t="str">
        <f>InputSheet!$C156</f>
        <v>Sub 8</v>
      </c>
      <c r="DF7" s="780" t="str">
        <f>InputSheet!$C157</f>
        <v>Sub 9</v>
      </c>
      <c r="DG7" s="780" t="str">
        <f>InputSheet!$C158</f>
        <v>Sub 10</v>
      </c>
      <c r="DH7" s="780" t="str">
        <f>InputSheet!$C159</f>
        <v>Sub 11</v>
      </c>
      <c r="DI7" s="780" t="str">
        <f>InputSheet!$C160</f>
        <v>Sub 12</v>
      </c>
      <c r="DJ7" s="780" t="str">
        <f>InputSheet!$C161</f>
        <v>Sub 13</v>
      </c>
      <c r="DK7" s="780" t="str">
        <f>InputSheet!$C162</f>
        <v>Sub 14</v>
      </c>
      <c r="DL7" s="780" t="str">
        <f>InputSheet!$C163</f>
        <v>Sub 15</v>
      </c>
      <c r="DM7" s="781"/>
      <c r="DN7" s="780" t="str">
        <f>InputSheet!$C149</f>
        <v>Segovia, Inc.</v>
      </c>
      <c r="DO7" s="780" t="str">
        <f>InputSheet!$C150</f>
        <v>Briggs and Sons</v>
      </c>
      <c r="DP7" s="780" t="str">
        <f>InputSheet!$C151</f>
        <v>Yvan</v>
      </c>
      <c r="DQ7" s="780" t="str">
        <f>InputSheet!$C152</f>
        <v>Sub 4</v>
      </c>
      <c r="DR7" s="780" t="str">
        <f>InputSheet!$C153</f>
        <v>Sub 5</v>
      </c>
      <c r="DS7" s="780" t="str">
        <f>InputSheet!$C154</f>
        <v>Sub 6</v>
      </c>
      <c r="DT7" s="780" t="str">
        <f>InputSheet!$C155</f>
        <v>Sub 7</v>
      </c>
      <c r="DU7" s="780" t="str">
        <f>InputSheet!$C156</f>
        <v>Sub 8</v>
      </c>
      <c r="DV7" s="780" t="str">
        <f>InputSheet!$C157</f>
        <v>Sub 9</v>
      </c>
      <c r="DW7" s="780" t="str">
        <f>InputSheet!$C158</f>
        <v>Sub 10</v>
      </c>
      <c r="DX7" s="780" t="str">
        <f>InputSheet!$C159</f>
        <v>Sub 11</v>
      </c>
      <c r="DY7" s="780" t="str">
        <f>InputSheet!$C160</f>
        <v>Sub 12</v>
      </c>
      <c r="DZ7" s="780" t="str">
        <f>InputSheet!$C161</f>
        <v>Sub 13</v>
      </c>
      <c r="EA7" s="780" t="str">
        <f>InputSheet!$C162</f>
        <v>Sub 14</v>
      </c>
      <c r="EB7" s="780" t="str">
        <f>InputSheet!$C163</f>
        <v>Sub 15</v>
      </c>
      <c r="EC7" s="781"/>
      <c r="ED7" s="780" t="str">
        <f>InputSheet!$C149</f>
        <v>Segovia, Inc.</v>
      </c>
      <c r="EE7" s="780" t="str">
        <f>InputSheet!$C150</f>
        <v>Briggs and Sons</v>
      </c>
      <c r="EF7" s="780" t="str">
        <f>InputSheet!$C151</f>
        <v>Yvan</v>
      </c>
      <c r="EG7" s="780" t="str">
        <f>InputSheet!$C152</f>
        <v>Sub 4</v>
      </c>
      <c r="EH7" s="780" t="str">
        <f>InputSheet!$C153</f>
        <v>Sub 5</v>
      </c>
      <c r="EI7" s="780" t="str">
        <f>InputSheet!$C154</f>
        <v>Sub 6</v>
      </c>
      <c r="EJ7" s="780" t="str">
        <f>InputSheet!$C155</f>
        <v>Sub 7</v>
      </c>
      <c r="EK7" s="780" t="str">
        <f>InputSheet!$C156</f>
        <v>Sub 8</v>
      </c>
      <c r="EL7" s="780" t="str">
        <f>InputSheet!$C157</f>
        <v>Sub 9</v>
      </c>
      <c r="EM7" s="780" t="str">
        <f>InputSheet!$C158</f>
        <v>Sub 10</v>
      </c>
      <c r="EN7" s="780" t="str">
        <f>InputSheet!$C159</f>
        <v>Sub 11</v>
      </c>
      <c r="EO7" s="780" t="str">
        <f>InputSheet!$C160</f>
        <v>Sub 12</v>
      </c>
      <c r="EP7" s="780" t="str">
        <f>InputSheet!$C161</f>
        <v>Sub 13</v>
      </c>
      <c r="EQ7" s="780" t="str">
        <f>InputSheet!$C162</f>
        <v>Sub 14</v>
      </c>
      <c r="ER7" s="780" t="str">
        <f>InputSheet!$C163</f>
        <v>Sub 15</v>
      </c>
      <c r="ES7" s="781"/>
      <c r="ET7" s="780" t="str">
        <f>InputSheet!$C149</f>
        <v>Segovia, Inc.</v>
      </c>
      <c r="EU7" s="780" t="str">
        <f>InputSheet!$C150</f>
        <v>Briggs and Sons</v>
      </c>
      <c r="EV7" s="780" t="str">
        <f>InputSheet!$C151</f>
        <v>Yvan</v>
      </c>
      <c r="EW7" s="780" t="str">
        <f>InputSheet!$C152</f>
        <v>Sub 4</v>
      </c>
      <c r="EX7" s="780" t="str">
        <f>InputSheet!$C153</f>
        <v>Sub 5</v>
      </c>
      <c r="EY7" s="780" t="str">
        <f>InputSheet!$C154</f>
        <v>Sub 6</v>
      </c>
      <c r="EZ7" s="780" t="str">
        <f>InputSheet!$C155</f>
        <v>Sub 7</v>
      </c>
      <c r="FA7" s="780" t="str">
        <f>InputSheet!$C156</f>
        <v>Sub 8</v>
      </c>
      <c r="FB7" s="780" t="str">
        <f>InputSheet!$C157</f>
        <v>Sub 9</v>
      </c>
      <c r="FC7" s="780" t="str">
        <f>InputSheet!$C158</f>
        <v>Sub 10</v>
      </c>
      <c r="FD7" s="780" t="str">
        <f>InputSheet!$C159</f>
        <v>Sub 11</v>
      </c>
      <c r="FE7" s="780" t="str">
        <f>InputSheet!$C160</f>
        <v>Sub 12</v>
      </c>
      <c r="FF7" s="780" t="str">
        <f>InputSheet!$C161</f>
        <v>Sub 13</v>
      </c>
      <c r="FG7" s="780" t="str">
        <f>InputSheet!$C162</f>
        <v>Sub 14</v>
      </c>
      <c r="FH7" s="780" t="str">
        <f>InputSheet!$C163</f>
        <v>Sub 15</v>
      </c>
      <c r="FI7" s="781"/>
      <c r="FJ7" s="780" t="str">
        <f>InputSheet!$C149</f>
        <v>Segovia, Inc.</v>
      </c>
      <c r="FK7" s="780" t="str">
        <f>InputSheet!$C150</f>
        <v>Briggs and Sons</v>
      </c>
      <c r="FL7" s="780" t="str">
        <f>InputSheet!$C151</f>
        <v>Yvan</v>
      </c>
      <c r="FM7" s="780" t="str">
        <f>InputSheet!$C152</f>
        <v>Sub 4</v>
      </c>
      <c r="FN7" s="780" t="str">
        <f>InputSheet!$C153</f>
        <v>Sub 5</v>
      </c>
      <c r="FO7" s="780" t="str">
        <f>InputSheet!$C154</f>
        <v>Sub 6</v>
      </c>
      <c r="FP7" s="780" t="str">
        <f>InputSheet!$C155</f>
        <v>Sub 7</v>
      </c>
      <c r="FQ7" s="780" t="str">
        <f>InputSheet!$C156</f>
        <v>Sub 8</v>
      </c>
      <c r="FR7" s="780" t="str">
        <f>InputSheet!$C157</f>
        <v>Sub 9</v>
      </c>
      <c r="FS7" s="780" t="str">
        <f>InputSheet!$C158</f>
        <v>Sub 10</v>
      </c>
      <c r="FT7" s="780" t="str">
        <f>InputSheet!$C159</f>
        <v>Sub 11</v>
      </c>
      <c r="FU7" s="780" t="str">
        <f>InputSheet!$C160</f>
        <v>Sub 12</v>
      </c>
      <c r="FV7" s="780" t="str">
        <f>InputSheet!$C161</f>
        <v>Sub 13</v>
      </c>
      <c r="FW7" s="780" t="str">
        <f>InputSheet!$C162</f>
        <v>Sub 14</v>
      </c>
      <c r="FX7" s="780" t="str">
        <f>InputSheet!$C163</f>
        <v>Sub 15</v>
      </c>
      <c r="FY7" s="781"/>
      <c r="FZ7" s="780" t="str">
        <f>InputSheet!$C149</f>
        <v>Segovia, Inc.</v>
      </c>
      <c r="GA7" s="780" t="str">
        <f>InputSheet!$C150</f>
        <v>Briggs and Sons</v>
      </c>
      <c r="GB7" s="780" t="str">
        <f>InputSheet!$C151</f>
        <v>Yvan</v>
      </c>
      <c r="GC7" s="780" t="str">
        <f>InputSheet!$C152</f>
        <v>Sub 4</v>
      </c>
      <c r="GD7" s="780" t="str">
        <f>InputSheet!$C153</f>
        <v>Sub 5</v>
      </c>
      <c r="GE7" s="780" t="str">
        <f>InputSheet!$C154</f>
        <v>Sub 6</v>
      </c>
      <c r="GF7" s="780" t="str">
        <f>InputSheet!$C155</f>
        <v>Sub 7</v>
      </c>
      <c r="GG7" s="780" t="str">
        <f>InputSheet!$C156</f>
        <v>Sub 8</v>
      </c>
      <c r="GH7" s="780" t="str">
        <f>InputSheet!$C157</f>
        <v>Sub 9</v>
      </c>
      <c r="GI7" s="780" t="str">
        <f>InputSheet!$C158</f>
        <v>Sub 10</v>
      </c>
      <c r="GJ7" s="780" t="str">
        <f>InputSheet!$C159</f>
        <v>Sub 11</v>
      </c>
      <c r="GK7" s="780" t="str">
        <f>InputSheet!$C160</f>
        <v>Sub 12</v>
      </c>
      <c r="GL7" s="780" t="str">
        <f>InputSheet!$C161</f>
        <v>Sub 13</v>
      </c>
      <c r="GM7" s="780" t="str">
        <f>InputSheet!$C162</f>
        <v>Sub 14</v>
      </c>
      <c r="GN7" s="780" t="str">
        <f>InputSheet!$C163</f>
        <v>Sub 15</v>
      </c>
      <c r="GO7" s="781"/>
      <c r="GP7" s="780" t="str">
        <f>InputSheet!$C149</f>
        <v>Segovia, Inc.</v>
      </c>
      <c r="GQ7" s="780" t="str">
        <f>InputSheet!$C150</f>
        <v>Briggs and Sons</v>
      </c>
      <c r="GR7" s="780" t="str">
        <f>InputSheet!$C151</f>
        <v>Yvan</v>
      </c>
      <c r="GS7" s="780" t="str">
        <f>InputSheet!$C152</f>
        <v>Sub 4</v>
      </c>
      <c r="GT7" s="780" t="str">
        <f>InputSheet!$C153</f>
        <v>Sub 5</v>
      </c>
      <c r="GU7" s="780" t="str">
        <f>InputSheet!$C154</f>
        <v>Sub 6</v>
      </c>
      <c r="GV7" s="780" t="str">
        <f>InputSheet!$C155</f>
        <v>Sub 7</v>
      </c>
      <c r="GW7" s="780" t="str">
        <f>InputSheet!$C156</f>
        <v>Sub 8</v>
      </c>
      <c r="GX7" s="780" t="str">
        <f>InputSheet!$C157</f>
        <v>Sub 9</v>
      </c>
      <c r="GY7" s="780" t="str">
        <f>InputSheet!$C158</f>
        <v>Sub 10</v>
      </c>
      <c r="GZ7" s="780" t="str">
        <f>InputSheet!$C159</f>
        <v>Sub 11</v>
      </c>
      <c r="HA7" s="780" t="str">
        <f>InputSheet!$C160</f>
        <v>Sub 12</v>
      </c>
      <c r="HB7" s="780" t="str">
        <f>InputSheet!$C161</f>
        <v>Sub 13</v>
      </c>
      <c r="HC7" s="780" t="str">
        <f>InputSheet!$C162</f>
        <v>Sub 14</v>
      </c>
      <c r="HD7" s="780" t="str">
        <f>InputSheet!$C163</f>
        <v>Sub 15</v>
      </c>
      <c r="HE7" s="781"/>
      <c r="HF7" s="780" t="str">
        <f>InputSheet!$C149</f>
        <v>Segovia, Inc.</v>
      </c>
      <c r="HG7" s="780" t="str">
        <f>InputSheet!$C150</f>
        <v>Briggs and Sons</v>
      </c>
      <c r="HH7" s="780" t="str">
        <f>InputSheet!$C151</f>
        <v>Yvan</v>
      </c>
      <c r="HI7" s="780" t="str">
        <f>InputSheet!$C152</f>
        <v>Sub 4</v>
      </c>
      <c r="HJ7" s="780" t="str">
        <f>InputSheet!$C153</f>
        <v>Sub 5</v>
      </c>
      <c r="HK7" s="780" t="str">
        <f>InputSheet!$C154</f>
        <v>Sub 6</v>
      </c>
      <c r="HL7" s="780" t="str">
        <f>InputSheet!$C155</f>
        <v>Sub 7</v>
      </c>
      <c r="HM7" s="780" t="str">
        <f>InputSheet!$C156</f>
        <v>Sub 8</v>
      </c>
      <c r="HN7" s="780" t="str">
        <f>InputSheet!$C157</f>
        <v>Sub 9</v>
      </c>
      <c r="HO7" s="780" t="str">
        <f>InputSheet!$C158</f>
        <v>Sub 10</v>
      </c>
      <c r="HP7" s="780" t="str">
        <f>InputSheet!$C159</f>
        <v>Sub 11</v>
      </c>
      <c r="HQ7" s="780" t="str">
        <f>InputSheet!$C160</f>
        <v>Sub 12</v>
      </c>
      <c r="HR7" s="780" t="str">
        <f>InputSheet!$C161</f>
        <v>Sub 13</v>
      </c>
      <c r="HS7" s="780" t="str">
        <f>InputSheet!$C162</f>
        <v>Sub 14</v>
      </c>
      <c r="HT7" s="780" t="str">
        <f>InputSheet!$C163</f>
        <v>Sub 15</v>
      </c>
      <c r="HU7" s="781"/>
      <c r="HV7" s="780" t="str">
        <f>InputSheet!$C149</f>
        <v>Segovia, Inc.</v>
      </c>
      <c r="HW7" s="780" t="str">
        <f>InputSheet!$C150</f>
        <v>Briggs and Sons</v>
      </c>
      <c r="HX7" s="780" t="str">
        <f>InputSheet!$C151</f>
        <v>Yvan</v>
      </c>
      <c r="HY7" s="780" t="str">
        <f>InputSheet!$C152</f>
        <v>Sub 4</v>
      </c>
      <c r="HZ7" s="780" t="str">
        <f>InputSheet!$C153</f>
        <v>Sub 5</v>
      </c>
      <c r="IA7" s="780" t="str">
        <f>InputSheet!$C154</f>
        <v>Sub 6</v>
      </c>
      <c r="IB7" s="780" t="str">
        <f>InputSheet!$C155</f>
        <v>Sub 7</v>
      </c>
      <c r="IC7" s="780" t="str">
        <f>InputSheet!$C156</f>
        <v>Sub 8</v>
      </c>
      <c r="ID7" s="780" t="str">
        <f>InputSheet!$C157</f>
        <v>Sub 9</v>
      </c>
      <c r="IE7" s="780" t="str">
        <f>InputSheet!$C158</f>
        <v>Sub 10</v>
      </c>
      <c r="IF7" s="780" t="str">
        <f>InputSheet!$C159</f>
        <v>Sub 11</v>
      </c>
      <c r="IG7" s="780" t="str">
        <f>InputSheet!$C160</f>
        <v>Sub 12</v>
      </c>
      <c r="IH7" s="780" t="str">
        <f>InputSheet!$C161</f>
        <v>Sub 13</v>
      </c>
      <c r="II7" s="780" t="str">
        <f>InputSheet!$C162</f>
        <v>Sub 14</v>
      </c>
      <c r="IJ7" s="782" t="str">
        <f>InputSheet!$C163</f>
        <v>Sub 15</v>
      </c>
      <c r="IK7" s="798"/>
    </row>
    <row r="8" spans="1:245">
      <c r="A8" s="580"/>
      <c r="B8" s="760" t="s">
        <v>712</v>
      </c>
      <c r="C8" s="773" t="s">
        <v>684</v>
      </c>
      <c r="D8" s="765"/>
      <c r="E8" s="783" t="s">
        <v>723</v>
      </c>
      <c r="F8" s="791" t="str">
        <f>F$6&amp;F7</f>
        <v>Base YearSegovia, Inc.</v>
      </c>
      <c r="G8" s="751" t="str">
        <f>F$6&amp;G7</f>
        <v>Base YearBriggs and Sons</v>
      </c>
      <c r="H8" s="751" t="str">
        <f>F$6&amp;H7</f>
        <v>Base YearYvan</v>
      </c>
      <c r="I8" s="751" t="str">
        <f>F$6&amp;I7</f>
        <v>Base YearSub 4</v>
      </c>
      <c r="J8" s="751" t="str">
        <f>F$6&amp;J7</f>
        <v>Base YearSub 5</v>
      </c>
      <c r="K8" s="751" t="str">
        <f>F$6&amp;K7</f>
        <v>Base YearSub 6</v>
      </c>
      <c r="L8" s="751" t="str">
        <f>F$6&amp;L7</f>
        <v>Base YearSub 7</v>
      </c>
      <c r="M8" s="751" t="str">
        <f>F$6&amp;M7</f>
        <v>Base YearSub 8</v>
      </c>
      <c r="N8" s="751" t="str">
        <f>F$6&amp;N7</f>
        <v>Base YearSub 9</v>
      </c>
      <c r="O8" s="751" t="str">
        <f>F$6&amp;O7</f>
        <v>Base YearSub 10</v>
      </c>
      <c r="P8" s="751" t="str">
        <f>F$6&amp;P7</f>
        <v>Base YearSub 11</v>
      </c>
      <c r="Q8" s="751" t="str">
        <f>F$6&amp;Q7</f>
        <v>Base YearSub 12</v>
      </c>
      <c r="R8" s="751" t="str">
        <f>F$6&amp;R7</f>
        <v>Base YearSub 13</v>
      </c>
      <c r="S8" s="751" t="str">
        <f>F$6&amp;S7</f>
        <v>Base YearSub 14</v>
      </c>
      <c r="T8" s="751" t="str">
        <f>F$6&amp;T7</f>
        <v>Base YearSub 15</v>
      </c>
      <c r="U8" s="767"/>
      <c r="V8" s="751" t="str">
        <f>V$6&amp;V7</f>
        <v>Option Year 1Segovia, Inc.</v>
      </c>
      <c r="W8" s="751" t="str">
        <f>V$6&amp;W7</f>
        <v>Option Year 1Briggs and Sons</v>
      </c>
      <c r="X8" s="751" t="str">
        <f>V$6&amp;X7</f>
        <v>Option Year 1Yvan</v>
      </c>
      <c r="Y8" s="751" t="str">
        <f>V$6&amp;Y7</f>
        <v>Option Year 1Sub 4</v>
      </c>
      <c r="Z8" s="751" t="str">
        <f>V$6&amp;Z7</f>
        <v>Option Year 1Sub 5</v>
      </c>
      <c r="AA8" s="751" t="str">
        <f>V$6&amp;AA7</f>
        <v>Option Year 1Sub 6</v>
      </c>
      <c r="AB8" s="751" t="str">
        <f>V$6&amp;AB7</f>
        <v>Option Year 1Sub 7</v>
      </c>
      <c r="AC8" s="751" t="str">
        <f>V$6&amp;AC7</f>
        <v>Option Year 1Sub 8</v>
      </c>
      <c r="AD8" s="751" t="str">
        <f>V$6&amp;AD7</f>
        <v>Option Year 1Sub 9</v>
      </c>
      <c r="AE8" s="751" t="str">
        <f>V$6&amp;AE7</f>
        <v>Option Year 1Sub 10</v>
      </c>
      <c r="AF8" s="751" t="str">
        <f>V$6&amp;AF7</f>
        <v>Option Year 1Sub 11</v>
      </c>
      <c r="AG8" s="751" t="str">
        <f>V$6&amp;AG7</f>
        <v>Option Year 1Sub 12</v>
      </c>
      <c r="AH8" s="751" t="str">
        <f>V$6&amp;AH7</f>
        <v>Option Year 1Sub 13</v>
      </c>
      <c r="AI8" s="751" t="str">
        <f>V$6&amp;AI7</f>
        <v>Option Year 1Sub 14</v>
      </c>
      <c r="AJ8" s="751" t="str">
        <f>V$6&amp;AJ7</f>
        <v>Option Year 1Sub 15</v>
      </c>
      <c r="AK8" s="767"/>
      <c r="AL8" s="751" t="str">
        <f>AL$6&amp;AL7</f>
        <v>Option Year 2Segovia, Inc.</v>
      </c>
      <c r="AM8" s="751" t="str">
        <f>AL$6&amp;AM7</f>
        <v>Option Year 2Briggs and Sons</v>
      </c>
      <c r="AN8" s="751" t="str">
        <f>AL$6&amp;AN7</f>
        <v>Option Year 2Yvan</v>
      </c>
      <c r="AO8" s="751" t="str">
        <f>AL$6&amp;AO7</f>
        <v>Option Year 2Sub 4</v>
      </c>
      <c r="AP8" s="751" t="str">
        <f>AL$6&amp;AP7</f>
        <v>Option Year 2Sub 5</v>
      </c>
      <c r="AQ8" s="751" t="str">
        <f>AL$6&amp;AQ7</f>
        <v>Option Year 2Sub 6</v>
      </c>
      <c r="AR8" s="751" t="str">
        <f>AL$6&amp;AR7</f>
        <v>Option Year 2Sub 7</v>
      </c>
      <c r="AS8" s="751" t="str">
        <f>AL$6&amp;AS7</f>
        <v>Option Year 2Sub 8</v>
      </c>
      <c r="AT8" s="751" t="str">
        <f>AL$6&amp;AT7</f>
        <v>Option Year 2Sub 9</v>
      </c>
      <c r="AU8" s="751" t="str">
        <f>AL$6&amp;AU7</f>
        <v>Option Year 2Sub 10</v>
      </c>
      <c r="AV8" s="751" t="str">
        <f>AL$6&amp;AV7</f>
        <v>Option Year 2Sub 11</v>
      </c>
      <c r="AW8" s="751" t="str">
        <f>AL$6&amp;AW7</f>
        <v>Option Year 2Sub 12</v>
      </c>
      <c r="AX8" s="751" t="str">
        <f>AL$6&amp;AX7</f>
        <v>Option Year 2Sub 13</v>
      </c>
      <c r="AY8" s="751" t="str">
        <f>AL$6&amp;AY7</f>
        <v>Option Year 2Sub 14</v>
      </c>
      <c r="AZ8" s="751" t="str">
        <f>AL$6&amp;AZ7</f>
        <v>Option Year 2Sub 15</v>
      </c>
      <c r="BA8" s="767"/>
      <c r="BB8" s="751" t="str">
        <f>BB$6&amp;BB7</f>
        <v>Training and ProcessingSegovia, Inc.</v>
      </c>
      <c r="BC8" s="751" t="str">
        <f>BB$6&amp;BC7</f>
        <v>Training and ProcessingBriggs and Sons</v>
      </c>
      <c r="BD8" s="751" t="str">
        <f>BB$6&amp;BD7</f>
        <v>Training and ProcessingYvan</v>
      </c>
      <c r="BE8" s="751" t="str">
        <f>BB$6&amp;BE7</f>
        <v>Training and ProcessingSub 4</v>
      </c>
      <c r="BF8" s="751" t="str">
        <f>BB$6&amp;BF7</f>
        <v>Training and ProcessingSub 5</v>
      </c>
      <c r="BG8" s="751" t="str">
        <f>BB$6&amp;BG7</f>
        <v>Training and ProcessingSub 6</v>
      </c>
      <c r="BH8" s="751" t="str">
        <f>BB$6&amp;BH7</f>
        <v>Training and ProcessingSub 7</v>
      </c>
      <c r="BI8" s="751" t="str">
        <f>BB$6&amp;BI7</f>
        <v>Training and ProcessingSub 8</v>
      </c>
      <c r="BJ8" s="751" t="str">
        <f>BB$6&amp;BJ7</f>
        <v>Training and ProcessingSub 9</v>
      </c>
      <c r="BK8" s="751" t="str">
        <f>BB$6&amp;BK7</f>
        <v>Training and ProcessingSub 10</v>
      </c>
      <c r="BL8" s="751" t="str">
        <f>BB$6&amp;BL7</f>
        <v>Training and ProcessingSub 11</v>
      </c>
      <c r="BM8" s="751" t="str">
        <f>BB$6&amp;BM7</f>
        <v>Training and ProcessingSub 12</v>
      </c>
      <c r="BN8" s="751" t="str">
        <f>BB$6&amp;BN7</f>
        <v>Training and ProcessingSub 13</v>
      </c>
      <c r="BO8" s="751" t="str">
        <f>BB$6&amp;BO7</f>
        <v>Training and ProcessingSub 14</v>
      </c>
      <c r="BP8" s="751" t="str">
        <f>BB$6&amp;BP7</f>
        <v>Training and ProcessingSub 15</v>
      </c>
      <c r="BQ8" s="767"/>
      <c r="BR8" s="751" t="str">
        <f>BR$6&amp;BR7</f>
        <v>0Segovia, Inc.</v>
      </c>
      <c r="BS8" s="751" t="str">
        <f>BR$6&amp;BS7</f>
        <v>0Briggs and Sons</v>
      </c>
      <c r="BT8" s="751" t="str">
        <f>BR$6&amp;BT7</f>
        <v>0Yvan</v>
      </c>
      <c r="BU8" s="751" t="str">
        <f>BR$6&amp;BU7</f>
        <v>0Sub 4</v>
      </c>
      <c r="BV8" s="751" t="str">
        <f>BR$6&amp;BV7</f>
        <v>0Sub 5</v>
      </c>
      <c r="BW8" s="751" t="str">
        <f>BR$6&amp;BW7</f>
        <v>0Sub 6</v>
      </c>
      <c r="BX8" s="751" t="str">
        <f>BR$6&amp;BX7</f>
        <v>0Sub 7</v>
      </c>
      <c r="BY8" s="751" t="str">
        <f>BR$6&amp;BY7</f>
        <v>0Sub 8</v>
      </c>
      <c r="BZ8" s="751" t="str">
        <f>BR$6&amp;BZ7</f>
        <v>0Sub 9</v>
      </c>
      <c r="CA8" s="751" t="str">
        <f>BR$6&amp;CA7</f>
        <v>0Sub 10</v>
      </c>
      <c r="CB8" s="751" t="str">
        <f>BR$6&amp;CB7</f>
        <v>0Sub 11</v>
      </c>
      <c r="CC8" s="751" t="str">
        <f>BR$6&amp;CC7</f>
        <v>0Sub 12</v>
      </c>
      <c r="CD8" s="751" t="str">
        <f>BR$6&amp;CD7</f>
        <v>0Sub 13</v>
      </c>
      <c r="CE8" s="751" t="str">
        <f>BR$6&amp;CE7</f>
        <v>0Sub 14</v>
      </c>
      <c r="CF8" s="751" t="str">
        <f>BR$6&amp;CF7</f>
        <v>0Sub 15</v>
      </c>
      <c r="CG8" s="767"/>
      <c r="CH8" s="751" t="str">
        <f>CH$6&amp;CH7</f>
        <v>Option Year 5Segovia, Inc.</v>
      </c>
      <c r="CI8" s="751" t="str">
        <f>CH$6&amp;CI7</f>
        <v>Option Year 5Briggs and Sons</v>
      </c>
      <c r="CJ8" s="751" t="str">
        <f>CH$6&amp;CJ7</f>
        <v>Option Year 5Yvan</v>
      </c>
      <c r="CK8" s="751" t="str">
        <f>CH$6&amp;CK7</f>
        <v>Option Year 5Sub 4</v>
      </c>
      <c r="CL8" s="751" t="str">
        <f>CH$6&amp;CL7</f>
        <v>Option Year 5Sub 5</v>
      </c>
      <c r="CM8" s="751" t="str">
        <f>CH$6&amp;CM7</f>
        <v>Option Year 5Sub 6</v>
      </c>
      <c r="CN8" s="751" t="str">
        <f>CH$6&amp;CN7</f>
        <v>Option Year 5Sub 7</v>
      </c>
      <c r="CO8" s="751" t="str">
        <f>CH$6&amp;CO7</f>
        <v>Option Year 5Sub 8</v>
      </c>
      <c r="CP8" s="751" t="str">
        <f>CH$6&amp;CP7</f>
        <v>Option Year 5Sub 9</v>
      </c>
      <c r="CQ8" s="751" t="str">
        <f>CH$6&amp;CQ7</f>
        <v>Option Year 5Sub 10</v>
      </c>
      <c r="CR8" s="751" t="str">
        <f>CH$6&amp;CR7</f>
        <v>Option Year 5Sub 11</v>
      </c>
      <c r="CS8" s="751" t="str">
        <f>CH$6&amp;CS7</f>
        <v>Option Year 5Sub 12</v>
      </c>
      <c r="CT8" s="751" t="str">
        <f>CH$6&amp;CT7</f>
        <v>Option Year 5Sub 13</v>
      </c>
      <c r="CU8" s="751" t="str">
        <f>CH$6&amp;CU7</f>
        <v>Option Year 5Sub 14</v>
      </c>
      <c r="CV8" s="751" t="str">
        <f>CH$6&amp;CV7</f>
        <v>Option Year 5Sub 15</v>
      </c>
      <c r="CW8" s="767"/>
      <c r="CX8" s="751" t="str">
        <f>CX$6&amp;CX7</f>
        <v>Option Year 6Segovia, Inc.</v>
      </c>
      <c r="CY8" s="751" t="str">
        <f>CX$6&amp;CY7</f>
        <v>Option Year 6Briggs and Sons</v>
      </c>
      <c r="CZ8" s="751" t="str">
        <f>CX$6&amp;CZ7</f>
        <v>Option Year 6Yvan</v>
      </c>
      <c r="DA8" s="751" t="str">
        <f>CX$6&amp;DA7</f>
        <v>Option Year 6Sub 4</v>
      </c>
      <c r="DB8" s="751" t="str">
        <f>CX$6&amp;DB7</f>
        <v>Option Year 6Sub 5</v>
      </c>
      <c r="DC8" s="751" t="str">
        <f>CX$6&amp;DC7</f>
        <v>Option Year 6Sub 6</v>
      </c>
      <c r="DD8" s="751" t="str">
        <f>CX$6&amp;DD7</f>
        <v>Option Year 6Sub 7</v>
      </c>
      <c r="DE8" s="751" t="str">
        <f>CX$6&amp;DE7</f>
        <v>Option Year 6Sub 8</v>
      </c>
      <c r="DF8" s="751" t="str">
        <f>CX$6&amp;DF7</f>
        <v>Option Year 6Sub 9</v>
      </c>
      <c r="DG8" s="751" t="str">
        <f>CX$6&amp;DG7</f>
        <v>Option Year 6Sub 10</v>
      </c>
      <c r="DH8" s="751" t="str">
        <f>CX$6&amp;DH7</f>
        <v>Option Year 6Sub 11</v>
      </c>
      <c r="DI8" s="751" t="str">
        <f>CX$6&amp;DI7</f>
        <v>Option Year 6Sub 12</v>
      </c>
      <c r="DJ8" s="751" t="str">
        <f>CX$6&amp;DJ7</f>
        <v>Option Year 6Sub 13</v>
      </c>
      <c r="DK8" s="751" t="str">
        <f>CX$6&amp;DK7</f>
        <v>Option Year 6Sub 14</v>
      </c>
      <c r="DL8" s="751" t="str">
        <f>CX$6&amp;DL7</f>
        <v>Option Year 6Sub 15</v>
      </c>
      <c r="DM8" s="767"/>
      <c r="DN8" s="751" t="str">
        <f>DN$6&amp;DN7</f>
        <v>Option Year 7Segovia, Inc.</v>
      </c>
      <c r="DO8" s="751" t="str">
        <f>DN$6&amp;DO7</f>
        <v>Option Year 7Briggs and Sons</v>
      </c>
      <c r="DP8" s="751" t="str">
        <f>DN$6&amp;DP7</f>
        <v>Option Year 7Yvan</v>
      </c>
      <c r="DQ8" s="751" t="str">
        <f>DN$6&amp;DQ7</f>
        <v>Option Year 7Sub 4</v>
      </c>
      <c r="DR8" s="751" t="str">
        <f>DN$6&amp;DR7</f>
        <v>Option Year 7Sub 5</v>
      </c>
      <c r="DS8" s="751" t="str">
        <f>DN$6&amp;DS7</f>
        <v>Option Year 7Sub 6</v>
      </c>
      <c r="DT8" s="751" t="str">
        <f>DN$6&amp;DT7</f>
        <v>Option Year 7Sub 7</v>
      </c>
      <c r="DU8" s="751" t="str">
        <f>DN$6&amp;DU7</f>
        <v>Option Year 7Sub 8</v>
      </c>
      <c r="DV8" s="751" t="str">
        <f>DN$6&amp;DV7</f>
        <v>Option Year 7Sub 9</v>
      </c>
      <c r="DW8" s="751" t="str">
        <f>DN$6&amp;DW7</f>
        <v>Option Year 7Sub 10</v>
      </c>
      <c r="DX8" s="751" t="str">
        <f>DN$6&amp;DX7</f>
        <v>Option Year 7Sub 11</v>
      </c>
      <c r="DY8" s="751" t="str">
        <f>DN$6&amp;DY7</f>
        <v>Option Year 7Sub 12</v>
      </c>
      <c r="DZ8" s="751" t="str">
        <f>DN$6&amp;DZ7</f>
        <v>Option Year 7Sub 13</v>
      </c>
      <c r="EA8" s="751" t="str">
        <f>DN$6&amp;EA7</f>
        <v>Option Year 7Sub 14</v>
      </c>
      <c r="EB8" s="751" t="str">
        <f>DN$6&amp;EB7</f>
        <v>Option Year 7Sub 15</v>
      </c>
      <c r="EC8" s="767"/>
      <c r="ED8" s="751" t="str">
        <f>ED$6&amp;ED7</f>
        <v>Option Year 8Segovia, Inc.</v>
      </c>
      <c r="EE8" s="751" t="str">
        <f>ED$6&amp;EE7</f>
        <v>Option Year 8Briggs and Sons</v>
      </c>
      <c r="EF8" s="751" t="str">
        <f>ED$6&amp;EF7</f>
        <v>Option Year 8Yvan</v>
      </c>
      <c r="EG8" s="751" t="str">
        <f>ED$6&amp;EG7</f>
        <v>Option Year 8Sub 4</v>
      </c>
      <c r="EH8" s="751" t="str">
        <f>ED$6&amp;EH7</f>
        <v>Option Year 8Sub 5</v>
      </c>
      <c r="EI8" s="751" t="str">
        <f>ED$6&amp;EI7</f>
        <v>Option Year 8Sub 6</v>
      </c>
      <c r="EJ8" s="751" t="str">
        <f>ED$6&amp;EJ7</f>
        <v>Option Year 8Sub 7</v>
      </c>
      <c r="EK8" s="751" t="str">
        <f>ED$6&amp;EK7</f>
        <v>Option Year 8Sub 8</v>
      </c>
      <c r="EL8" s="751" t="str">
        <f>ED$6&amp;EL7</f>
        <v>Option Year 8Sub 9</v>
      </c>
      <c r="EM8" s="751" t="str">
        <f>ED$6&amp;EM7</f>
        <v>Option Year 8Sub 10</v>
      </c>
      <c r="EN8" s="751" t="str">
        <f>ED$6&amp;EN7</f>
        <v>Option Year 8Sub 11</v>
      </c>
      <c r="EO8" s="751" t="str">
        <f>ED$6&amp;EO7</f>
        <v>Option Year 8Sub 12</v>
      </c>
      <c r="EP8" s="751" t="str">
        <f>ED$6&amp;EP7</f>
        <v>Option Year 8Sub 13</v>
      </c>
      <c r="EQ8" s="751" t="str">
        <f>ED$6&amp;EQ7</f>
        <v>Option Year 8Sub 14</v>
      </c>
      <c r="ER8" s="751" t="str">
        <f>ED$6&amp;ER7</f>
        <v>Option Year 8Sub 15</v>
      </c>
      <c r="ES8" s="767"/>
      <c r="ET8" s="751" t="str">
        <f>ET$6&amp;ET7</f>
        <v>Option Year 9Segovia, Inc.</v>
      </c>
      <c r="EU8" s="751" t="str">
        <f>ET$6&amp;EU7</f>
        <v>Option Year 9Briggs and Sons</v>
      </c>
      <c r="EV8" s="751" t="str">
        <f>ET$6&amp;EV7</f>
        <v>Option Year 9Yvan</v>
      </c>
      <c r="EW8" s="751" t="str">
        <f>ET$6&amp;EW7</f>
        <v>Option Year 9Sub 4</v>
      </c>
      <c r="EX8" s="751" t="str">
        <f>ET$6&amp;EX7</f>
        <v>Option Year 9Sub 5</v>
      </c>
      <c r="EY8" s="751" t="str">
        <f>ET$6&amp;EY7</f>
        <v>Option Year 9Sub 6</v>
      </c>
      <c r="EZ8" s="751" t="str">
        <f>ET$6&amp;EZ7</f>
        <v>Option Year 9Sub 7</v>
      </c>
      <c r="FA8" s="751" t="str">
        <f>ET$6&amp;FA7</f>
        <v>Option Year 9Sub 8</v>
      </c>
      <c r="FB8" s="751" t="str">
        <f>ET$6&amp;FB7</f>
        <v>Option Year 9Sub 9</v>
      </c>
      <c r="FC8" s="751" t="str">
        <f>ET$6&amp;FC7</f>
        <v>Option Year 9Sub 10</v>
      </c>
      <c r="FD8" s="751" t="str">
        <f>ET$6&amp;FD7</f>
        <v>Option Year 9Sub 11</v>
      </c>
      <c r="FE8" s="751" t="str">
        <f>ET$6&amp;FE7</f>
        <v>Option Year 9Sub 12</v>
      </c>
      <c r="FF8" s="751" t="str">
        <f>ET$6&amp;FF7</f>
        <v>Option Year 9Sub 13</v>
      </c>
      <c r="FG8" s="751" t="str">
        <f>ET$6&amp;FG7</f>
        <v>Option Year 9Sub 14</v>
      </c>
      <c r="FH8" s="751" t="str">
        <f>ET$6&amp;FH7</f>
        <v>Option Year 9Sub 15</v>
      </c>
      <c r="FI8" s="767"/>
      <c r="FJ8" s="751" t="str">
        <f>FJ$6&amp;FJ7</f>
        <v>Option Year 10Segovia, Inc.</v>
      </c>
      <c r="FK8" s="751" t="str">
        <f>FJ$6&amp;FK7</f>
        <v>Option Year 10Briggs and Sons</v>
      </c>
      <c r="FL8" s="751" t="str">
        <f>FJ$6&amp;FL7</f>
        <v>Option Year 10Yvan</v>
      </c>
      <c r="FM8" s="751" t="str">
        <f>FJ$6&amp;FM7</f>
        <v>Option Year 10Sub 4</v>
      </c>
      <c r="FN8" s="751" t="str">
        <f>FJ$6&amp;FN7</f>
        <v>Option Year 10Sub 5</v>
      </c>
      <c r="FO8" s="751" t="str">
        <f>FJ$6&amp;FO7</f>
        <v>Option Year 10Sub 6</v>
      </c>
      <c r="FP8" s="751" t="str">
        <f>FJ$6&amp;FP7</f>
        <v>Option Year 10Sub 7</v>
      </c>
      <c r="FQ8" s="751" t="str">
        <f>FJ$6&amp;FQ7</f>
        <v>Option Year 10Sub 8</v>
      </c>
      <c r="FR8" s="751" t="str">
        <f>FJ$6&amp;FR7</f>
        <v>Option Year 10Sub 9</v>
      </c>
      <c r="FS8" s="751" t="str">
        <f>FJ$6&amp;FS7</f>
        <v>Option Year 10Sub 10</v>
      </c>
      <c r="FT8" s="751" t="str">
        <f>FJ$6&amp;FT7</f>
        <v>Option Year 10Sub 11</v>
      </c>
      <c r="FU8" s="751" t="str">
        <f>FJ$6&amp;FU7</f>
        <v>Option Year 10Sub 12</v>
      </c>
      <c r="FV8" s="751" t="str">
        <f>FJ$6&amp;FV7</f>
        <v>Option Year 10Sub 13</v>
      </c>
      <c r="FW8" s="751" t="str">
        <f>FJ$6&amp;FW7</f>
        <v>Option Year 10Sub 14</v>
      </c>
      <c r="FX8" s="751" t="str">
        <f>FJ$6&amp;FX7</f>
        <v>Option Year 10Sub 15</v>
      </c>
      <c r="FY8" s="767"/>
      <c r="FZ8" s="751" t="str">
        <f>FZ$6&amp;FZ7</f>
        <v>Option Year 11Segovia, Inc.</v>
      </c>
      <c r="GA8" s="751" t="str">
        <f>FZ$6&amp;GA7</f>
        <v>Option Year 11Briggs and Sons</v>
      </c>
      <c r="GB8" s="751" t="str">
        <f>FZ$6&amp;GB7</f>
        <v>Option Year 11Yvan</v>
      </c>
      <c r="GC8" s="751" t="str">
        <f>FZ$6&amp;GC7</f>
        <v>Option Year 11Sub 4</v>
      </c>
      <c r="GD8" s="751" t="str">
        <f>FZ$6&amp;GD7</f>
        <v>Option Year 11Sub 5</v>
      </c>
      <c r="GE8" s="751" t="str">
        <f>FZ$6&amp;GE7</f>
        <v>Option Year 11Sub 6</v>
      </c>
      <c r="GF8" s="751" t="str">
        <f>FZ$6&amp;GF7</f>
        <v>Option Year 11Sub 7</v>
      </c>
      <c r="GG8" s="751" t="str">
        <f>FZ$6&amp;GG7</f>
        <v>Option Year 11Sub 8</v>
      </c>
      <c r="GH8" s="751" t="str">
        <f>FZ$6&amp;GH7</f>
        <v>Option Year 11Sub 9</v>
      </c>
      <c r="GI8" s="751" t="str">
        <f>FZ$6&amp;GI7</f>
        <v>Option Year 11Sub 10</v>
      </c>
      <c r="GJ8" s="751" t="str">
        <f>FZ$6&amp;GJ7</f>
        <v>Option Year 11Sub 11</v>
      </c>
      <c r="GK8" s="751" t="str">
        <f>FZ$6&amp;GK7</f>
        <v>Option Year 11Sub 12</v>
      </c>
      <c r="GL8" s="751" t="str">
        <f>FZ$6&amp;GL7</f>
        <v>Option Year 11Sub 13</v>
      </c>
      <c r="GM8" s="751" t="str">
        <f>FZ$6&amp;GM7</f>
        <v>Option Year 11Sub 14</v>
      </c>
      <c r="GN8" s="751" t="str">
        <f>FZ$6&amp;GN7</f>
        <v>Option Year 11Sub 15</v>
      </c>
      <c r="GO8" s="767"/>
      <c r="GP8" s="751" t="str">
        <f>GP$6&amp;GP7</f>
        <v>Option Year 12Segovia, Inc.</v>
      </c>
      <c r="GQ8" s="751" t="str">
        <f>GP$6&amp;GQ7</f>
        <v>Option Year 12Briggs and Sons</v>
      </c>
      <c r="GR8" s="751" t="str">
        <f>GP$6&amp;GR7</f>
        <v>Option Year 12Yvan</v>
      </c>
      <c r="GS8" s="751" t="str">
        <f>GP$6&amp;GS7</f>
        <v>Option Year 12Sub 4</v>
      </c>
      <c r="GT8" s="751" t="str">
        <f>GP$6&amp;GT7</f>
        <v>Option Year 12Sub 5</v>
      </c>
      <c r="GU8" s="751" t="str">
        <f>GP$6&amp;GU7</f>
        <v>Option Year 12Sub 6</v>
      </c>
      <c r="GV8" s="751" t="str">
        <f>GP$6&amp;GV7</f>
        <v>Option Year 12Sub 7</v>
      </c>
      <c r="GW8" s="751" t="str">
        <f>GP$6&amp;GW7</f>
        <v>Option Year 12Sub 8</v>
      </c>
      <c r="GX8" s="751" t="str">
        <f>GP$6&amp;GX7</f>
        <v>Option Year 12Sub 9</v>
      </c>
      <c r="GY8" s="751" t="str">
        <f>GP$6&amp;GY7</f>
        <v>Option Year 12Sub 10</v>
      </c>
      <c r="GZ8" s="751" t="str">
        <f>GP$6&amp;GZ7</f>
        <v>Option Year 12Sub 11</v>
      </c>
      <c r="HA8" s="751" t="str">
        <f>GP$6&amp;HA7</f>
        <v>Option Year 12Sub 12</v>
      </c>
      <c r="HB8" s="751" t="str">
        <f>GP$6&amp;HB7</f>
        <v>Option Year 12Sub 13</v>
      </c>
      <c r="HC8" s="751" t="str">
        <f>GP$6&amp;HC7</f>
        <v>Option Year 12Sub 14</v>
      </c>
      <c r="HD8" s="751" t="str">
        <f>GP$6&amp;HD7</f>
        <v>Option Year 12Sub 15</v>
      </c>
      <c r="HE8" s="767"/>
      <c r="HF8" s="751" t="str">
        <f>HF$6&amp;HF7</f>
        <v>Option Year 13Segovia, Inc.</v>
      </c>
      <c r="HG8" s="751" t="str">
        <f>HF$6&amp;HG7</f>
        <v>Option Year 13Briggs and Sons</v>
      </c>
      <c r="HH8" s="751" t="str">
        <f>HF$6&amp;HH7</f>
        <v>Option Year 13Yvan</v>
      </c>
      <c r="HI8" s="751" t="str">
        <f>HF$6&amp;HI7</f>
        <v>Option Year 13Sub 4</v>
      </c>
      <c r="HJ8" s="751" t="str">
        <f>HF$6&amp;HJ7</f>
        <v>Option Year 13Sub 5</v>
      </c>
      <c r="HK8" s="751" t="str">
        <f>HF$6&amp;HK7</f>
        <v>Option Year 13Sub 6</v>
      </c>
      <c r="HL8" s="751" t="str">
        <f>HF$6&amp;HL7</f>
        <v>Option Year 13Sub 7</v>
      </c>
      <c r="HM8" s="751" t="str">
        <f>HF$6&amp;HM7</f>
        <v>Option Year 13Sub 8</v>
      </c>
      <c r="HN8" s="751" t="str">
        <f>HF$6&amp;HN7</f>
        <v>Option Year 13Sub 9</v>
      </c>
      <c r="HO8" s="751" t="str">
        <f>HF$6&amp;HO7</f>
        <v>Option Year 13Sub 10</v>
      </c>
      <c r="HP8" s="751" t="str">
        <f>HF$6&amp;HP7</f>
        <v>Option Year 13Sub 11</v>
      </c>
      <c r="HQ8" s="751" t="str">
        <f>HF$6&amp;HQ7</f>
        <v>Option Year 13Sub 12</v>
      </c>
      <c r="HR8" s="751" t="str">
        <f>HF$6&amp;HR7</f>
        <v>Option Year 13Sub 13</v>
      </c>
      <c r="HS8" s="751" t="str">
        <f>HF$6&amp;HS7</f>
        <v>Option Year 13Sub 14</v>
      </c>
      <c r="HT8" s="751" t="str">
        <f>HF$6&amp;HT7</f>
        <v>Option Year 13Sub 15</v>
      </c>
      <c r="HU8" s="767"/>
      <c r="HV8" s="751" t="str">
        <f>HV$6&amp;HV7</f>
        <v>Option Year 14Segovia, Inc.</v>
      </c>
      <c r="HW8" s="751" t="str">
        <f>HV$6&amp;HW7</f>
        <v>Option Year 14Briggs and Sons</v>
      </c>
      <c r="HX8" s="751" t="str">
        <f>HV$6&amp;HX7</f>
        <v>Option Year 14Yvan</v>
      </c>
      <c r="HY8" s="751" t="str">
        <f>HV$6&amp;HY7</f>
        <v>Option Year 14Sub 4</v>
      </c>
      <c r="HZ8" s="751" t="str">
        <f>HV$6&amp;HZ7</f>
        <v>Option Year 14Sub 5</v>
      </c>
      <c r="IA8" s="751" t="str">
        <f>HV$6&amp;IA7</f>
        <v>Option Year 14Sub 6</v>
      </c>
      <c r="IB8" s="751" t="str">
        <f>HV$6&amp;IB7</f>
        <v>Option Year 14Sub 7</v>
      </c>
      <c r="IC8" s="751" t="str">
        <f>HV$6&amp;IC7</f>
        <v>Option Year 14Sub 8</v>
      </c>
      <c r="ID8" s="751" t="str">
        <f>HV$6&amp;ID7</f>
        <v>Option Year 14Sub 9</v>
      </c>
      <c r="IE8" s="751" t="str">
        <f>HV$6&amp;IE7</f>
        <v>Option Year 14Sub 10</v>
      </c>
      <c r="IF8" s="751" t="str">
        <f>HV$6&amp;IF7</f>
        <v>Option Year 14Sub 11</v>
      </c>
      <c r="IG8" s="751" t="str">
        <f>HV$6&amp;IG7</f>
        <v>Option Year 14Sub 12</v>
      </c>
      <c r="IH8" s="751" t="str">
        <f>HV$6&amp;IH7</f>
        <v>Option Year 14Sub 13</v>
      </c>
      <c r="II8" s="751" t="str">
        <f>HV$6&amp;II7</f>
        <v>Option Year 14Sub 14</v>
      </c>
      <c r="IJ8" s="784" t="str">
        <f>HV$6&amp;IJ7</f>
        <v>Option Year 14Sub 15</v>
      </c>
      <c r="IK8" s="794"/>
    </row>
    <row r="9" spans="1:245">
      <c r="B9" s="761" t="s">
        <v>686</v>
      </c>
      <c r="C9" s="774"/>
      <c r="D9" s="765" t="s">
        <v>724</v>
      </c>
      <c r="E9" s="766"/>
      <c r="F9" s="792">
        <v>0</v>
      </c>
      <c r="G9" s="744">
        <f>F9</f>
        <v>0</v>
      </c>
      <c r="H9" s="744">
        <f t="shared" ref="H9:T9" si="0">G9</f>
        <v>0</v>
      </c>
      <c r="I9" s="744">
        <f t="shared" si="0"/>
        <v>0</v>
      </c>
      <c r="J9" s="744">
        <f t="shared" si="0"/>
        <v>0</v>
      </c>
      <c r="K9" s="744">
        <f t="shared" si="0"/>
        <v>0</v>
      </c>
      <c r="L9" s="744">
        <f t="shared" si="0"/>
        <v>0</v>
      </c>
      <c r="M9" s="744">
        <f t="shared" si="0"/>
        <v>0</v>
      </c>
      <c r="N9" s="744">
        <f t="shared" si="0"/>
        <v>0</v>
      </c>
      <c r="O9" s="744">
        <f t="shared" si="0"/>
        <v>0</v>
      </c>
      <c r="P9" s="744">
        <f t="shared" si="0"/>
        <v>0</v>
      </c>
      <c r="Q9" s="744">
        <f t="shared" si="0"/>
        <v>0</v>
      </c>
      <c r="R9" s="744">
        <f t="shared" si="0"/>
        <v>0</v>
      </c>
      <c r="S9" s="744">
        <f t="shared" si="0"/>
        <v>0</v>
      </c>
      <c r="T9" s="744">
        <f t="shared" si="0"/>
        <v>0</v>
      </c>
      <c r="U9" s="767"/>
      <c r="V9" s="744">
        <f>F9</f>
        <v>0</v>
      </c>
      <c r="W9" s="744">
        <f t="shared" ref="W9:AJ9" si="1">G9</f>
        <v>0</v>
      </c>
      <c r="X9" s="744">
        <f t="shared" si="1"/>
        <v>0</v>
      </c>
      <c r="Y9" s="744">
        <f t="shared" si="1"/>
        <v>0</v>
      </c>
      <c r="Z9" s="744">
        <f t="shared" si="1"/>
        <v>0</v>
      </c>
      <c r="AA9" s="744">
        <f t="shared" si="1"/>
        <v>0</v>
      </c>
      <c r="AB9" s="744">
        <f t="shared" si="1"/>
        <v>0</v>
      </c>
      <c r="AC9" s="744">
        <f t="shared" si="1"/>
        <v>0</v>
      </c>
      <c r="AD9" s="744">
        <f t="shared" si="1"/>
        <v>0</v>
      </c>
      <c r="AE9" s="744">
        <f t="shared" si="1"/>
        <v>0</v>
      </c>
      <c r="AF9" s="744">
        <f t="shared" si="1"/>
        <v>0</v>
      </c>
      <c r="AG9" s="744">
        <f t="shared" si="1"/>
        <v>0</v>
      </c>
      <c r="AH9" s="744">
        <f t="shared" si="1"/>
        <v>0</v>
      </c>
      <c r="AI9" s="744">
        <f t="shared" si="1"/>
        <v>0</v>
      </c>
      <c r="AJ9" s="744">
        <f t="shared" si="1"/>
        <v>0</v>
      </c>
      <c r="AK9" s="767"/>
      <c r="AL9" s="744">
        <f t="shared" ref="AL9:AZ9" si="2">V9</f>
        <v>0</v>
      </c>
      <c r="AM9" s="744">
        <f t="shared" si="2"/>
        <v>0</v>
      </c>
      <c r="AN9" s="744">
        <f t="shared" si="2"/>
        <v>0</v>
      </c>
      <c r="AO9" s="744">
        <f t="shared" si="2"/>
        <v>0</v>
      </c>
      <c r="AP9" s="744">
        <f t="shared" si="2"/>
        <v>0</v>
      </c>
      <c r="AQ9" s="744">
        <f t="shared" si="2"/>
        <v>0</v>
      </c>
      <c r="AR9" s="744">
        <f t="shared" si="2"/>
        <v>0</v>
      </c>
      <c r="AS9" s="744">
        <f t="shared" si="2"/>
        <v>0</v>
      </c>
      <c r="AT9" s="744">
        <f t="shared" si="2"/>
        <v>0</v>
      </c>
      <c r="AU9" s="744">
        <f t="shared" si="2"/>
        <v>0</v>
      </c>
      <c r="AV9" s="744">
        <f t="shared" si="2"/>
        <v>0</v>
      </c>
      <c r="AW9" s="744">
        <f t="shared" si="2"/>
        <v>0</v>
      </c>
      <c r="AX9" s="744">
        <f t="shared" si="2"/>
        <v>0</v>
      </c>
      <c r="AY9" s="744">
        <f t="shared" si="2"/>
        <v>0</v>
      </c>
      <c r="AZ9" s="744">
        <f t="shared" si="2"/>
        <v>0</v>
      </c>
      <c r="BA9" s="767"/>
      <c r="BB9" s="744">
        <f t="shared" ref="BB9:BP9" si="3">AL9</f>
        <v>0</v>
      </c>
      <c r="BC9" s="744">
        <f t="shared" si="3"/>
        <v>0</v>
      </c>
      <c r="BD9" s="744">
        <f t="shared" si="3"/>
        <v>0</v>
      </c>
      <c r="BE9" s="744">
        <f t="shared" si="3"/>
        <v>0</v>
      </c>
      <c r="BF9" s="744">
        <f t="shared" si="3"/>
        <v>0</v>
      </c>
      <c r="BG9" s="744">
        <f t="shared" si="3"/>
        <v>0</v>
      </c>
      <c r="BH9" s="744">
        <f t="shared" si="3"/>
        <v>0</v>
      </c>
      <c r="BI9" s="744">
        <f t="shared" si="3"/>
        <v>0</v>
      </c>
      <c r="BJ9" s="744">
        <f t="shared" si="3"/>
        <v>0</v>
      </c>
      <c r="BK9" s="744">
        <f t="shared" si="3"/>
        <v>0</v>
      </c>
      <c r="BL9" s="744">
        <f t="shared" si="3"/>
        <v>0</v>
      </c>
      <c r="BM9" s="744">
        <f t="shared" si="3"/>
        <v>0</v>
      </c>
      <c r="BN9" s="744">
        <f t="shared" si="3"/>
        <v>0</v>
      </c>
      <c r="BO9" s="744">
        <f t="shared" si="3"/>
        <v>0</v>
      </c>
      <c r="BP9" s="744">
        <f t="shared" si="3"/>
        <v>0</v>
      </c>
      <c r="BQ9" s="767"/>
      <c r="BR9" s="744">
        <f t="shared" ref="BR9:CF9" si="4">BB9</f>
        <v>0</v>
      </c>
      <c r="BS9" s="744">
        <f t="shared" si="4"/>
        <v>0</v>
      </c>
      <c r="BT9" s="744">
        <f t="shared" si="4"/>
        <v>0</v>
      </c>
      <c r="BU9" s="744">
        <f t="shared" si="4"/>
        <v>0</v>
      </c>
      <c r="BV9" s="744">
        <f t="shared" si="4"/>
        <v>0</v>
      </c>
      <c r="BW9" s="744">
        <f t="shared" si="4"/>
        <v>0</v>
      </c>
      <c r="BX9" s="744">
        <f t="shared" si="4"/>
        <v>0</v>
      </c>
      <c r="BY9" s="744">
        <f t="shared" si="4"/>
        <v>0</v>
      </c>
      <c r="BZ9" s="744">
        <f t="shared" si="4"/>
        <v>0</v>
      </c>
      <c r="CA9" s="744">
        <f t="shared" si="4"/>
        <v>0</v>
      </c>
      <c r="CB9" s="744">
        <f t="shared" si="4"/>
        <v>0</v>
      </c>
      <c r="CC9" s="744">
        <f t="shared" si="4"/>
        <v>0</v>
      </c>
      <c r="CD9" s="744">
        <f t="shared" si="4"/>
        <v>0</v>
      </c>
      <c r="CE9" s="744">
        <f t="shared" si="4"/>
        <v>0</v>
      </c>
      <c r="CF9" s="744">
        <f t="shared" si="4"/>
        <v>0</v>
      </c>
      <c r="CG9" s="767"/>
      <c r="CH9" s="744">
        <f t="shared" ref="CH9:CV9" si="5">BR9</f>
        <v>0</v>
      </c>
      <c r="CI9" s="744">
        <f t="shared" si="5"/>
        <v>0</v>
      </c>
      <c r="CJ9" s="744">
        <f t="shared" si="5"/>
        <v>0</v>
      </c>
      <c r="CK9" s="744">
        <f t="shared" si="5"/>
        <v>0</v>
      </c>
      <c r="CL9" s="744">
        <f t="shared" si="5"/>
        <v>0</v>
      </c>
      <c r="CM9" s="744">
        <f t="shared" si="5"/>
        <v>0</v>
      </c>
      <c r="CN9" s="744">
        <f t="shared" si="5"/>
        <v>0</v>
      </c>
      <c r="CO9" s="744">
        <f t="shared" si="5"/>
        <v>0</v>
      </c>
      <c r="CP9" s="744">
        <f t="shared" si="5"/>
        <v>0</v>
      </c>
      <c r="CQ9" s="744">
        <f t="shared" si="5"/>
        <v>0</v>
      </c>
      <c r="CR9" s="744">
        <f t="shared" si="5"/>
        <v>0</v>
      </c>
      <c r="CS9" s="744">
        <f t="shared" si="5"/>
        <v>0</v>
      </c>
      <c r="CT9" s="744">
        <f t="shared" si="5"/>
        <v>0</v>
      </c>
      <c r="CU9" s="744">
        <f t="shared" si="5"/>
        <v>0</v>
      </c>
      <c r="CV9" s="744">
        <f t="shared" si="5"/>
        <v>0</v>
      </c>
      <c r="CW9" s="767"/>
      <c r="CX9" s="744">
        <f t="shared" ref="CX9:DL9" si="6">CH9</f>
        <v>0</v>
      </c>
      <c r="CY9" s="744">
        <f t="shared" si="6"/>
        <v>0</v>
      </c>
      <c r="CZ9" s="744">
        <f t="shared" si="6"/>
        <v>0</v>
      </c>
      <c r="DA9" s="744">
        <f t="shared" si="6"/>
        <v>0</v>
      </c>
      <c r="DB9" s="744">
        <f t="shared" si="6"/>
        <v>0</v>
      </c>
      <c r="DC9" s="744">
        <f t="shared" si="6"/>
        <v>0</v>
      </c>
      <c r="DD9" s="744">
        <f t="shared" si="6"/>
        <v>0</v>
      </c>
      <c r="DE9" s="744">
        <f t="shared" si="6"/>
        <v>0</v>
      </c>
      <c r="DF9" s="744">
        <f t="shared" si="6"/>
        <v>0</v>
      </c>
      <c r="DG9" s="744">
        <f t="shared" si="6"/>
        <v>0</v>
      </c>
      <c r="DH9" s="744">
        <f t="shared" si="6"/>
        <v>0</v>
      </c>
      <c r="DI9" s="744">
        <f t="shared" si="6"/>
        <v>0</v>
      </c>
      <c r="DJ9" s="744">
        <f t="shared" si="6"/>
        <v>0</v>
      </c>
      <c r="DK9" s="744">
        <f t="shared" si="6"/>
        <v>0</v>
      </c>
      <c r="DL9" s="744">
        <f t="shared" si="6"/>
        <v>0</v>
      </c>
      <c r="DM9" s="767"/>
      <c r="DN9" s="744">
        <f t="shared" ref="DN9:EB9" si="7">CX9</f>
        <v>0</v>
      </c>
      <c r="DO9" s="744">
        <f t="shared" si="7"/>
        <v>0</v>
      </c>
      <c r="DP9" s="744">
        <f t="shared" si="7"/>
        <v>0</v>
      </c>
      <c r="DQ9" s="744">
        <f t="shared" si="7"/>
        <v>0</v>
      </c>
      <c r="DR9" s="744">
        <f t="shared" si="7"/>
        <v>0</v>
      </c>
      <c r="DS9" s="744">
        <f t="shared" si="7"/>
        <v>0</v>
      </c>
      <c r="DT9" s="744">
        <f t="shared" si="7"/>
        <v>0</v>
      </c>
      <c r="DU9" s="744">
        <f t="shared" si="7"/>
        <v>0</v>
      </c>
      <c r="DV9" s="744">
        <f t="shared" si="7"/>
        <v>0</v>
      </c>
      <c r="DW9" s="744">
        <f t="shared" si="7"/>
        <v>0</v>
      </c>
      <c r="DX9" s="744">
        <f t="shared" si="7"/>
        <v>0</v>
      </c>
      <c r="DY9" s="744">
        <f t="shared" si="7"/>
        <v>0</v>
      </c>
      <c r="DZ9" s="744">
        <f t="shared" si="7"/>
        <v>0</v>
      </c>
      <c r="EA9" s="744">
        <f t="shared" si="7"/>
        <v>0</v>
      </c>
      <c r="EB9" s="744">
        <f t="shared" si="7"/>
        <v>0</v>
      </c>
      <c r="EC9" s="767"/>
      <c r="ED9" s="744">
        <f t="shared" ref="ED9:ER9" si="8">DN9</f>
        <v>0</v>
      </c>
      <c r="EE9" s="744">
        <f t="shared" si="8"/>
        <v>0</v>
      </c>
      <c r="EF9" s="744">
        <f t="shared" si="8"/>
        <v>0</v>
      </c>
      <c r="EG9" s="744">
        <f t="shared" si="8"/>
        <v>0</v>
      </c>
      <c r="EH9" s="744">
        <f t="shared" si="8"/>
        <v>0</v>
      </c>
      <c r="EI9" s="744">
        <f t="shared" si="8"/>
        <v>0</v>
      </c>
      <c r="EJ9" s="744">
        <f t="shared" si="8"/>
        <v>0</v>
      </c>
      <c r="EK9" s="744">
        <f t="shared" si="8"/>
        <v>0</v>
      </c>
      <c r="EL9" s="744">
        <f t="shared" si="8"/>
        <v>0</v>
      </c>
      <c r="EM9" s="744">
        <f t="shared" si="8"/>
        <v>0</v>
      </c>
      <c r="EN9" s="744">
        <f t="shared" si="8"/>
        <v>0</v>
      </c>
      <c r="EO9" s="744">
        <f t="shared" si="8"/>
        <v>0</v>
      </c>
      <c r="EP9" s="744">
        <f t="shared" si="8"/>
        <v>0</v>
      </c>
      <c r="EQ9" s="744">
        <f t="shared" si="8"/>
        <v>0</v>
      </c>
      <c r="ER9" s="744">
        <f t="shared" si="8"/>
        <v>0</v>
      </c>
      <c r="ES9" s="767"/>
      <c r="ET9" s="744">
        <f t="shared" ref="ET9:FH9" si="9">ED9</f>
        <v>0</v>
      </c>
      <c r="EU9" s="744">
        <f t="shared" si="9"/>
        <v>0</v>
      </c>
      <c r="EV9" s="744">
        <f t="shared" si="9"/>
        <v>0</v>
      </c>
      <c r="EW9" s="744">
        <f t="shared" si="9"/>
        <v>0</v>
      </c>
      <c r="EX9" s="744">
        <f t="shared" si="9"/>
        <v>0</v>
      </c>
      <c r="EY9" s="744">
        <f t="shared" si="9"/>
        <v>0</v>
      </c>
      <c r="EZ9" s="744">
        <f t="shared" si="9"/>
        <v>0</v>
      </c>
      <c r="FA9" s="744">
        <f t="shared" si="9"/>
        <v>0</v>
      </c>
      <c r="FB9" s="744">
        <f t="shared" si="9"/>
        <v>0</v>
      </c>
      <c r="FC9" s="744">
        <f t="shared" si="9"/>
        <v>0</v>
      </c>
      <c r="FD9" s="744">
        <f t="shared" si="9"/>
        <v>0</v>
      </c>
      <c r="FE9" s="744">
        <f t="shared" si="9"/>
        <v>0</v>
      </c>
      <c r="FF9" s="744">
        <f t="shared" si="9"/>
        <v>0</v>
      </c>
      <c r="FG9" s="744">
        <f t="shared" si="9"/>
        <v>0</v>
      </c>
      <c r="FH9" s="744">
        <f t="shared" si="9"/>
        <v>0</v>
      </c>
      <c r="FI9" s="767"/>
      <c r="FJ9" s="744">
        <f t="shared" ref="FJ9:FX9" si="10">ET9</f>
        <v>0</v>
      </c>
      <c r="FK9" s="744">
        <f t="shared" si="10"/>
        <v>0</v>
      </c>
      <c r="FL9" s="744">
        <f t="shared" si="10"/>
        <v>0</v>
      </c>
      <c r="FM9" s="744">
        <f t="shared" si="10"/>
        <v>0</v>
      </c>
      <c r="FN9" s="744">
        <f t="shared" si="10"/>
        <v>0</v>
      </c>
      <c r="FO9" s="744">
        <f t="shared" si="10"/>
        <v>0</v>
      </c>
      <c r="FP9" s="744">
        <f t="shared" si="10"/>
        <v>0</v>
      </c>
      <c r="FQ9" s="744">
        <f t="shared" si="10"/>
        <v>0</v>
      </c>
      <c r="FR9" s="744">
        <f t="shared" si="10"/>
        <v>0</v>
      </c>
      <c r="FS9" s="744">
        <f t="shared" si="10"/>
        <v>0</v>
      </c>
      <c r="FT9" s="744">
        <f t="shared" si="10"/>
        <v>0</v>
      </c>
      <c r="FU9" s="744">
        <f t="shared" si="10"/>
        <v>0</v>
      </c>
      <c r="FV9" s="744">
        <f t="shared" si="10"/>
        <v>0</v>
      </c>
      <c r="FW9" s="744">
        <f t="shared" si="10"/>
        <v>0</v>
      </c>
      <c r="FX9" s="744">
        <f t="shared" si="10"/>
        <v>0</v>
      </c>
      <c r="FY9" s="767"/>
      <c r="FZ9" s="744">
        <f t="shared" ref="FZ9:GN9" si="11">FJ9</f>
        <v>0</v>
      </c>
      <c r="GA9" s="744">
        <f t="shared" si="11"/>
        <v>0</v>
      </c>
      <c r="GB9" s="744">
        <f t="shared" si="11"/>
        <v>0</v>
      </c>
      <c r="GC9" s="744">
        <f t="shared" si="11"/>
        <v>0</v>
      </c>
      <c r="GD9" s="744">
        <f t="shared" si="11"/>
        <v>0</v>
      </c>
      <c r="GE9" s="744">
        <f t="shared" si="11"/>
        <v>0</v>
      </c>
      <c r="GF9" s="744">
        <f t="shared" si="11"/>
        <v>0</v>
      </c>
      <c r="GG9" s="744">
        <f t="shared" si="11"/>
        <v>0</v>
      </c>
      <c r="GH9" s="744">
        <f t="shared" si="11"/>
        <v>0</v>
      </c>
      <c r="GI9" s="744">
        <f t="shared" si="11"/>
        <v>0</v>
      </c>
      <c r="GJ9" s="744">
        <f t="shared" si="11"/>
        <v>0</v>
      </c>
      <c r="GK9" s="744">
        <f t="shared" si="11"/>
        <v>0</v>
      </c>
      <c r="GL9" s="744">
        <f t="shared" si="11"/>
        <v>0</v>
      </c>
      <c r="GM9" s="744">
        <f t="shared" si="11"/>
        <v>0</v>
      </c>
      <c r="GN9" s="744">
        <f t="shared" si="11"/>
        <v>0</v>
      </c>
      <c r="GO9" s="767"/>
      <c r="GP9" s="744">
        <f t="shared" ref="GP9:HD9" si="12">FZ9</f>
        <v>0</v>
      </c>
      <c r="GQ9" s="744">
        <f t="shared" si="12"/>
        <v>0</v>
      </c>
      <c r="GR9" s="744">
        <f t="shared" si="12"/>
        <v>0</v>
      </c>
      <c r="GS9" s="744">
        <f t="shared" si="12"/>
        <v>0</v>
      </c>
      <c r="GT9" s="744">
        <f t="shared" si="12"/>
        <v>0</v>
      </c>
      <c r="GU9" s="744">
        <f t="shared" si="12"/>
        <v>0</v>
      </c>
      <c r="GV9" s="744">
        <f t="shared" si="12"/>
        <v>0</v>
      </c>
      <c r="GW9" s="744">
        <f t="shared" si="12"/>
        <v>0</v>
      </c>
      <c r="GX9" s="744">
        <f t="shared" si="12"/>
        <v>0</v>
      </c>
      <c r="GY9" s="744">
        <f t="shared" si="12"/>
        <v>0</v>
      </c>
      <c r="GZ9" s="744">
        <f t="shared" si="12"/>
        <v>0</v>
      </c>
      <c r="HA9" s="744">
        <f t="shared" si="12"/>
        <v>0</v>
      </c>
      <c r="HB9" s="744">
        <f t="shared" si="12"/>
        <v>0</v>
      </c>
      <c r="HC9" s="744">
        <f t="shared" si="12"/>
        <v>0</v>
      </c>
      <c r="HD9" s="744">
        <f t="shared" si="12"/>
        <v>0</v>
      </c>
      <c r="HE9" s="767"/>
      <c r="HF9" s="744">
        <f t="shared" ref="HF9:HT9" si="13">GP9</f>
        <v>0</v>
      </c>
      <c r="HG9" s="744">
        <f t="shared" si="13"/>
        <v>0</v>
      </c>
      <c r="HH9" s="744">
        <f t="shared" si="13"/>
        <v>0</v>
      </c>
      <c r="HI9" s="744">
        <f t="shared" si="13"/>
        <v>0</v>
      </c>
      <c r="HJ9" s="744">
        <f t="shared" si="13"/>
        <v>0</v>
      </c>
      <c r="HK9" s="744">
        <f t="shared" si="13"/>
        <v>0</v>
      </c>
      <c r="HL9" s="744">
        <f t="shared" si="13"/>
        <v>0</v>
      </c>
      <c r="HM9" s="744">
        <f t="shared" si="13"/>
        <v>0</v>
      </c>
      <c r="HN9" s="744">
        <f t="shared" si="13"/>
        <v>0</v>
      </c>
      <c r="HO9" s="744">
        <f t="shared" si="13"/>
        <v>0</v>
      </c>
      <c r="HP9" s="744">
        <f t="shared" si="13"/>
        <v>0</v>
      </c>
      <c r="HQ9" s="744">
        <f t="shared" si="13"/>
        <v>0</v>
      </c>
      <c r="HR9" s="744">
        <f t="shared" si="13"/>
        <v>0</v>
      </c>
      <c r="HS9" s="744">
        <f t="shared" si="13"/>
        <v>0</v>
      </c>
      <c r="HT9" s="744">
        <f t="shared" si="13"/>
        <v>0</v>
      </c>
      <c r="HU9" s="767"/>
      <c r="HV9" s="744">
        <f t="shared" ref="HV9:IJ9" si="14">HF9</f>
        <v>0</v>
      </c>
      <c r="HW9" s="744">
        <f t="shared" si="14"/>
        <v>0</v>
      </c>
      <c r="HX9" s="744">
        <f t="shared" si="14"/>
        <v>0</v>
      </c>
      <c r="HY9" s="744">
        <f t="shared" si="14"/>
        <v>0</v>
      </c>
      <c r="HZ9" s="744">
        <f t="shared" si="14"/>
        <v>0</v>
      </c>
      <c r="IA9" s="744">
        <f t="shared" si="14"/>
        <v>0</v>
      </c>
      <c r="IB9" s="744">
        <f t="shared" si="14"/>
        <v>0</v>
      </c>
      <c r="IC9" s="744">
        <f t="shared" si="14"/>
        <v>0</v>
      </c>
      <c r="ID9" s="744">
        <f t="shared" si="14"/>
        <v>0</v>
      </c>
      <c r="IE9" s="744">
        <f t="shared" si="14"/>
        <v>0</v>
      </c>
      <c r="IF9" s="744">
        <f t="shared" si="14"/>
        <v>0</v>
      </c>
      <c r="IG9" s="744">
        <f t="shared" si="14"/>
        <v>0</v>
      </c>
      <c r="IH9" s="744">
        <f t="shared" si="14"/>
        <v>0</v>
      </c>
      <c r="II9" s="744">
        <f t="shared" si="14"/>
        <v>0</v>
      </c>
      <c r="IJ9" s="785">
        <f t="shared" si="14"/>
        <v>0</v>
      </c>
      <c r="IK9" s="794"/>
    </row>
    <row r="10" spans="1:245">
      <c r="A10" s="642">
        <v>1</v>
      </c>
      <c r="B10" s="762" t="str">
        <f t="shared" ref="B10:B26" si="15">VLOOKUP($A10,DL,2,FALSE)</f>
        <v xml:space="preserve">LAN/Wan Engineer </v>
      </c>
      <c r="C10" s="775"/>
      <c r="D10" s="769"/>
      <c r="E10" s="52" t="str">
        <f t="shared" ref="E10:E26" si="16">$B10&amp;$C$8&amp;$C10</f>
        <v>LAN/Wan Engineer Govt_Sub</v>
      </c>
      <c r="F10" s="793"/>
      <c r="G10" s="43"/>
      <c r="H10" s="43"/>
      <c r="I10" s="43"/>
      <c r="J10" s="43"/>
      <c r="K10" s="43"/>
      <c r="L10" s="43"/>
      <c r="M10" s="43"/>
      <c r="N10" s="43"/>
      <c r="O10" s="43"/>
      <c r="P10" s="43"/>
      <c r="Q10" s="43"/>
      <c r="R10" s="43"/>
      <c r="S10" s="43"/>
      <c r="T10" s="43"/>
      <c r="U10" s="767"/>
      <c r="V10" s="43">
        <f>F10*(1+V$9)</f>
        <v>0</v>
      </c>
      <c r="W10" s="43">
        <f t="shared" ref="W10:AJ23" si="17">G10*(1+W$9)</f>
        <v>0</v>
      </c>
      <c r="X10" s="43">
        <f t="shared" si="17"/>
        <v>0</v>
      </c>
      <c r="Y10" s="43">
        <f t="shared" si="17"/>
        <v>0</v>
      </c>
      <c r="Z10" s="43">
        <f t="shared" si="17"/>
        <v>0</v>
      </c>
      <c r="AA10" s="43">
        <f t="shared" si="17"/>
        <v>0</v>
      </c>
      <c r="AB10" s="43">
        <f t="shared" si="17"/>
        <v>0</v>
      </c>
      <c r="AC10" s="43">
        <f t="shared" si="17"/>
        <v>0</v>
      </c>
      <c r="AD10" s="43">
        <f t="shared" si="17"/>
        <v>0</v>
      </c>
      <c r="AE10" s="43">
        <f t="shared" si="17"/>
        <v>0</v>
      </c>
      <c r="AF10" s="43">
        <f t="shared" si="17"/>
        <v>0</v>
      </c>
      <c r="AG10" s="43">
        <f t="shared" si="17"/>
        <v>0</v>
      </c>
      <c r="AH10" s="43">
        <f t="shared" si="17"/>
        <v>0</v>
      </c>
      <c r="AI10" s="43">
        <f t="shared" si="17"/>
        <v>0</v>
      </c>
      <c r="AJ10" s="43">
        <f t="shared" si="17"/>
        <v>0</v>
      </c>
      <c r="AK10" s="767"/>
      <c r="AL10" s="43">
        <f>V10*(1+AL$9)</f>
        <v>0</v>
      </c>
      <c r="AM10" s="43">
        <f t="shared" ref="AM10:AM23" si="18">W10*(1+AM$9)</f>
        <v>0</v>
      </c>
      <c r="AN10" s="43">
        <f t="shared" ref="AN10:AN23" si="19">X10*(1+AN$9)</f>
        <v>0</v>
      </c>
      <c r="AO10" s="43">
        <f t="shared" ref="AO10:AO23" si="20">Y10*(1+AO$9)</f>
        <v>0</v>
      </c>
      <c r="AP10" s="43">
        <f t="shared" ref="AP10:AP23" si="21">Z10*(1+AP$9)</f>
        <v>0</v>
      </c>
      <c r="AQ10" s="43">
        <f t="shared" ref="AQ10:AQ23" si="22">AA10*(1+AQ$9)</f>
        <v>0</v>
      </c>
      <c r="AR10" s="43">
        <f t="shared" ref="AR10:AR23" si="23">AB10*(1+AR$9)</f>
        <v>0</v>
      </c>
      <c r="AS10" s="43">
        <f t="shared" ref="AS10:AS23" si="24">AC10*(1+AS$9)</f>
        <v>0</v>
      </c>
      <c r="AT10" s="43">
        <f t="shared" ref="AT10:AT23" si="25">AD10*(1+AT$9)</f>
        <v>0</v>
      </c>
      <c r="AU10" s="43">
        <f t="shared" ref="AU10:AU23" si="26">AE10*(1+AU$9)</f>
        <v>0</v>
      </c>
      <c r="AV10" s="43">
        <f t="shared" ref="AV10:AV23" si="27">AF10*(1+AV$9)</f>
        <v>0</v>
      </c>
      <c r="AW10" s="43">
        <f t="shared" ref="AW10:AW23" si="28">AG10*(1+AW$9)</f>
        <v>0</v>
      </c>
      <c r="AX10" s="43">
        <f t="shared" ref="AX10:AX23" si="29">AH10*(1+AX$9)</f>
        <v>0</v>
      </c>
      <c r="AY10" s="43">
        <f t="shared" ref="AY10:AY23" si="30">AI10*(1+AY$9)</f>
        <v>0</v>
      </c>
      <c r="AZ10" s="43">
        <f t="shared" ref="AZ10:AZ23" si="31">AJ10*(1+AZ$9)</f>
        <v>0</v>
      </c>
      <c r="BA10" s="767"/>
      <c r="BB10" s="43">
        <f>AL10*(1+BB$9)</f>
        <v>0</v>
      </c>
      <c r="BC10" s="43">
        <f t="shared" ref="BC10:BC23" si="32">AM10*(1+BC$9)</f>
        <v>0</v>
      </c>
      <c r="BD10" s="43">
        <f t="shared" ref="BD10:BD23" si="33">AN10*(1+BD$9)</f>
        <v>0</v>
      </c>
      <c r="BE10" s="43">
        <f t="shared" ref="BE10:BE23" si="34">AO10*(1+BE$9)</f>
        <v>0</v>
      </c>
      <c r="BF10" s="43">
        <f t="shared" ref="BF10:BF23" si="35">AP10*(1+BF$9)</f>
        <v>0</v>
      </c>
      <c r="BG10" s="43">
        <f t="shared" ref="BG10:BG23" si="36">AQ10*(1+BG$9)</f>
        <v>0</v>
      </c>
      <c r="BH10" s="43">
        <f t="shared" ref="BH10:BH23" si="37">AR10*(1+BH$9)</f>
        <v>0</v>
      </c>
      <c r="BI10" s="43">
        <f t="shared" ref="BI10:BI23" si="38">AS10*(1+BI$9)</f>
        <v>0</v>
      </c>
      <c r="BJ10" s="43">
        <f t="shared" ref="BJ10:BJ23" si="39">AT10*(1+BJ$9)</f>
        <v>0</v>
      </c>
      <c r="BK10" s="43">
        <f t="shared" ref="BK10:BK23" si="40">AU10*(1+BK$9)</f>
        <v>0</v>
      </c>
      <c r="BL10" s="43">
        <f t="shared" ref="BL10:BL23" si="41">AV10*(1+BL$9)</f>
        <v>0</v>
      </c>
      <c r="BM10" s="43">
        <f t="shared" ref="BM10:BM23" si="42">AW10*(1+BM$9)</f>
        <v>0</v>
      </c>
      <c r="BN10" s="43">
        <f t="shared" ref="BN10:BN23" si="43">AX10*(1+BN$9)</f>
        <v>0</v>
      </c>
      <c r="BO10" s="43">
        <f t="shared" ref="BO10:BO23" si="44">AY10*(1+BO$9)</f>
        <v>0</v>
      </c>
      <c r="BP10" s="43">
        <f t="shared" ref="BP10:BP23" si="45">AZ10*(1+BP$9)</f>
        <v>0</v>
      </c>
      <c r="BQ10" s="767"/>
      <c r="BR10" s="43">
        <f>BB10*(1+BR$9)</f>
        <v>0</v>
      </c>
      <c r="BS10" s="43">
        <f t="shared" ref="BS10:BS23" si="46">BC10*(1+BS$9)</f>
        <v>0</v>
      </c>
      <c r="BT10" s="43">
        <f t="shared" ref="BT10:BT23" si="47">BD10*(1+BT$9)</f>
        <v>0</v>
      </c>
      <c r="BU10" s="43">
        <f t="shared" ref="BU10:BU23" si="48">BE10*(1+BU$9)</f>
        <v>0</v>
      </c>
      <c r="BV10" s="43">
        <f t="shared" ref="BV10:BV23" si="49">BF10*(1+BV$9)</f>
        <v>0</v>
      </c>
      <c r="BW10" s="43">
        <f t="shared" ref="BW10:BW23" si="50">BG10*(1+BW$9)</f>
        <v>0</v>
      </c>
      <c r="BX10" s="43">
        <f t="shared" ref="BX10:BX23" si="51">BH10*(1+BX$9)</f>
        <v>0</v>
      </c>
      <c r="BY10" s="43">
        <f t="shared" ref="BY10:BY23" si="52">BI10*(1+BY$9)</f>
        <v>0</v>
      </c>
      <c r="BZ10" s="43">
        <f t="shared" ref="BZ10:BZ23" si="53">BJ10*(1+BZ$9)</f>
        <v>0</v>
      </c>
      <c r="CA10" s="43">
        <f t="shared" ref="CA10:CA23" si="54">BK10*(1+CA$9)</f>
        <v>0</v>
      </c>
      <c r="CB10" s="43">
        <f t="shared" ref="CB10:CB23" si="55">BL10*(1+CB$9)</f>
        <v>0</v>
      </c>
      <c r="CC10" s="43">
        <f t="shared" ref="CC10:CC23" si="56">BM10*(1+CC$9)</f>
        <v>0</v>
      </c>
      <c r="CD10" s="43">
        <f t="shared" ref="CD10:CD23" si="57">BN10*(1+CD$9)</f>
        <v>0</v>
      </c>
      <c r="CE10" s="43">
        <f t="shared" ref="CE10:CE23" si="58">BO10*(1+CE$9)</f>
        <v>0</v>
      </c>
      <c r="CF10" s="43">
        <f t="shared" ref="CF10:CF23" si="59">BP10*(1+CF$9)</f>
        <v>0</v>
      </c>
      <c r="CG10" s="767"/>
      <c r="CH10" s="43">
        <f>BR10*(1+CH$9)</f>
        <v>0</v>
      </c>
      <c r="CI10" s="43">
        <f t="shared" ref="CI10:CI23" si="60">BS10*(1+CI$9)</f>
        <v>0</v>
      </c>
      <c r="CJ10" s="43">
        <f t="shared" ref="CJ10:CJ23" si="61">BT10*(1+CJ$9)</f>
        <v>0</v>
      </c>
      <c r="CK10" s="43">
        <f t="shared" ref="CK10:CK23" si="62">BU10*(1+CK$9)</f>
        <v>0</v>
      </c>
      <c r="CL10" s="43">
        <f t="shared" ref="CL10:CL23" si="63">BV10*(1+CL$9)</f>
        <v>0</v>
      </c>
      <c r="CM10" s="43">
        <f t="shared" ref="CM10:CM23" si="64">BW10*(1+CM$9)</f>
        <v>0</v>
      </c>
      <c r="CN10" s="43">
        <f t="shared" ref="CN10:CN23" si="65">BX10*(1+CN$9)</f>
        <v>0</v>
      </c>
      <c r="CO10" s="43">
        <f t="shared" ref="CO10:CO23" si="66">BY10*(1+CO$9)</f>
        <v>0</v>
      </c>
      <c r="CP10" s="43">
        <f t="shared" ref="CP10:CP23" si="67">BZ10*(1+CP$9)</f>
        <v>0</v>
      </c>
      <c r="CQ10" s="43">
        <f t="shared" ref="CQ10:CQ23" si="68">CA10*(1+CQ$9)</f>
        <v>0</v>
      </c>
      <c r="CR10" s="43">
        <f t="shared" ref="CR10:CR23" si="69">CB10*(1+CR$9)</f>
        <v>0</v>
      </c>
      <c r="CS10" s="43">
        <f t="shared" ref="CS10:CS23" si="70">CC10*(1+CS$9)</f>
        <v>0</v>
      </c>
      <c r="CT10" s="43">
        <f t="shared" ref="CT10:CT23" si="71">CD10*(1+CT$9)</f>
        <v>0</v>
      </c>
      <c r="CU10" s="43">
        <f t="shared" ref="CU10:CU23" si="72">CE10*(1+CU$9)</f>
        <v>0</v>
      </c>
      <c r="CV10" s="43">
        <f t="shared" ref="CV10:CV23" si="73">CF10*(1+CV$9)</f>
        <v>0</v>
      </c>
      <c r="CW10" s="767"/>
      <c r="CX10" s="43">
        <f>CH10*(1+CX$9)</f>
        <v>0</v>
      </c>
      <c r="CY10" s="43">
        <f t="shared" ref="CY10:CY23" si="74">CI10*(1+CY$9)</f>
        <v>0</v>
      </c>
      <c r="CZ10" s="43">
        <f t="shared" ref="CZ10:CZ23" si="75">CJ10*(1+CZ$9)</f>
        <v>0</v>
      </c>
      <c r="DA10" s="43">
        <f t="shared" ref="DA10:DA23" si="76">CK10*(1+DA$9)</f>
        <v>0</v>
      </c>
      <c r="DB10" s="43">
        <f t="shared" ref="DB10:DB23" si="77">CL10*(1+DB$9)</f>
        <v>0</v>
      </c>
      <c r="DC10" s="43">
        <f t="shared" ref="DC10:DC23" si="78">CM10*(1+DC$9)</f>
        <v>0</v>
      </c>
      <c r="DD10" s="43">
        <f t="shared" ref="DD10:DD23" si="79">CN10*(1+DD$9)</f>
        <v>0</v>
      </c>
      <c r="DE10" s="43">
        <f t="shared" ref="DE10:DE23" si="80">CO10*(1+DE$9)</f>
        <v>0</v>
      </c>
      <c r="DF10" s="43">
        <f t="shared" ref="DF10:DF23" si="81">CP10*(1+DF$9)</f>
        <v>0</v>
      </c>
      <c r="DG10" s="43">
        <f t="shared" ref="DG10:DG23" si="82">CQ10*(1+DG$9)</f>
        <v>0</v>
      </c>
      <c r="DH10" s="43">
        <f t="shared" ref="DH10:DH23" si="83">CR10*(1+DH$9)</f>
        <v>0</v>
      </c>
      <c r="DI10" s="43">
        <f t="shared" ref="DI10:DI23" si="84">CS10*(1+DI$9)</f>
        <v>0</v>
      </c>
      <c r="DJ10" s="43">
        <f t="shared" ref="DJ10:DJ23" si="85">CT10*(1+DJ$9)</f>
        <v>0</v>
      </c>
      <c r="DK10" s="43">
        <f t="shared" ref="DK10:DK23" si="86">CU10*(1+DK$9)</f>
        <v>0</v>
      </c>
      <c r="DL10" s="43">
        <f t="shared" ref="DL10:DL23" si="87">CV10*(1+DL$9)</f>
        <v>0</v>
      </c>
      <c r="DM10" s="767"/>
      <c r="DN10" s="43">
        <f>CX10*(1+DN$9)</f>
        <v>0</v>
      </c>
      <c r="DO10" s="43">
        <f t="shared" ref="DO10:DO23" si="88">CY10*(1+DO$9)</f>
        <v>0</v>
      </c>
      <c r="DP10" s="43">
        <f t="shared" ref="DP10:DP23" si="89">CZ10*(1+DP$9)</f>
        <v>0</v>
      </c>
      <c r="DQ10" s="43">
        <f t="shared" ref="DQ10:DQ23" si="90">DA10*(1+DQ$9)</f>
        <v>0</v>
      </c>
      <c r="DR10" s="43">
        <f t="shared" ref="DR10:DR23" si="91">DB10*(1+DR$9)</f>
        <v>0</v>
      </c>
      <c r="DS10" s="43">
        <f t="shared" ref="DS10:DS23" si="92">DC10*(1+DS$9)</f>
        <v>0</v>
      </c>
      <c r="DT10" s="43">
        <f t="shared" ref="DT10:DT23" si="93">DD10*(1+DT$9)</f>
        <v>0</v>
      </c>
      <c r="DU10" s="43">
        <f t="shared" ref="DU10:DU23" si="94">DE10*(1+DU$9)</f>
        <v>0</v>
      </c>
      <c r="DV10" s="43">
        <f t="shared" ref="DV10:DV23" si="95">DF10*(1+DV$9)</f>
        <v>0</v>
      </c>
      <c r="DW10" s="43">
        <f t="shared" ref="DW10:DW23" si="96">DG10*(1+DW$9)</f>
        <v>0</v>
      </c>
      <c r="DX10" s="43">
        <f t="shared" ref="DX10:DX23" si="97">DH10*(1+DX$9)</f>
        <v>0</v>
      </c>
      <c r="DY10" s="43">
        <f t="shared" ref="DY10:DY23" si="98">DI10*(1+DY$9)</f>
        <v>0</v>
      </c>
      <c r="DZ10" s="43">
        <f t="shared" ref="DZ10:DZ23" si="99">DJ10*(1+DZ$9)</f>
        <v>0</v>
      </c>
      <c r="EA10" s="43">
        <f t="shared" ref="EA10:EA23" si="100">DK10*(1+EA$9)</f>
        <v>0</v>
      </c>
      <c r="EB10" s="43">
        <f t="shared" ref="EB10:EB23" si="101">DL10*(1+EB$9)</f>
        <v>0</v>
      </c>
      <c r="EC10" s="767"/>
      <c r="ED10" s="43">
        <f>DN10*(1+ED$9)</f>
        <v>0</v>
      </c>
      <c r="EE10" s="43">
        <f t="shared" ref="EE10:EE23" si="102">DO10*(1+EE$9)</f>
        <v>0</v>
      </c>
      <c r="EF10" s="43">
        <f t="shared" ref="EF10:EF23" si="103">DP10*(1+EF$9)</f>
        <v>0</v>
      </c>
      <c r="EG10" s="43">
        <f t="shared" ref="EG10:EG23" si="104">DQ10*(1+EG$9)</f>
        <v>0</v>
      </c>
      <c r="EH10" s="43">
        <f t="shared" ref="EH10:EH23" si="105">DR10*(1+EH$9)</f>
        <v>0</v>
      </c>
      <c r="EI10" s="43">
        <f t="shared" ref="EI10:EI23" si="106">DS10*(1+EI$9)</f>
        <v>0</v>
      </c>
      <c r="EJ10" s="43">
        <f t="shared" ref="EJ10:EJ23" si="107">DT10*(1+EJ$9)</f>
        <v>0</v>
      </c>
      <c r="EK10" s="43">
        <f t="shared" ref="EK10:EK23" si="108">DU10*(1+EK$9)</f>
        <v>0</v>
      </c>
      <c r="EL10" s="43">
        <f t="shared" ref="EL10:EL23" si="109">DV10*(1+EL$9)</f>
        <v>0</v>
      </c>
      <c r="EM10" s="43">
        <f t="shared" ref="EM10:EM23" si="110">DW10*(1+EM$9)</f>
        <v>0</v>
      </c>
      <c r="EN10" s="43">
        <f t="shared" ref="EN10:EN23" si="111">DX10*(1+EN$9)</f>
        <v>0</v>
      </c>
      <c r="EO10" s="43">
        <f t="shared" ref="EO10:EO23" si="112">DY10*(1+EO$9)</f>
        <v>0</v>
      </c>
      <c r="EP10" s="43">
        <f t="shared" ref="EP10:EP23" si="113">DZ10*(1+EP$9)</f>
        <v>0</v>
      </c>
      <c r="EQ10" s="43">
        <f t="shared" ref="EQ10:EQ23" si="114">EA10*(1+EQ$9)</f>
        <v>0</v>
      </c>
      <c r="ER10" s="43">
        <f t="shared" ref="ER10:ER23" si="115">EB10*(1+ER$9)</f>
        <v>0</v>
      </c>
      <c r="ES10" s="767"/>
      <c r="ET10" s="43">
        <f>ED10*(1+ET$9)</f>
        <v>0</v>
      </c>
      <c r="EU10" s="43">
        <f t="shared" ref="EU10:EU23" si="116">EE10*(1+EU$9)</f>
        <v>0</v>
      </c>
      <c r="EV10" s="43">
        <f t="shared" ref="EV10:EV23" si="117">EF10*(1+EV$9)</f>
        <v>0</v>
      </c>
      <c r="EW10" s="43">
        <f t="shared" ref="EW10:EW23" si="118">EG10*(1+EW$9)</f>
        <v>0</v>
      </c>
      <c r="EX10" s="43">
        <f t="shared" ref="EX10:EX23" si="119">EH10*(1+EX$9)</f>
        <v>0</v>
      </c>
      <c r="EY10" s="43">
        <f t="shared" ref="EY10:EY23" si="120">EI10*(1+EY$9)</f>
        <v>0</v>
      </c>
      <c r="EZ10" s="43">
        <f t="shared" ref="EZ10:EZ23" si="121">EJ10*(1+EZ$9)</f>
        <v>0</v>
      </c>
      <c r="FA10" s="43">
        <f t="shared" ref="FA10:FA23" si="122">EK10*(1+FA$9)</f>
        <v>0</v>
      </c>
      <c r="FB10" s="43">
        <f t="shared" ref="FB10:FB23" si="123">EL10*(1+FB$9)</f>
        <v>0</v>
      </c>
      <c r="FC10" s="43">
        <f t="shared" ref="FC10:FC23" si="124">EM10*(1+FC$9)</f>
        <v>0</v>
      </c>
      <c r="FD10" s="43">
        <f t="shared" ref="FD10:FD23" si="125">EN10*(1+FD$9)</f>
        <v>0</v>
      </c>
      <c r="FE10" s="43">
        <f t="shared" ref="FE10:FE23" si="126">EO10*(1+FE$9)</f>
        <v>0</v>
      </c>
      <c r="FF10" s="43">
        <f t="shared" ref="FF10:FF23" si="127">EP10*(1+FF$9)</f>
        <v>0</v>
      </c>
      <c r="FG10" s="43">
        <f t="shared" ref="FG10:FG23" si="128">EQ10*(1+FG$9)</f>
        <v>0</v>
      </c>
      <c r="FH10" s="43">
        <f t="shared" ref="FH10:FH23" si="129">ER10*(1+FH$9)</f>
        <v>0</v>
      </c>
      <c r="FI10" s="767"/>
      <c r="FJ10" s="43">
        <f>ET10*(1+FJ$9)</f>
        <v>0</v>
      </c>
      <c r="FK10" s="43">
        <f t="shared" ref="FK10:FK23" si="130">EU10*(1+FK$9)</f>
        <v>0</v>
      </c>
      <c r="FL10" s="43">
        <f t="shared" ref="FL10:FL23" si="131">EV10*(1+FL$9)</f>
        <v>0</v>
      </c>
      <c r="FM10" s="43">
        <f t="shared" ref="FM10:FM23" si="132">EW10*(1+FM$9)</f>
        <v>0</v>
      </c>
      <c r="FN10" s="43">
        <f t="shared" ref="FN10:FN23" si="133">EX10*(1+FN$9)</f>
        <v>0</v>
      </c>
      <c r="FO10" s="43">
        <f t="shared" ref="FO10:FO23" si="134">EY10*(1+FO$9)</f>
        <v>0</v>
      </c>
      <c r="FP10" s="43">
        <f t="shared" ref="FP10:FP23" si="135">EZ10*(1+FP$9)</f>
        <v>0</v>
      </c>
      <c r="FQ10" s="43">
        <f t="shared" ref="FQ10:FQ23" si="136">FA10*(1+FQ$9)</f>
        <v>0</v>
      </c>
      <c r="FR10" s="43">
        <f t="shared" ref="FR10:FR23" si="137">FB10*(1+FR$9)</f>
        <v>0</v>
      </c>
      <c r="FS10" s="43">
        <f t="shared" ref="FS10:FS23" si="138">FC10*(1+FS$9)</f>
        <v>0</v>
      </c>
      <c r="FT10" s="43">
        <f t="shared" ref="FT10:FT23" si="139">FD10*(1+FT$9)</f>
        <v>0</v>
      </c>
      <c r="FU10" s="43">
        <f t="shared" ref="FU10:FU23" si="140">FE10*(1+FU$9)</f>
        <v>0</v>
      </c>
      <c r="FV10" s="43">
        <f t="shared" ref="FV10:FV23" si="141">FF10*(1+FV$9)</f>
        <v>0</v>
      </c>
      <c r="FW10" s="43">
        <f t="shared" ref="FW10:FW23" si="142">FG10*(1+FW$9)</f>
        <v>0</v>
      </c>
      <c r="FX10" s="43">
        <f t="shared" ref="FX10:FX23" si="143">FH10*(1+FX$9)</f>
        <v>0</v>
      </c>
      <c r="FY10" s="767"/>
      <c r="FZ10" s="43">
        <f>FJ10*(1+FZ$9)</f>
        <v>0</v>
      </c>
      <c r="GA10" s="43">
        <f t="shared" ref="GA10:GA23" si="144">FK10*(1+GA$9)</f>
        <v>0</v>
      </c>
      <c r="GB10" s="43">
        <f t="shared" ref="GB10:GB23" si="145">FL10*(1+GB$9)</f>
        <v>0</v>
      </c>
      <c r="GC10" s="43">
        <f t="shared" ref="GC10:GC23" si="146">FM10*(1+GC$9)</f>
        <v>0</v>
      </c>
      <c r="GD10" s="43">
        <f t="shared" ref="GD10:GD23" si="147">FN10*(1+GD$9)</f>
        <v>0</v>
      </c>
      <c r="GE10" s="43">
        <f t="shared" ref="GE10:GE23" si="148">FO10*(1+GE$9)</f>
        <v>0</v>
      </c>
      <c r="GF10" s="43">
        <f t="shared" ref="GF10:GF23" si="149">FP10*(1+GF$9)</f>
        <v>0</v>
      </c>
      <c r="GG10" s="43">
        <f t="shared" ref="GG10:GG23" si="150">FQ10*(1+GG$9)</f>
        <v>0</v>
      </c>
      <c r="GH10" s="43">
        <f t="shared" ref="GH10:GH23" si="151">FR10*(1+GH$9)</f>
        <v>0</v>
      </c>
      <c r="GI10" s="43">
        <f t="shared" ref="GI10:GI23" si="152">FS10*(1+GI$9)</f>
        <v>0</v>
      </c>
      <c r="GJ10" s="43">
        <f t="shared" ref="GJ10:GJ23" si="153">FT10*(1+GJ$9)</f>
        <v>0</v>
      </c>
      <c r="GK10" s="43">
        <f t="shared" ref="GK10:GK23" si="154">FU10*(1+GK$9)</f>
        <v>0</v>
      </c>
      <c r="GL10" s="43">
        <f t="shared" ref="GL10:GL23" si="155">FV10*(1+GL$9)</f>
        <v>0</v>
      </c>
      <c r="GM10" s="43">
        <f t="shared" ref="GM10:GM23" si="156">FW10*(1+GM$9)</f>
        <v>0</v>
      </c>
      <c r="GN10" s="43">
        <f t="shared" ref="GN10:GN23" si="157">FX10*(1+GN$9)</f>
        <v>0</v>
      </c>
      <c r="GO10" s="767"/>
      <c r="GP10" s="43">
        <f>FZ10*(1+GP$9)</f>
        <v>0</v>
      </c>
      <c r="GQ10" s="43">
        <f t="shared" ref="GQ10:GQ23" si="158">GA10*(1+GQ$9)</f>
        <v>0</v>
      </c>
      <c r="GR10" s="43">
        <f t="shared" ref="GR10:GR23" si="159">GB10*(1+GR$9)</f>
        <v>0</v>
      </c>
      <c r="GS10" s="43">
        <f t="shared" ref="GS10:GS23" si="160">GC10*(1+GS$9)</f>
        <v>0</v>
      </c>
      <c r="GT10" s="43">
        <f t="shared" ref="GT10:GT23" si="161">GD10*(1+GT$9)</f>
        <v>0</v>
      </c>
      <c r="GU10" s="43">
        <f t="shared" ref="GU10:GU23" si="162">GE10*(1+GU$9)</f>
        <v>0</v>
      </c>
      <c r="GV10" s="43">
        <f t="shared" ref="GV10:GV23" si="163">GF10*(1+GV$9)</f>
        <v>0</v>
      </c>
      <c r="GW10" s="43">
        <f t="shared" ref="GW10:GW23" si="164">GG10*(1+GW$9)</f>
        <v>0</v>
      </c>
      <c r="GX10" s="43">
        <f t="shared" ref="GX10:GX23" si="165">GH10*(1+GX$9)</f>
        <v>0</v>
      </c>
      <c r="GY10" s="43">
        <f t="shared" ref="GY10:GY23" si="166">GI10*(1+GY$9)</f>
        <v>0</v>
      </c>
      <c r="GZ10" s="43">
        <f t="shared" ref="GZ10:GZ23" si="167">GJ10*(1+GZ$9)</f>
        <v>0</v>
      </c>
      <c r="HA10" s="43">
        <f t="shared" ref="HA10:HA23" si="168">GK10*(1+HA$9)</f>
        <v>0</v>
      </c>
      <c r="HB10" s="43">
        <f t="shared" ref="HB10:HB23" si="169">GL10*(1+HB$9)</f>
        <v>0</v>
      </c>
      <c r="HC10" s="43">
        <f t="shared" ref="HC10:HC23" si="170">GM10*(1+HC$9)</f>
        <v>0</v>
      </c>
      <c r="HD10" s="43">
        <f t="shared" ref="HD10:HD23" si="171">GN10*(1+HD$9)</f>
        <v>0</v>
      </c>
      <c r="HE10" s="767"/>
      <c r="HF10" s="43">
        <f>GP10*(1+HF$9)</f>
        <v>0</v>
      </c>
      <c r="HG10" s="43">
        <f t="shared" ref="HG10:HG23" si="172">GQ10*(1+HG$9)</f>
        <v>0</v>
      </c>
      <c r="HH10" s="43">
        <f t="shared" ref="HH10:HH23" si="173">GR10*(1+HH$9)</f>
        <v>0</v>
      </c>
      <c r="HI10" s="43">
        <f t="shared" ref="HI10:HI23" si="174">GS10*(1+HI$9)</f>
        <v>0</v>
      </c>
      <c r="HJ10" s="43">
        <f t="shared" ref="HJ10:HJ23" si="175">GT10*(1+HJ$9)</f>
        <v>0</v>
      </c>
      <c r="HK10" s="43">
        <f t="shared" ref="HK10:HK23" si="176">GU10*(1+HK$9)</f>
        <v>0</v>
      </c>
      <c r="HL10" s="43">
        <f t="shared" ref="HL10:HL23" si="177">GV10*(1+HL$9)</f>
        <v>0</v>
      </c>
      <c r="HM10" s="43">
        <f t="shared" ref="HM10:HM23" si="178">GW10*(1+HM$9)</f>
        <v>0</v>
      </c>
      <c r="HN10" s="43">
        <f t="shared" ref="HN10:HN23" si="179">GX10*(1+HN$9)</f>
        <v>0</v>
      </c>
      <c r="HO10" s="43">
        <f t="shared" ref="HO10:HO23" si="180">GY10*(1+HO$9)</f>
        <v>0</v>
      </c>
      <c r="HP10" s="43">
        <f t="shared" ref="HP10:HP23" si="181">GZ10*(1+HP$9)</f>
        <v>0</v>
      </c>
      <c r="HQ10" s="43">
        <f t="shared" ref="HQ10:HQ23" si="182">HA10*(1+HQ$9)</f>
        <v>0</v>
      </c>
      <c r="HR10" s="43">
        <f t="shared" ref="HR10:HR23" si="183">HB10*(1+HR$9)</f>
        <v>0</v>
      </c>
      <c r="HS10" s="43">
        <f t="shared" ref="HS10:HS23" si="184">HC10*(1+HS$9)</f>
        <v>0</v>
      </c>
      <c r="HT10" s="43">
        <f t="shared" ref="HT10:HT23" si="185">HD10*(1+HT$9)</f>
        <v>0</v>
      </c>
      <c r="HU10" s="767"/>
      <c r="HV10" s="43">
        <f>HF10*(1+HV$9)</f>
        <v>0</v>
      </c>
      <c r="HW10" s="43">
        <f t="shared" ref="HW10:HW23" si="186">HG10*(1+HW$9)</f>
        <v>0</v>
      </c>
      <c r="HX10" s="43">
        <f t="shared" ref="HX10:HX23" si="187">HH10*(1+HX$9)</f>
        <v>0</v>
      </c>
      <c r="HY10" s="43">
        <f t="shared" ref="HY10:HY23" si="188">HI10*(1+HY$9)</f>
        <v>0</v>
      </c>
      <c r="HZ10" s="43">
        <f t="shared" ref="HZ10:HZ23" si="189">HJ10*(1+HZ$9)</f>
        <v>0</v>
      </c>
      <c r="IA10" s="43">
        <f t="shared" ref="IA10:IA23" si="190">HK10*(1+IA$9)</f>
        <v>0</v>
      </c>
      <c r="IB10" s="43">
        <f t="shared" ref="IB10:IB23" si="191">HL10*(1+IB$9)</f>
        <v>0</v>
      </c>
      <c r="IC10" s="43">
        <f t="shared" ref="IC10:IC23" si="192">HM10*(1+IC$9)</f>
        <v>0</v>
      </c>
      <c r="ID10" s="43">
        <f t="shared" ref="ID10:ID23" si="193">HN10*(1+ID$9)</f>
        <v>0</v>
      </c>
      <c r="IE10" s="43">
        <f t="shared" ref="IE10:IE23" si="194">HO10*(1+IE$9)</f>
        <v>0</v>
      </c>
      <c r="IF10" s="43">
        <f t="shared" ref="IF10:IF23" si="195">HP10*(1+IF$9)</f>
        <v>0</v>
      </c>
      <c r="IG10" s="43">
        <f t="shared" ref="IG10:IG23" si="196">HQ10*(1+IG$9)</f>
        <v>0</v>
      </c>
      <c r="IH10" s="43">
        <f t="shared" ref="IH10:IH23" si="197">HR10*(1+IH$9)</f>
        <v>0</v>
      </c>
      <c r="II10" s="43">
        <f t="shared" ref="II10:II23" si="198">HS10*(1+II$9)</f>
        <v>0</v>
      </c>
      <c r="IJ10" s="786">
        <f t="shared" ref="IJ10:IJ23" si="199">HT10*(1+IJ$9)</f>
        <v>0</v>
      </c>
      <c r="IK10" s="794"/>
    </row>
    <row r="11" spans="1:245">
      <c r="A11" s="642">
        <f>A10+1</f>
        <v>2</v>
      </c>
      <c r="B11" s="762" t="str">
        <f t="shared" si="15"/>
        <v>Functional Services Administrator</v>
      </c>
      <c r="C11" s="775"/>
      <c r="D11" s="769"/>
      <c r="E11" s="52" t="str">
        <f t="shared" si="16"/>
        <v>Functional Services AdministratorGovt_Sub</v>
      </c>
      <c r="F11" s="793"/>
      <c r="G11" s="43">
        <f>+G12</f>
        <v>56.666666666666664</v>
      </c>
      <c r="H11" s="43"/>
      <c r="I11" s="43"/>
      <c r="J11" s="43"/>
      <c r="K11" s="43"/>
      <c r="L11" s="43"/>
      <c r="M11" s="43"/>
      <c r="N11" s="43"/>
      <c r="O11" s="43"/>
      <c r="P11" s="43"/>
      <c r="Q11" s="43"/>
      <c r="R11" s="43"/>
      <c r="S11" s="43"/>
      <c r="T11" s="43"/>
      <c r="U11" s="767"/>
      <c r="V11" s="43">
        <f t="shared" ref="V11:V23" si="200">F11*(1+V$9)</f>
        <v>0</v>
      </c>
      <c r="W11" s="43">
        <f t="shared" si="17"/>
        <v>56.666666666666664</v>
      </c>
      <c r="X11" s="43">
        <f t="shared" si="17"/>
        <v>0</v>
      </c>
      <c r="Y11" s="43">
        <f t="shared" si="17"/>
        <v>0</v>
      </c>
      <c r="Z11" s="43">
        <f t="shared" si="17"/>
        <v>0</v>
      </c>
      <c r="AA11" s="43">
        <f t="shared" si="17"/>
        <v>0</v>
      </c>
      <c r="AB11" s="43">
        <f t="shared" si="17"/>
        <v>0</v>
      </c>
      <c r="AC11" s="43">
        <f t="shared" si="17"/>
        <v>0</v>
      </c>
      <c r="AD11" s="43">
        <f t="shared" si="17"/>
        <v>0</v>
      </c>
      <c r="AE11" s="43">
        <f t="shared" si="17"/>
        <v>0</v>
      </c>
      <c r="AF11" s="43">
        <f t="shared" si="17"/>
        <v>0</v>
      </c>
      <c r="AG11" s="43">
        <f t="shared" si="17"/>
        <v>0</v>
      </c>
      <c r="AH11" s="43">
        <f t="shared" si="17"/>
        <v>0</v>
      </c>
      <c r="AI11" s="43">
        <f t="shared" si="17"/>
        <v>0</v>
      </c>
      <c r="AJ11" s="43">
        <f t="shared" si="17"/>
        <v>0</v>
      </c>
      <c r="AK11" s="767"/>
      <c r="AL11" s="43">
        <f t="shared" ref="AL11:AL23" si="201">V11*(1+AL$9)</f>
        <v>0</v>
      </c>
      <c r="AM11" s="43">
        <f t="shared" si="18"/>
        <v>56.666666666666664</v>
      </c>
      <c r="AN11" s="43">
        <f t="shared" si="19"/>
        <v>0</v>
      </c>
      <c r="AO11" s="43">
        <f t="shared" si="20"/>
        <v>0</v>
      </c>
      <c r="AP11" s="43">
        <f t="shared" si="21"/>
        <v>0</v>
      </c>
      <c r="AQ11" s="43">
        <f t="shared" si="22"/>
        <v>0</v>
      </c>
      <c r="AR11" s="43">
        <f t="shared" si="23"/>
        <v>0</v>
      </c>
      <c r="AS11" s="43">
        <f t="shared" si="24"/>
        <v>0</v>
      </c>
      <c r="AT11" s="43">
        <f t="shared" si="25"/>
        <v>0</v>
      </c>
      <c r="AU11" s="43">
        <f t="shared" si="26"/>
        <v>0</v>
      </c>
      <c r="AV11" s="43">
        <f t="shared" si="27"/>
        <v>0</v>
      </c>
      <c r="AW11" s="43">
        <f t="shared" si="28"/>
        <v>0</v>
      </c>
      <c r="AX11" s="43">
        <f t="shared" si="29"/>
        <v>0</v>
      </c>
      <c r="AY11" s="43">
        <f t="shared" si="30"/>
        <v>0</v>
      </c>
      <c r="AZ11" s="43">
        <f t="shared" si="31"/>
        <v>0</v>
      </c>
      <c r="BA11" s="767"/>
      <c r="BB11" s="43">
        <f t="shared" ref="BB11:BB23" si="202">AL11*(1+BB$9)</f>
        <v>0</v>
      </c>
      <c r="BC11" s="43">
        <f t="shared" si="32"/>
        <v>56.666666666666664</v>
      </c>
      <c r="BD11" s="43">
        <f t="shared" si="33"/>
        <v>0</v>
      </c>
      <c r="BE11" s="43">
        <f t="shared" si="34"/>
        <v>0</v>
      </c>
      <c r="BF11" s="43">
        <f t="shared" si="35"/>
        <v>0</v>
      </c>
      <c r="BG11" s="43">
        <f t="shared" si="36"/>
        <v>0</v>
      </c>
      <c r="BH11" s="43">
        <f t="shared" si="37"/>
        <v>0</v>
      </c>
      <c r="BI11" s="43">
        <f t="shared" si="38"/>
        <v>0</v>
      </c>
      <c r="BJ11" s="43">
        <f t="shared" si="39"/>
        <v>0</v>
      </c>
      <c r="BK11" s="43">
        <f t="shared" si="40"/>
        <v>0</v>
      </c>
      <c r="BL11" s="43">
        <f t="shared" si="41"/>
        <v>0</v>
      </c>
      <c r="BM11" s="43">
        <f t="shared" si="42"/>
        <v>0</v>
      </c>
      <c r="BN11" s="43">
        <f t="shared" si="43"/>
        <v>0</v>
      </c>
      <c r="BO11" s="43">
        <f t="shared" si="44"/>
        <v>0</v>
      </c>
      <c r="BP11" s="43">
        <f t="shared" si="45"/>
        <v>0</v>
      </c>
      <c r="BQ11" s="767"/>
      <c r="BR11" s="43">
        <f t="shared" ref="BR11:BR23" si="203">BB11*(1+BR$9)</f>
        <v>0</v>
      </c>
      <c r="BS11" s="43">
        <f t="shared" si="46"/>
        <v>56.666666666666664</v>
      </c>
      <c r="BT11" s="43">
        <f t="shared" si="47"/>
        <v>0</v>
      </c>
      <c r="BU11" s="43">
        <f t="shared" si="48"/>
        <v>0</v>
      </c>
      <c r="BV11" s="43">
        <f t="shared" si="49"/>
        <v>0</v>
      </c>
      <c r="BW11" s="43">
        <f t="shared" si="50"/>
        <v>0</v>
      </c>
      <c r="BX11" s="43">
        <f t="shared" si="51"/>
        <v>0</v>
      </c>
      <c r="BY11" s="43">
        <f t="shared" si="52"/>
        <v>0</v>
      </c>
      <c r="BZ11" s="43">
        <f t="shared" si="53"/>
        <v>0</v>
      </c>
      <c r="CA11" s="43">
        <f t="shared" si="54"/>
        <v>0</v>
      </c>
      <c r="CB11" s="43">
        <f t="shared" si="55"/>
        <v>0</v>
      </c>
      <c r="CC11" s="43">
        <f t="shared" si="56"/>
        <v>0</v>
      </c>
      <c r="CD11" s="43">
        <f t="shared" si="57"/>
        <v>0</v>
      </c>
      <c r="CE11" s="43">
        <f t="shared" si="58"/>
        <v>0</v>
      </c>
      <c r="CF11" s="43">
        <f t="shared" si="59"/>
        <v>0</v>
      </c>
      <c r="CG11" s="767"/>
      <c r="CH11" s="43">
        <f t="shared" ref="CH11:CH23" si="204">BR11*(1+CH$9)</f>
        <v>0</v>
      </c>
      <c r="CI11" s="43">
        <f t="shared" si="60"/>
        <v>56.666666666666664</v>
      </c>
      <c r="CJ11" s="43">
        <f t="shared" si="61"/>
        <v>0</v>
      </c>
      <c r="CK11" s="43">
        <f t="shared" si="62"/>
        <v>0</v>
      </c>
      <c r="CL11" s="43">
        <f t="shared" si="63"/>
        <v>0</v>
      </c>
      <c r="CM11" s="43">
        <f t="shared" si="64"/>
        <v>0</v>
      </c>
      <c r="CN11" s="43">
        <f t="shared" si="65"/>
        <v>0</v>
      </c>
      <c r="CO11" s="43">
        <f t="shared" si="66"/>
        <v>0</v>
      </c>
      <c r="CP11" s="43">
        <f t="shared" si="67"/>
        <v>0</v>
      </c>
      <c r="CQ11" s="43">
        <f t="shared" si="68"/>
        <v>0</v>
      </c>
      <c r="CR11" s="43">
        <f t="shared" si="69"/>
        <v>0</v>
      </c>
      <c r="CS11" s="43">
        <f t="shared" si="70"/>
        <v>0</v>
      </c>
      <c r="CT11" s="43">
        <f t="shared" si="71"/>
        <v>0</v>
      </c>
      <c r="CU11" s="43">
        <f t="shared" si="72"/>
        <v>0</v>
      </c>
      <c r="CV11" s="43">
        <f t="shared" si="73"/>
        <v>0</v>
      </c>
      <c r="CW11" s="767"/>
      <c r="CX11" s="43">
        <f t="shared" ref="CX11:CX23" si="205">CH11*(1+CX$9)</f>
        <v>0</v>
      </c>
      <c r="CY11" s="43">
        <f t="shared" si="74"/>
        <v>56.666666666666664</v>
      </c>
      <c r="CZ11" s="43">
        <f t="shared" si="75"/>
        <v>0</v>
      </c>
      <c r="DA11" s="43">
        <f t="shared" si="76"/>
        <v>0</v>
      </c>
      <c r="DB11" s="43">
        <f t="shared" si="77"/>
        <v>0</v>
      </c>
      <c r="DC11" s="43">
        <f t="shared" si="78"/>
        <v>0</v>
      </c>
      <c r="DD11" s="43">
        <f t="shared" si="79"/>
        <v>0</v>
      </c>
      <c r="DE11" s="43">
        <f t="shared" si="80"/>
        <v>0</v>
      </c>
      <c r="DF11" s="43">
        <f t="shared" si="81"/>
        <v>0</v>
      </c>
      <c r="DG11" s="43">
        <f t="shared" si="82"/>
        <v>0</v>
      </c>
      <c r="DH11" s="43">
        <f t="shared" si="83"/>
        <v>0</v>
      </c>
      <c r="DI11" s="43">
        <f t="shared" si="84"/>
        <v>0</v>
      </c>
      <c r="DJ11" s="43">
        <f t="shared" si="85"/>
        <v>0</v>
      </c>
      <c r="DK11" s="43">
        <f t="shared" si="86"/>
        <v>0</v>
      </c>
      <c r="DL11" s="43">
        <f t="shared" si="87"/>
        <v>0</v>
      </c>
      <c r="DM11" s="767"/>
      <c r="DN11" s="43">
        <f t="shared" ref="DN11:DN23" si="206">CX11*(1+DN$9)</f>
        <v>0</v>
      </c>
      <c r="DO11" s="43">
        <f t="shared" si="88"/>
        <v>56.666666666666664</v>
      </c>
      <c r="DP11" s="43">
        <f t="shared" si="89"/>
        <v>0</v>
      </c>
      <c r="DQ11" s="43">
        <f t="shared" si="90"/>
        <v>0</v>
      </c>
      <c r="DR11" s="43">
        <f t="shared" si="91"/>
        <v>0</v>
      </c>
      <c r="DS11" s="43">
        <f t="shared" si="92"/>
        <v>0</v>
      </c>
      <c r="DT11" s="43">
        <f t="shared" si="93"/>
        <v>0</v>
      </c>
      <c r="DU11" s="43">
        <f t="shared" si="94"/>
        <v>0</v>
      </c>
      <c r="DV11" s="43">
        <f t="shared" si="95"/>
        <v>0</v>
      </c>
      <c r="DW11" s="43">
        <f t="shared" si="96"/>
        <v>0</v>
      </c>
      <c r="DX11" s="43">
        <f t="shared" si="97"/>
        <v>0</v>
      </c>
      <c r="DY11" s="43">
        <f t="shared" si="98"/>
        <v>0</v>
      </c>
      <c r="DZ11" s="43">
        <f t="shared" si="99"/>
        <v>0</v>
      </c>
      <c r="EA11" s="43">
        <f t="shared" si="100"/>
        <v>0</v>
      </c>
      <c r="EB11" s="43">
        <f t="shared" si="101"/>
        <v>0</v>
      </c>
      <c r="EC11" s="767"/>
      <c r="ED11" s="43">
        <f t="shared" ref="ED11:ED23" si="207">DN11*(1+ED$9)</f>
        <v>0</v>
      </c>
      <c r="EE11" s="43">
        <f t="shared" si="102"/>
        <v>56.666666666666664</v>
      </c>
      <c r="EF11" s="43">
        <f t="shared" si="103"/>
        <v>0</v>
      </c>
      <c r="EG11" s="43">
        <f t="shared" si="104"/>
        <v>0</v>
      </c>
      <c r="EH11" s="43">
        <f t="shared" si="105"/>
        <v>0</v>
      </c>
      <c r="EI11" s="43">
        <f t="shared" si="106"/>
        <v>0</v>
      </c>
      <c r="EJ11" s="43">
        <f t="shared" si="107"/>
        <v>0</v>
      </c>
      <c r="EK11" s="43">
        <f t="shared" si="108"/>
        <v>0</v>
      </c>
      <c r="EL11" s="43">
        <f t="shared" si="109"/>
        <v>0</v>
      </c>
      <c r="EM11" s="43">
        <f t="shared" si="110"/>
        <v>0</v>
      </c>
      <c r="EN11" s="43">
        <f t="shared" si="111"/>
        <v>0</v>
      </c>
      <c r="EO11" s="43">
        <f t="shared" si="112"/>
        <v>0</v>
      </c>
      <c r="EP11" s="43">
        <f t="shared" si="113"/>
        <v>0</v>
      </c>
      <c r="EQ11" s="43">
        <f t="shared" si="114"/>
        <v>0</v>
      </c>
      <c r="ER11" s="43">
        <f t="shared" si="115"/>
        <v>0</v>
      </c>
      <c r="ES11" s="767"/>
      <c r="ET11" s="43">
        <f t="shared" ref="ET11:ET23" si="208">ED11*(1+ET$9)</f>
        <v>0</v>
      </c>
      <c r="EU11" s="43">
        <f t="shared" si="116"/>
        <v>56.666666666666664</v>
      </c>
      <c r="EV11" s="43">
        <f t="shared" si="117"/>
        <v>0</v>
      </c>
      <c r="EW11" s="43">
        <f t="shared" si="118"/>
        <v>0</v>
      </c>
      <c r="EX11" s="43">
        <f t="shared" si="119"/>
        <v>0</v>
      </c>
      <c r="EY11" s="43">
        <f t="shared" si="120"/>
        <v>0</v>
      </c>
      <c r="EZ11" s="43">
        <f t="shared" si="121"/>
        <v>0</v>
      </c>
      <c r="FA11" s="43">
        <f t="shared" si="122"/>
        <v>0</v>
      </c>
      <c r="FB11" s="43">
        <f t="shared" si="123"/>
        <v>0</v>
      </c>
      <c r="FC11" s="43">
        <f t="shared" si="124"/>
        <v>0</v>
      </c>
      <c r="FD11" s="43">
        <f t="shared" si="125"/>
        <v>0</v>
      </c>
      <c r="FE11" s="43">
        <f t="shared" si="126"/>
        <v>0</v>
      </c>
      <c r="FF11" s="43">
        <f t="shared" si="127"/>
        <v>0</v>
      </c>
      <c r="FG11" s="43">
        <f t="shared" si="128"/>
        <v>0</v>
      </c>
      <c r="FH11" s="43">
        <f t="shared" si="129"/>
        <v>0</v>
      </c>
      <c r="FI11" s="767"/>
      <c r="FJ11" s="43">
        <f t="shared" ref="FJ11:FJ23" si="209">ET11*(1+FJ$9)</f>
        <v>0</v>
      </c>
      <c r="FK11" s="43">
        <f t="shared" si="130"/>
        <v>56.666666666666664</v>
      </c>
      <c r="FL11" s="43">
        <f t="shared" si="131"/>
        <v>0</v>
      </c>
      <c r="FM11" s="43">
        <f t="shared" si="132"/>
        <v>0</v>
      </c>
      <c r="FN11" s="43">
        <f t="shared" si="133"/>
        <v>0</v>
      </c>
      <c r="FO11" s="43">
        <f t="shared" si="134"/>
        <v>0</v>
      </c>
      <c r="FP11" s="43">
        <f t="shared" si="135"/>
        <v>0</v>
      </c>
      <c r="FQ11" s="43">
        <f t="shared" si="136"/>
        <v>0</v>
      </c>
      <c r="FR11" s="43">
        <f t="shared" si="137"/>
        <v>0</v>
      </c>
      <c r="FS11" s="43">
        <f t="shared" si="138"/>
        <v>0</v>
      </c>
      <c r="FT11" s="43">
        <f t="shared" si="139"/>
        <v>0</v>
      </c>
      <c r="FU11" s="43">
        <f t="shared" si="140"/>
        <v>0</v>
      </c>
      <c r="FV11" s="43">
        <f t="shared" si="141"/>
        <v>0</v>
      </c>
      <c r="FW11" s="43">
        <f t="shared" si="142"/>
        <v>0</v>
      </c>
      <c r="FX11" s="43">
        <f t="shared" si="143"/>
        <v>0</v>
      </c>
      <c r="FY11" s="767"/>
      <c r="FZ11" s="43">
        <f t="shared" ref="FZ11:FZ23" si="210">FJ11*(1+FZ$9)</f>
        <v>0</v>
      </c>
      <c r="GA11" s="43">
        <f t="shared" si="144"/>
        <v>56.666666666666664</v>
      </c>
      <c r="GB11" s="43">
        <f t="shared" si="145"/>
        <v>0</v>
      </c>
      <c r="GC11" s="43">
        <f t="shared" si="146"/>
        <v>0</v>
      </c>
      <c r="GD11" s="43">
        <f t="shared" si="147"/>
        <v>0</v>
      </c>
      <c r="GE11" s="43">
        <f t="shared" si="148"/>
        <v>0</v>
      </c>
      <c r="GF11" s="43">
        <f t="shared" si="149"/>
        <v>0</v>
      </c>
      <c r="GG11" s="43">
        <f t="shared" si="150"/>
        <v>0</v>
      </c>
      <c r="GH11" s="43">
        <f t="shared" si="151"/>
        <v>0</v>
      </c>
      <c r="GI11" s="43">
        <f t="shared" si="152"/>
        <v>0</v>
      </c>
      <c r="GJ11" s="43">
        <f t="shared" si="153"/>
        <v>0</v>
      </c>
      <c r="GK11" s="43">
        <f t="shared" si="154"/>
        <v>0</v>
      </c>
      <c r="GL11" s="43">
        <f t="shared" si="155"/>
        <v>0</v>
      </c>
      <c r="GM11" s="43">
        <f t="shared" si="156"/>
        <v>0</v>
      </c>
      <c r="GN11" s="43">
        <f t="shared" si="157"/>
        <v>0</v>
      </c>
      <c r="GO11" s="767"/>
      <c r="GP11" s="43">
        <f t="shared" ref="GP11:GP23" si="211">FZ11*(1+GP$9)</f>
        <v>0</v>
      </c>
      <c r="GQ11" s="43">
        <f t="shared" si="158"/>
        <v>56.666666666666664</v>
      </c>
      <c r="GR11" s="43">
        <f t="shared" si="159"/>
        <v>0</v>
      </c>
      <c r="GS11" s="43">
        <f t="shared" si="160"/>
        <v>0</v>
      </c>
      <c r="GT11" s="43">
        <f t="shared" si="161"/>
        <v>0</v>
      </c>
      <c r="GU11" s="43">
        <f t="shared" si="162"/>
        <v>0</v>
      </c>
      <c r="GV11" s="43">
        <f t="shared" si="163"/>
        <v>0</v>
      </c>
      <c r="GW11" s="43">
        <f t="shared" si="164"/>
        <v>0</v>
      </c>
      <c r="GX11" s="43">
        <f t="shared" si="165"/>
        <v>0</v>
      </c>
      <c r="GY11" s="43">
        <f t="shared" si="166"/>
        <v>0</v>
      </c>
      <c r="GZ11" s="43">
        <f t="shared" si="167"/>
        <v>0</v>
      </c>
      <c r="HA11" s="43">
        <f t="shared" si="168"/>
        <v>0</v>
      </c>
      <c r="HB11" s="43">
        <f t="shared" si="169"/>
        <v>0</v>
      </c>
      <c r="HC11" s="43">
        <f t="shared" si="170"/>
        <v>0</v>
      </c>
      <c r="HD11" s="43">
        <f t="shared" si="171"/>
        <v>0</v>
      </c>
      <c r="HE11" s="767"/>
      <c r="HF11" s="43">
        <f t="shared" ref="HF11:HF23" si="212">GP11*(1+HF$9)</f>
        <v>0</v>
      </c>
      <c r="HG11" s="43">
        <f t="shared" si="172"/>
        <v>56.666666666666664</v>
      </c>
      <c r="HH11" s="43">
        <f t="shared" si="173"/>
        <v>0</v>
      </c>
      <c r="HI11" s="43">
        <f t="shared" si="174"/>
        <v>0</v>
      </c>
      <c r="HJ11" s="43">
        <f t="shared" si="175"/>
        <v>0</v>
      </c>
      <c r="HK11" s="43">
        <f t="shared" si="176"/>
        <v>0</v>
      </c>
      <c r="HL11" s="43">
        <f t="shared" si="177"/>
        <v>0</v>
      </c>
      <c r="HM11" s="43">
        <f t="shared" si="178"/>
        <v>0</v>
      </c>
      <c r="HN11" s="43">
        <f t="shared" si="179"/>
        <v>0</v>
      </c>
      <c r="HO11" s="43">
        <f t="shared" si="180"/>
        <v>0</v>
      </c>
      <c r="HP11" s="43">
        <f t="shared" si="181"/>
        <v>0</v>
      </c>
      <c r="HQ11" s="43">
        <f t="shared" si="182"/>
        <v>0</v>
      </c>
      <c r="HR11" s="43">
        <f t="shared" si="183"/>
        <v>0</v>
      </c>
      <c r="HS11" s="43">
        <f t="shared" si="184"/>
        <v>0</v>
      </c>
      <c r="HT11" s="43">
        <f t="shared" si="185"/>
        <v>0</v>
      </c>
      <c r="HU11" s="767"/>
      <c r="HV11" s="43">
        <f t="shared" ref="HV11:HV23" si="213">HF11*(1+HV$9)</f>
        <v>0</v>
      </c>
      <c r="HW11" s="43">
        <f t="shared" si="186"/>
        <v>56.666666666666664</v>
      </c>
      <c r="HX11" s="43">
        <f t="shared" si="187"/>
        <v>0</v>
      </c>
      <c r="HY11" s="43">
        <f t="shared" si="188"/>
        <v>0</v>
      </c>
      <c r="HZ11" s="43">
        <f t="shared" si="189"/>
        <v>0</v>
      </c>
      <c r="IA11" s="43">
        <f t="shared" si="190"/>
        <v>0</v>
      </c>
      <c r="IB11" s="43">
        <f t="shared" si="191"/>
        <v>0</v>
      </c>
      <c r="IC11" s="43">
        <f t="shared" si="192"/>
        <v>0</v>
      </c>
      <c r="ID11" s="43">
        <f t="shared" si="193"/>
        <v>0</v>
      </c>
      <c r="IE11" s="43">
        <f t="shared" si="194"/>
        <v>0</v>
      </c>
      <c r="IF11" s="43">
        <f t="shared" si="195"/>
        <v>0</v>
      </c>
      <c r="IG11" s="43">
        <f t="shared" si="196"/>
        <v>0</v>
      </c>
      <c r="IH11" s="43">
        <f t="shared" si="197"/>
        <v>0</v>
      </c>
      <c r="II11" s="43">
        <f t="shared" si="198"/>
        <v>0</v>
      </c>
      <c r="IJ11" s="786">
        <f t="shared" si="199"/>
        <v>0</v>
      </c>
      <c r="IK11" s="794"/>
    </row>
    <row r="12" spans="1:245">
      <c r="A12" s="642">
        <f t="shared" ref="A12:A26" si="214">A11+1</f>
        <v>3</v>
      </c>
      <c r="B12" s="762" t="str">
        <f t="shared" si="15"/>
        <v>Functional Services Administrator</v>
      </c>
      <c r="C12" s="775"/>
      <c r="D12" s="769"/>
      <c r="E12" s="52" t="str">
        <f t="shared" si="16"/>
        <v>Functional Services AdministratorGovt_Sub</v>
      </c>
      <c r="F12" s="793"/>
      <c r="G12" s="43">
        <f>+G13</f>
        <v>56.666666666666664</v>
      </c>
      <c r="H12" s="43"/>
      <c r="I12" s="43"/>
      <c r="J12" s="43"/>
      <c r="K12" s="43"/>
      <c r="L12" s="43"/>
      <c r="M12" s="43"/>
      <c r="N12" s="43"/>
      <c r="O12" s="43"/>
      <c r="P12" s="43"/>
      <c r="Q12" s="43"/>
      <c r="R12" s="43"/>
      <c r="S12" s="43"/>
      <c r="T12" s="43"/>
      <c r="U12" s="767"/>
      <c r="V12" s="43">
        <f t="shared" si="200"/>
        <v>0</v>
      </c>
      <c r="W12" s="43">
        <f t="shared" si="17"/>
        <v>56.666666666666664</v>
      </c>
      <c r="X12" s="43">
        <f t="shared" si="17"/>
        <v>0</v>
      </c>
      <c r="Y12" s="43">
        <f t="shared" si="17"/>
        <v>0</v>
      </c>
      <c r="Z12" s="43">
        <f t="shared" si="17"/>
        <v>0</v>
      </c>
      <c r="AA12" s="43">
        <f t="shared" si="17"/>
        <v>0</v>
      </c>
      <c r="AB12" s="43">
        <f t="shared" si="17"/>
        <v>0</v>
      </c>
      <c r="AC12" s="43">
        <f t="shared" si="17"/>
        <v>0</v>
      </c>
      <c r="AD12" s="43">
        <f t="shared" si="17"/>
        <v>0</v>
      </c>
      <c r="AE12" s="43">
        <f t="shared" si="17"/>
        <v>0</v>
      </c>
      <c r="AF12" s="43">
        <f t="shared" si="17"/>
        <v>0</v>
      </c>
      <c r="AG12" s="43">
        <f t="shared" si="17"/>
        <v>0</v>
      </c>
      <c r="AH12" s="43">
        <f t="shared" si="17"/>
        <v>0</v>
      </c>
      <c r="AI12" s="43">
        <f t="shared" si="17"/>
        <v>0</v>
      </c>
      <c r="AJ12" s="43">
        <f t="shared" si="17"/>
        <v>0</v>
      </c>
      <c r="AK12" s="767"/>
      <c r="AL12" s="43">
        <f t="shared" si="201"/>
        <v>0</v>
      </c>
      <c r="AM12" s="43">
        <f t="shared" si="18"/>
        <v>56.666666666666664</v>
      </c>
      <c r="AN12" s="43">
        <f t="shared" si="19"/>
        <v>0</v>
      </c>
      <c r="AO12" s="43">
        <f t="shared" si="20"/>
        <v>0</v>
      </c>
      <c r="AP12" s="43">
        <f t="shared" si="21"/>
        <v>0</v>
      </c>
      <c r="AQ12" s="43">
        <f t="shared" si="22"/>
        <v>0</v>
      </c>
      <c r="AR12" s="43">
        <f t="shared" si="23"/>
        <v>0</v>
      </c>
      <c r="AS12" s="43">
        <f t="shared" si="24"/>
        <v>0</v>
      </c>
      <c r="AT12" s="43">
        <f t="shared" si="25"/>
        <v>0</v>
      </c>
      <c r="AU12" s="43">
        <f t="shared" si="26"/>
        <v>0</v>
      </c>
      <c r="AV12" s="43">
        <f t="shared" si="27"/>
        <v>0</v>
      </c>
      <c r="AW12" s="43">
        <f t="shared" si="28"/>
        <v>0</v>
      </c>
      <c r="AX12" s="43">
        <f t="shared" si="29"/>
        <v>0</v>
      </c>
      <c r="AY12" s="43">
        <f t="shared" si="30"/>
        <v>0</v>
      </c>
      <c r="AZ12" s="43">
        <f t="shared" si="31"/>
        <v>0</v>
      </c>
      <c r="BA12" s="767"/>
      <c r="BB12" s="43">
        <f t="shared" si="202"/>
        <v>0</v>
      </c>
      <c r="BC12" s="43">
        <f t="shared" si="32"/>
        <v>56.666666666666664</v>
      </c>
      <c r="BD12" s="43">
        <f t="shared" si="33"/>
        <v>0</v>
      </c>
      <c r="BE12" s="43">
        <f t="shared" si="34"/>
        <v>0</v>
      </c>
      <c r="BF12" s="43">
        <f t="shared" si="35"/>
        <v>0</v>
      </c>
      <c r="BG12" s="43">
        <f t="shared" si="36"/>
        <v>0</v>
      </c>
      <c r="BH12" s="43">
        <f t="shared" si="37"/>
        <v>0</v>
      </c>
      <c r="BI12" s="43">
        <f t="shared" si="38"/>
        <v>0</v>
      </c>
      <c r="BJ12" s="43">
        <f t="shared" si="39"/>
        <v>0</v>
      </c>
      <c r="BK12" s="43">
        <f t="shared" si="40"/>
        <v>0</v>
      </c>
      <c r="BL12" s="43">
        <f t="shared" si="41"/>
        <v>0</v>
      </c>
      <c r="BM12" s="43">
        <f t="shared" si="42"/>
        <v>0</v>
      </c>
      <c r="BN12" s="43">
        <f t="shared" si="43"/>
        <v>0</v>
      </c>
      <c r="BO12" s="43">
        <f t="shared" si="44"/>
        <v>0</v>
      </c>
      <c r="BP12" s="43">
        <f t="shared" si="45"/>
        <v>0</v>
      </c>
      <c r="BQ12" s="767"/>
      <c r="BR12" s="43">
        <f t="shared" si="203"/>
        <v>0</v>
      </c>
      <c r="BS12" s="43">
        <f t="shared" si="46"/>
        <v>56.666666666666664</v>
      </c>
      <c r="BT12" s="43">
        <f t="shared" si="47"/>
        <v>0</v>
      </c>
      <c r="BU12" s="43">
        <f t="shared" si="48"/>
        <v>0</v>
      </c>
      <c r="BV12" s="43">
        <f t="shared" si="49"/>
        <v>0</v>
      </c>
      <c r="BW12" s="43">
        <f t="shared" si="50"/>
        <v>0</v>
      </c>
      <c r="BX12" s="43">
        <f t="shared" si="51"/>
        <v>0</v>
      </c>
      <c r="BY12" s="43">
        <f t="shared" si="52"/>
        <v>0</v>
      </c>
      <c r="BZ12" s="43">
        <f t="shared" si="53"/>
        <v>0</v>
      </c>
      <c r="CA12" s="43">
        <f t="shared" si="54"/>
        <v>0</v>
      </c>
      <c r="CB12" s="43">
        <f t="shared" si="55"/>
        <v>0</v>
      </c>
      <c r="CC12" s="43">
        <f t="shared" si="56"/>
        <v>0</v>
      </c>
      <c r="CD12" s="43">
        <f t="shared" si="57"/>
        <v>0</v>
      </c>
      <c r="CE12" s="43">
        <f t="shared" si="58"/>
        <v>0</v>
      </c>
      <c r="CF12" s="43">
        <f t="shared" si="59"/>
        <v>0</v>
      </c>
      <c r="CG12" s="767"/>
      <c r="CH12" s="43">
        <f t="shared" si="204"/>
        <v>0</v>
      </c>
      <c r="CI12" s="43">
        <f t="shared" si="60"/>
        <v>56.666666666666664</v>
      </c>
      <c r="CJ12" s="43">
        <f t="shared" si="61"/>
        <v>0</v>
      </c>
      <c r="CK12" s="43">
        <f t="shared" si="62"/>
        <v>0</v>
      </c>
      <c r="CL12" s="43">
        <f t="shared" si="63"/>
        <v>0</v>
      </c>
      <c r="CM12" s="43">
        <f t="shared" si="64"/>
        <v>0</v>
      </c>
      <c r="CN12" s="43">
        <f t="shared" si="65"/>
        <v>0</v>
      </c>
      <c r="CO12" s="43">
        <f t="shared" si="66"/>
        <v>0</v>
      </c>
      <c r="CP12" s="43">
        <f t="shared" si="67"/>
        <v>0</v>
      </c>
      <c r="CQ12" s="43">
        <f t="shared" si="68"/>
        <v>0</v>
      </c>
      <c r="CR12" s="43">
        <f t="shared" si="69"/>
        <v>0</v>
      </c>
      <c r="CS12" s="43">
        <f t="shared" si="70"/>
        <v>0</v>
      </c>
      <c r="CT12" s="43">
        <f t="shared" si="71"/>
        <v>0</v>
      </c>
      <c r="CU12" s="43">
        <f t="shared" si="72"/>
        <v>0</v>
      </c>
      <c r="CV12" s="43">
        <f t="shared" si="73"/>
        <v>0</v>
      </c>
      <c r="CW12" s="767"/>
      <c r="CX12" s="43">
        <f t="shared" si="205"/>
        <v>0</v>
      </c>
      <c r="CY12" s="43">
        <f t="shared" si="74"/>
        <v>56.666666666666664</v>
      </c>
      <c r="CZ12" s="43">
        <f t="shared" si="75"/>
        <v>0</v>
      </c>
      <c r="DA12" s="43">
        <f t="shared" si="76"/>
        <v>0</v>
      </c>
      <c r="DB12" s="43">
        <f t="shared" si="77"/>
        <v>0</v>
      </c>
      <c r="DC12" s="43">
        <f t="shared" si="78"/>
        <v>0</v>
      </c>
      <c r="DD12" s="43">
        <f t="shared" si="79"/>
        <v>0</v>
      </c>
      <c r="DE12" s="43">
        <f t="shared" si="80"/>
        <v>0</v>
      </c>
      <c r="DF12" s="43">
        <f t="shared" si="81"/>
        <v>0</v>
      </c>
      <c r="DG12" s="43">
        <f t="shared" si="82"/>
        <v>0</v>
      </c>
      <c r="DH12" s="43">
        <f t="shared" si="83"/>
        <v>0</v>
      </c>
      <c r="DI12" s="43">
        <f t="shared" si="84"/>
        <v>0</v>
      </c>
      <c r="DJ12" s="43">
        <f t="shared" si="85"/>
        <v>0</v>
      </c>
      <c r="DK12" s="43">
        <f t="shared" si="86"/>
        <v>0</v>
      </c>
      <c r="DL12" s="43">
        <f t="shared" si="87"/>
        <v>0</v>
      </c>
      <c r="DM12" s="767"/>
      <c r="DN12" s="43">
        <f t="shared" si="206"/>
        <v>0</v>
      </c>
      <c r="DO12" s="43">
        <f t="shared" si="88"/>
        <v>56.666666666666664</v>
      </c>
      <c r="DP12" s="43">
        <f t="shared" si="89"/>
        <v>0</v>
      </c>
      <c r="DQ12" s="43">
        <f t="shared" si="90"/>
        <v>0</v>
      </c>
      <c r="DR12" s="43">
        <f t="shared" si="91"/>
        <v>0</v>
      </c>
      <c r="DS12" s="43">
        <f t="shared" si="92"/>
        <v>0</v>
      </c>
      <c r="DT12" s="43">
        <f t="shared" si="93"/>
        <v>0</v>
      </c>
      <c r="DU12" s="43">
        <f t="shared" si="94"/>
        <v>0</v>
      </c>
      <c r="DV12" s="43">
        <f t="shared" si="95"/>
        <v>0</v>
      </c>
      <c r="DW12" s="43">
        <f t="shared" si="96"/>
        <v>0</v>
      </c>
      <c r="DX12" s="43">
        <f t="shared" si="97"/>
        <v>0</v>
      </c>
      <c r="DY12" s="43">
        <f t="shared" si="98"/>
        <v>0</v>
      </c>
      <c r="DZ12" s="43">
        <f t="shared" si="99"/>
        <v>0</v>
      </c>
      <c r="EA12" s="43">
        <f t="shared" si="100"/>
        <v>0</v>
      </c>
      <c r="EB12" s="43">
        <f t="shared" si="101"/>
        <v>0</v>
      </c>
      <c r="EC12" s="767"/>
      <c r="ED12" s="43">
        <f t="shared" si="207"/>
        <v>0</v>
      </c>
      <c r="EE12" s="43">
        <f t="shared" si="102"/>
        <v>56.666666666666664</v>
      </c>
      <c r="EF12" s="43">
        <f t="shared" si="103"/>
        <v>0</v>
      </c>
      <c r="EG12" s="43">
        <f t="shared" si="104"/>
        <v>0</v>
      </c>
      <c r="EH12" s="43">
        <f t="shared" si="105"/>
        <v>0</v>
      </c>
      <c r="EI12" s="43">
        <f t="shared" si="106"/>
        <v>0</v>
      </c>
      <c r="EJ12" s="43">
        <f t="shared" si="107"/>
        <v>0</v>
      </c>
      <c r="EK12" s="43">
        <f t="shared" si="108"/>
        <v>0</v>
      </c>
      <c r="EL12" s="43">
        <f t="shared" si="109"/>
        <v>0</v>
      </c>
      <c r="EM12" s="43">
        <f t="shared" si="110"/>
        <v>0</v>
      </c>
      <c r="EN12" s="43">
        <f t="shared" si="111"/>
        <v>0</v>
      </c>
      <c r="EO12" s="43">
        <f t="shared" si="112"/>
        <v>0</v>
      </c>
      <c r="EP12" s="43">
        <f t="shared" si="113"/>
        <v>0</v>
      </c>
      <c r="EQ12" s="43">
        <f t="shared" si="114"/>
        <v>0</v>
      </c>
      <c r="ER12" s="43">
        <f t="shared" si="115"/>
        <v>0</v>
      </c>
      <c r="ES12" s="767"/>
      <c r="ET12" s="43">
        <f t="shared" si="208"/>
        <v>0</v>
      </c>
      <c r="EU12" s="43">
        <f t="shared" si="116"/>
        <v>56.666666666666664</v>
      </c>
      <c r="EV12" s="43">
        <f t="shared" si="117"/>
        <v>0</v>
      </c>
      <c r="EW12" s="43">
        <f t="shared" si="118"/>
        <v>0</v>
      </c>
      <c r="EX12" s="43">
        <f t="shared" si="119"/>
        <v>0</v>
      </c>
      <c r="EY12" s="43">
        <f t="shared" si="120"/>
        <v>0</v>
      </c>
      <c r="EZ12" s="43">
        <f t="shared" si="121"/>
        <v>0</v>
      </c>
      <c r="FA12" s="43">
        <f t="shared" si="122"/>
        <v>0</v>
      </c>
      <c r="FB12" s="43">
        <f t="shared" si="123"/>
        <v>0</v>
      </c>
      <c r="FC12" s="43">
        <f t="shared" si="124"/>
        <v>0</v>
      </c>
      <c r="FD12" s="43">
        <f t="shared" si="125"/>
        <v>0</v>
      </c>
      <c r="FE12" s="43">
        <f t="shared" si="126"/>
        <v>0</v>
      </c>
      <c r="FF12" s="43">
        <f t="shared" si="127"/>
        <v>0</v>
      </c>
      <c r="FG12" s="43">
        <f t="shared" si="128"/>
        <v>0</v>
      </c>
      <c r="FH12" s="43">
        <f t="shared" si="129"/>
        <v>0</v>
      </c>
      <c r="FI12" s="767"/>
      <c r="FJ12" s="43">
        <f t="shared" si="209"/>
        <v>0</v>
      </c>
      <c r="FK12" s="43">
        <f t="shared" si="130"/>
        <v>56.666666666666664</v>
      </c>
      <c r="FL12" s="43">
        <f t="shared" si="131"/>
        <v>0</v>
      </c>
      <c r="FM12" s="43">
        <f t="shared" si="132"/>
        <v>0</v>
      </c>
      <c r="FN12" s="43">
        <f t="shared" si="133"/>
        <v>0</v>
      </c>
      <c r="FO12" s="43">
        <f t="shared" si="134"/>
        <v>0</v>
      </c>
      <c r="FP12" s="43">
        <f t="shared" si="135"/>
        <v>0</v>
      </c>
      <c r="FQ12" s="43">
        <f t="shared" si="136"/>
        <v>0</v>
      </c>
      <c r="FR12" s="43">
        <f t="shared" si="137"/>
        <v>0</v>
      </c>
      <c r="FS12" s="43">
        <f t="shared" si="138"/>
        <v>0</v>
      </c>
      <c r="FT12" s="43">
        <f t="shared" si="139"/>
        <v>0</v>
      </c>
      <c r="FU12" s="43">
        <f t="shared" si="140"/>
        <v>0</v>
      </c>
      <c r="FV12" s="43">
        <f t="shared" si="141"/>
        <v>0</v>
      </c>
      <c r="FW12" s="43">
        <f t="shared" si="142"/>
        <v>0</v>
      </c>
      <c r="FX12" s="43">
        <f t="shared" si="143"/>
        <v>0</v>
      </c>
      <c r="FY12" s="767"/>
      <c r="FZ12" s="43">
        <f t="shared" si="210"/>
        <v>0</v>
      </c>
      <c r="GA12" s="43">
        <f t="shared" si="144"/>
        <v>56.666666666666664</v>
      </c>
      <c r="GB12" s="43">
        <f t="shared" si="145"/>
        <v>0</v>
      </c>
      <c r="GC12" s="43">
        <f t="shared" si="146"/>
        <v>0</v>
      </c>
      <c r="GD12" s="43">
        <f t="shared" si="147"/>
        <v>0</v>
      </c>
      <c r="GE12" s="43">
        <f t="shared" si="148"/>
        <v>0</v>
      </c>
      <c r="GF12" s="43">
        <f t="shared" si="149"/>
        <v>0</v>
      </c>
      <c r="GG12" s="43">
        <f t="shared" si="150"/>
        <v>0</v>
      </c>
      <c r="GH12" s="43">
        <f t="shared" si="151"/>
        <v>0</v>
      </c>
      <c r="GI12" s="43">
        <f t="shared" si="152"/>
        <v>0</v>
      </c>
      <c r="GJ12" s="43">
        <f t="shared" si="153"/>
        <v>0</v>
      </c>
      <c r="GK12" s="43">
        <f t="shared" si="154"/>
        <v>0</v>
      </c>
      <c r="GL12" s="43">
        <f t="shared" si="155"/>
        <v>0</v>
      </c>
      <c r="GM12" s="43">
        <f t="shared" si="156"/>
        <v>0</v>
      </c>
      <c r="GN12" s="43">
        <f t="shared" si="157"/>
        <v>0</v>
      </c>
      <c r="GO12" s="767"/>
      <c r="GP12" s="43">
        <f t="shared" si="211"/>
        <v>0</v>
      </c>
      <c r="GQ12" s="43">
        <f t="shared" si="158"/>
        <v>56.666666666666664</v>
      </c>
      <c r="GR12" s="43">
        <f t="shared" si="159"/>
        <v>0</v>
      </c>
      <c r="GS12" s="43">
        <f t="shared" si="160"/>
        <v>0</v>
      </c>
      <c r="GT12" s="43">
        <f t="shared" si="161"/>
        <v>0</v>
      </c>
      <c r="GU12" s="43">
        <f t="shared" si="162"/>
        <v>0</v>
      </c>
      <c r="GV12" s="43">
        <f t="shared" si="163"/>
        <v>0</v>
      </c>
      <c r="GW12" s="43">
        <f t="shared" si="164"/>
        <v>0</v>
      </c>
      <c r="GX12" s="43">
        <f t="shared" si="165"/>
        <v>0</v>
      </c>
      <c r="GY12" s="43">
        <f t="shared" si="166"/>
        <v>0</v>
      </c>
      <c r="GZ12" s="43">
        <f t="shared" si="167"/>
        <v>0</v>
      </c>
      <c r="HA12" s="43">
        <f t="shared" si="168"/>
        <v>0</v>
      </c>
      <c r="HB12" s="43">
        <f t="shared" si="169"/>
        <v>0</v>
      </c>
      <c r="HC12" s="43">
        <f t="shared" si="170"/>
        <v>0</v>
      </c>
      <c r="HD12" s="43">
        <f t="shared" si="171"/>
        <v>0</v>
      </c>
      <c r="HE12" s="767"/>
      <c r="HF12" s="43">
        <f t="shared" si="212"/>
        <v>0</v>
      </c>
      <c r="HG12" s="43">
        <f t="shared" si="172"/>
        <v>56.666666666666664</v>
      </c>
      <c r="HH12" s="43">
        <f t="shared" si="173"/>
        <v>0</v>
      </c>
      <c r="HI12" s="43">
        <f t="shared" si="174"/>
        <v>0</v>
      </c>
      <c r="HJ12" s="43">
        <f t="shared" si="175"/>
        <v>0</v>
      </c>
      <c r="HK12" s="43">
        <f t="shared" si="176"/>
        <v>0</v>
      </c>
      <c r="HL12" s="43">
        <f t="shared" si="177"/>
        <v>0</v>
      </c>
      <c r="HM12" s="43">
        <f t="shared" si="178"/>
        <v>0</v>
      </c>
      <c r="HN12" s="43">
        <f t="shared" si="179"/>
        <v>0</v>
      </c>
      <c r="HO12" s="43">
        <f t="shared" si="180"/>
        <v>0</v>
      </c>
      <c r="HP12" s="43">
        <f t="shared" si="181"/>
        <v>0</v>
      </c>
      <c r="HQ12" s="43">
        <f t="shared" si="182"/>
        <v>0</v>
      </c>
      <c r="HR12" s="43">
        <f t="shared" si="183"/>
        <v>0</v>
      </c>
      <c r="HS12" s="43">
        <f t="shared" si="184"/>
        <v>0</v>
      </c>
      <c r="HT12" s="43">
        <f t="shared" si="185"/>
        <v>0</v>
      </c>
      <c r="HU12" s="767"/>
      <c r="HV12" s="43">
        <f t="shared" si="213"/>
        <v>0</v>
      </c>
      <c r="HW12" s="43">
        <f t="shared" si="186"/>
        <v>56.666666666666664</v>
      </c>
      <c r="HX12" s="43">
        <f t="shared" si="187"/>
        <v>0</v>
      </c>
      <c r="HY12" s="43">
        <f t="shared" si="188"/>
        <v>0</v>
      </c>
      <c r="HZ12" s="43">
        <f t="shared" si="189"/>
        <v>0</v>
      </c>
      <c r="IA12" s="43">
        <f t="shared" si="190"/>
        <v>0</v>
      </c>
      <c r="IB12" s="43">
        <f t="shared" si="191"/>
        <v>0</v>
      </c>
      <c r="IC12" s="43">
        <f t="shared" si="192"/>
        <v>0</v>
      </c>
      <c r="ID12" s="43">
        <f t="shared" si="193"/>
        <v>0</v>
      </c>
      <c r="IE12" s="43">
        <f t="shared" si="194"/>
        <v>0</v>
      </c>
      <c r="IF12" s="43">
        <f t="shared" si="195"/>
        <v>0</v>
      </c>
      <c r="IG12" s="43">
        <f t="shared" si="196"/>
        <v>0</v>
      </c>
      <c r="IH12" s="43">
        <f t="shared" si="197"/>
        <v>0</v>
      </c>
      <c r="II12" s="43">
        <f t="shared" si="198"/>
        <v>0</v>
      </c>
      <c r="IJ12" s="786">
        <f t="shared" si="199"/>
        <v>0</v>
      </c>
      <c r="IK12" s="794"/>
    </row>
    <row r="13" spans="1:245">
      <c r="A13" s="642">
        <f t="shared" si="214"/>
        <v>4</v>
      </c>
      <c r="B13" s="762" t="str">
        <f t="shared" si="15"/>
        <v>Functional Services Administrator</v>
      </c>
      <c r="C13" s="775"/>
      <c r="D13" s="769"/>
      <c r="E13" s="52" t="str">
        <f t="shared" si="16"/>
        <v>Functional Services AdministratorGovt_Sub</v>
      </c>
      <c r="F13" s="793"/>
      <c r="G13" s="43">
        <f>+InputSheet!AB176</f>
        <v>56.666666666666664</v>
      </c>
      <c r="H13" s="43"/>
      <c r="I13" s="43"/>
      <c r="J13" s="43"/>
      <c r="K13" s="43"/>
      <c r="L13" s="43"/>
      <c r="M13" s="43"/>
      <c r="N13" s="43"/>
      <c r="O13" s="43"/>
      <c r="P13" s="43"/>
      <c r="Q13" s="43"/>
      <c r="R13" s="43"/>
      <c r="S13" s="43"/>
      <c r="T13" s="43"/>
      <c r="U13" s="767"/>
      <c r="V13" s="43">
        <f t="shared" si="200"/>
        <v>0</v>
      </c>
      <c r="W13" s="43">
        <f t="shared" si="17"/>
        <v>56.666666666666664</v>
      </c>
      <c r="X13" s="43">
        <f t="shared" si="17"/>
        <v>0</v>
      </c>
      <c r="Y13" s="43">
        <f t="shared" si="17"/>
        <v>0</v>
      </c>
      <c r="Z13" s="43">
        <f t="shared" si="17"/>
        <v>0</v>
      </c>
      <c r="AA13" s="43">
        <f t="shared" si="17"/>
        <v>0</v>
      </c>
      <c r="AB13" s="43">
        <f t="shared" si="17"/>
        <v>0</v>
      </c>
      <c r="AC13" s="43">
        <f t="shared" si="17"/>
        <v>0</v>
      </c>
      <c r="AD13" s="43">
        <f t="shared" si="17"/>
        <v>0</v>
      </c>
      <c r="AE13" s="43">
        <f t="shared" si="17"/>
        <v>0</v>
      </c>
      <c r="AF13" s="43">
        <f t="shared" si="17"/>
        <v>0</v>
      </c>
      <c r="AG13" s="43">
        <f t="shared" si="17"/>
        <v>0</v>
      </c>
      <c r="AH13" s="43">
        <f t="shared" si="17"/>
        <v>0</v>
      </c>
      <c r="AI13" s="43">
        <f t="shared" si="17"/>
        <v>0</v>
      </c>
      <c r="AJ13" s="43">
        <f t="shared" si="17"/>
        <v>0</v>
      </c>
      <c r="AK13" s="767"/>
      <c r="AL13" s="43">
        <f t="shared" si="201"/>
        <v>0</v>
      </c>
      <c r="AM13" s="43">
        <f t="shared" si="18"/>
        <v>56.666666666666664</v>
      </c>
      <c r="AN13" s="43">
        <f t="shared" si="19"/>
        <v>0</v>
      </c>
      <c r="AO13" s="43">
        <f t="shared" si="20"/>
        <v>0</v>
      </c>
      <c r="AP13" s="43">
        <f t="shared" si="21"/>
        <v>0</v>
      </c>
      <c r="AQ13" s="43">
        <f t="shared" si="22"/>
        <v>0</v>
      </c>
      <c r="AR13" s="43">
        <f t="shared" si="23"/>
        <v>0</v>
      </c>
      <c r="AS13" s="43">
        <f t="shared" si="24"/>
        <v>0</v>
      </c>
      <c r="AT13" s="43">
        <f t="shared" si="25"/>
        <v>0</v>
      </c>
      <c r="AU13" s="43">
        <f t="shared" si="26"/>
        <v>0</v>
      </c>
      <c r="AV13" s="43">
        <f t="shared" si="27"/>
        <v>0</v>
      </c>
      <c r="AW13" s="43">
        <f t="shared" si="28"/>
        <v>0</v>
      </c>
      <c r="AX13" s="43">
        <f t="shared" si="29"/>
        <v>0</v>
      </c>
      <c r="AY13" s="43">
        <f t="shared" si="30"/>
        <v>0</v>
      </c>
      <c r="AZ13" s="43">
        <f t="shared" si="31"/>
        <v>0</v>
      </c>
      <c r="BA13" s="767"/>
      <c r="BB13" s="43">
        <f t="shared" si="202"/>
        <v>0</v>
      </c>
      <c r="BC13" s="43">
        <f t="shared" si="32"/>
        <v>56.666666666666664</v>
      </c>
      <c r="BD13" s="43">
        <f t="shared" si="33"/>
        <v>0</v>
      </c>
      <c r="BE13" s="43">
        <f t="shared" si="34"/>
        <v>0</v>
      </c>
      <c r="BF13" s="43">
        <f t="shared" si="35"/>
        <v>0</v>
      </c>
      <c r="BG13" s="43">
        <f t="shared" si="36"/>
        <v>0</v>
      </c>
      <c r="BH13" s="43">
        <f t="shared" si="37"/>
        <v>0</v>
      </c>
      <c r="BI13" s="43">
        <f t="shared" si="38"/>
        <v>0</v>
      </c>
      <c r="BJ13" s="43">
        <f t="shared" si="39"/>
        <v>0</v>
      </c>
      <c r="BK13" s="43">
        <f t="shared" si="40"/>
        <v>0</v>
      </c>
      <c r="BL13" s="43">
        <f t="shared" si="41"/>
        <v>0</v>
      </c>
      <c r="BM13" s="43">
        <f t="shared" si="42"/>
        <v>0</v>
      </c>
      <c r="BN13" s="43">
        <f t="shared" si="43"/>
        <v>0</v>
      </c>
      <c r="BO13" s="43">
        <f t="shared" si="44"/>
        <v>0</v>
      </c>
      <c r="BP13" s="43">
        <f t="shared" si="45"/>
        <v>0</v>
      </c>
      <c r="BQ13" s="767"/>
      <c r="BR13" s="43">
        <f t="shared" si="203"/>
        <v>0</v>
      </c>
      <c r="BS13" s="43">
        <f t="shared" si="46"/>
        <v>56.666666666666664</v>
      </c>
      <c r="BT13" s="43">
        <f t="shared" si="47"/>
        <v>0</v>
      </c>
      <c r="BU13" s="43">
        <f t="shared" si="48"/>
        <v>0</v>
      </c>
      <c r="BV13" s="43">
        <f t="shared" si="49"/>
        <v>0</v>
      </c>
      <c r="BW13" s="43">
        <f t="shared" si="50"/>
        <v>0</v>
      </c>
      <c r="BX13" s="43">
        <f t="shared" si="51"/>
        <v>0</v>
      </c>
      <c r="BY13" s="43">
        <f t="shared" si="52"/>
        <v>0</v>
      </c>
      <c r="BZ13" s="43">
        <f t="shared" si="53"/>
        <v>0</v>
      </c>
      <c r="CA13" s="43">
        <f t="shared" si="54"/>
        <v>0</v>
      </c>
      <c r="CB13" s="43">
        <f t="shared" si="55"/>
        <v>0</v>
      </c>
      <c r="CC13" s="43">
        <f t="shared" si="56"/>
        <v>0</v>
      </c>
      <c r="CD13" s="43">
        <f t="shared" si="57"/>
        <v>0</v>
      </c>
      <c r="CE13" s="43">
        <f t="shared" si="58"/>
        <v>0</v>
      </c>
      <c r="CF13" s="43">
        <f t="shared" si="59"/>
        <v>0</v>
      </c>
      <c r="CG13" s="767"/>
      <c r="CH13" s="43">
        <f t="shared" si="204"/>
        <v>0</v>
      </c>
      <c r="CI13" s="43">
        <f t="shared" si="60"/>
        <v>56.666666666666664</v>
      </c>
      <c r="CJ13" s="43">
        <f t="shared" si="61"/>
        <v>0</v>
      </c>
      <c r="CK13" s="43">
        <f t="shared" si="62"/>
        <v>0</v>
      </c>
      <c r="CL13" s="43">
        <f t="shared" si="63"/>
        <v>0</v>
      </c>
      <c r="CM13" s="43">
        <f t="shared" si="64"/>
        <v>0</v>
      </c>
      <c r="CN13" s="43">
        <f t="shared" si="65"/>
        <v>0</v>
      </c>
      <c r="CO13" s="43">
        <f t="shared" si="66"/>
        <v>0</v>
      </c>
      <c r="CP13" s="43">
        <f t="shared" si="67"/>
        <v>0</v>
      </c>
      <c r="CQ13" s="43">
        <f t="shared" si="68"/>
        <v>0</v>
      </c>
      <c r="CR13" s="43">
        <f t="shared" si="69"/>
        <v>0</v>
      </c>
      <c r="CS13" s="43">
        <f t="shared" si="70"/>
        <v>0</v>
      </c>
      <c r="CT13" s="43">
        <f t="shared" si="71"/>
        <v>0</v>
      </c>
      <c r="CU13" s="43">
        <f t="shared" si="72"/>
        <v>0</v>
      </c>
      <c r="CV13" s="43">
        <f t="shared" si="73"/>
        <v>0</v>
      </c>
      <c r="CW13" s="767"/>
      <c r="CX13" s="43">
        <f t="shared" si="205"/>
        <v>0</v>
      </c>
      <c r="CY13" s="43">
        <f t="shared" si="74"/>
        <v>56.666666666666664</v>
      </c>
      <c r="CZ13" s="43">
        <f t="shared" si="75"/>
        <v>0</v>
      </c>
      <c r="DA13" s="43">
        <f t="shared" si="76"/>
        <v>0</v>
      </c>
      <c r="DB13" s="43">
        <f t="shared" si="77"/>
        <v>0</v>
      </c>
      <c r="DC13" s="43">
        <f t="shared" si="78"/>
        <v>0</v>
      </c>
      <c r="DD13" s="43">
        <f t="shared" si="79"/>
        <v>0</v>
      </c>
      <c r="DE13" s="43">
        <f t="shared" si="80"/>
        <v>0</v>
      </c>
      <c r="DF13" s="43">
        <f t="shared" si="81"/>
        <v>0</v>
      </c>
      <c r="DG13" s="43">
        <f t="shared" si="82"/>
        <v>0</v>
      </c>
      <c r="DH13" s="43">
        <f t="shared" si="83"/>
        <v>0</v>
      </c>
      <c r="DI13" s="43">
        <f t="shared" si="84"/>
        <v>0</v>
      </c>
      <c r="DJ13" s="43">
        <f t="shared" si="85"/>
        <v>0</v>
      </c>
      <c r="DK13" s="43">
        <f t="shared" si="86"/>
        <v>0</v>
      </c>
      <c r="DL13" s="43">
        <f t="shared" si="87"/>
        <v>0</v>
      </c>
      <c r="DM13" s="767"/>
      <c r="DN13" s="43">
        <f t="shared" si="206"/>
        <v>0</v>
      </c>
      <c r="DO13" s="43">
        <f t="shared" si="88"/>
        <v>56.666666666666664</v>
      </c>
      <c r="DP13" s="43">
        <f t="shared" si="89"/>
        <v>0</v>
      </c>
      <c r="DQ13" s="43">
        <f t="shared" si="90"/>
        <v>0</v>
      </c>
      <c r="DR13" s="43">
        <f t="shared" si="91"/>
        <v>0</v>
      </c>
      <c r="DS13" s="43">
        <f t="shared" si="92"/>
        <v>0</v>
      </c>
      <c r="DT13" s="43">
        <f t="shared" si="93"/>
        <v>0</v>
      </c>
      <c r="DU13" s="43">
        <f t="shared" si="94"/>
        <v>0</v>
      </c>
      <c r="DV13" s="43">
        <f t="shared" si="95"/>
        <v>0</v>
      </c>
      <c r="DW13" s="43">
        <f t="shared" si="96"/>
        <v>0</v>
      </c>
      <c r="DX13" s="43">
        <f t="shared" si="97"/>
        <v>0</v>
      </c>
      <c r="DY13" s="43">
        <f t="shared" si="98"/>
        <v>0</v>
      </c>
      <c r="DZ13" s="43">
        <f t="shared" si="99"/>
        <v>0</v>
      </c>
      <c r="EA13" s="43">
        <f t="shared" si="100"/>
        <v>0</v>
      </c>
      <c r="EB13" s="43">
        <f t="shared" si="101"/>
        <v>0</v>
      </c>
      <c r="EC13" s="767"/>
      <c r="ED13" s="43">
        <f t="shared" si="207"/>
        <v>0</v>
      </c>
      <c r="EE13" s="43">
        <f t="shared" si="102"/>
        <v>56.666666666666664</v>
      </c>
      <c r="EF13" s="43">
        <f t="shared" si="103"/>
        <v>0</v>
      </c>
      <c r="EG13" s="43">
        <f t="shared" si="104"/>
        <v>0</v>
      </c>
      <c r="EH13" s="43">
        <f t="shared" si="105"/>
        <v>0</v>
      </c>
      <c r="EI13" s="43">
        <f t="shared" si="106"/>
        <v>0</v>
      </c>
      <c r="EJ13" s="43">
        <f t="shared" si="107"/>
        <v>0</v>
      </c>
      <c r="EK13" s="43">
        <f t="shared" si="108"/>
        <v>0</v>
      </c>
      <c r="EL13" s="43">
        <f t="shared" si="109"/>
        <v>0</v>
      </c>
      <c r="EM13" s="43">
        <f t="shared" si="110"/>
        <v>0</v>
      </c>
      <c r="EN13" s="43">
        <f t="shared" si="111"/>
        <v>0</v>
      </c>
      <c r="EO13" s="43">
        <f t="shared" si="112"/>
        <v>0</v>
      </c>
      <c r="EP13" s="43">
        <f t="shared" si="113"/>
        <v>0</v>
      </c>
      <c r="EQ13" s="43">
        <f t="shared" si="114"/>
        <v>0</v>
      </c>
      <c r="ER13" s="43">
        <f t="shared" si="115"/>
        <v>0</v>
      </c>
      <c r="ES13" s="767"/>
      <c r="ET13" s="43">
        <f t="shared" si="208"/>
        <v>0</v>
      </c>
      <c r="EU13" s="43">
        <f t="shared" si="116"/>
        <v>56.666666666666664</v>
      </c>
      <c r="EV13" s="43">
        <f t="shared" si="117"/>
        <v>0</v>
      </c>
      <c r="EW13" s="43">
        <f t="shared" si="118"/>
        <v>0</v>
      </c>
      <c r="EX13" s="43">
        <f t="shared" si="119"/>
        <v>0</v>
      </c>
      <c r="EY13" s="43">
        <f t="shared" si="120"/>
        <v>0</v>
      </c>
      <c r="EZ13" s="43">
        <f t="shared" si="121"/>
        <v>0</v>
      </c>
      <c r="FA13" s="43">
        <f t="shared" si="122"/>
        <v>0</v>
      </c>
      <c r="FB13" s="43">
        <f t="shared" si="123"/>
        <v>0</v>
      </c>
      <c r="FC13" s="43">
        <f t="shared" si="124"/>
        <v>0</v>
      </c>
      <c r="FD13" s="43">
        <f t="shared" si="125"/>
        <v>0</v>
      </c>
      <c r="FE13" s="43">
        <f t="shared" si="126"/>
        <v>0</v>
      </c>
      <c r="FF13" s="43">
        <f t="shared" si="127"/>
        <v>0</v>
      </c>
      <c r="FG13" s="43">
        <f t="shared" si="128"/>
        <v>0</v>
      </c>
      <c r="FH13" s="43">
        <f t="shared" si="129"/>
        <v>0</v>
      </c>
      <c r="FI13" s="767"/>
      <c r="FJ13" s="43">
        <f t="shared" si="209"/>
        <v>0</v>
      </c>
      <c r="FK13" s="43">
        <f t="shared" si="130"/>
        <v>56.666666666666664</v>
      </c>
      <c r="FL13" s="43">
        <f t="shared" si="131"/>
        <v>0</v>
      </c>
      <c r="FM13" s="43">
        <f t="shared" si="132"/>
        <v>0</v>
      </c>
      <c r="FN13" s="43">
        <f t="shared" si="133"/>
        <v>0</v>
      </c>
      <c r="FO13" s="43">
        <f t="shared" si="134"/>
        <v>0</v>
      </c>
      <c r="FP13" s="43">
        <f t="shared" si="135"/>
        <v>0</v>
      </c>
      <c r="FQ13" s="43">
        <f t="shared" si="136"/>
        <v>0</v>
      </c>
      <c r="FR13" s="43">
        <f t="shared" si="137"/>
        <v>0</v>
      </c>
      <c r="FS13" s="43">
        <f t="shared" si="138"/>
        <v>0</v>
      </c>
      <c r="FT13" s="43">
        <f t="shared" si="139"/>
        <v>0</v>
      </c>
      <c r="FU13" s="43">
        <f t="shared" si="140"/>
        <v>0</v>
      </c>
      <c r="FV13" s="43">
        <f t="shared" si="141"/>
        <v>0</v>
      </c>
      <c r="FW13" s="43">
        <f t="shared" si="142"/>
        <v>0</v>
      </c>
      <c r="FX13" s="43">
        <f t="shared" si="143"/>
        <v>0</v>
      </c>
      <c r="FY13" s="767"/>
      <c r="FZ13" s="43">
        <f t="shared" si="210"/>
        <v>0</v>
      </c>
      <c r="GA13" s="43">
        <f t="shared" si="144"/>
        <v>56.666666666666664</v>
      </c>
      <c r="GB13" s="43">
        <f t="shared" si="145"/>
        <v>0</v>
      </c>
      <c r="GC13" s="43">
        <f t="shared" si="146"/>
        <v>0</v>
      </c>
      <c r="GD13" s="43">
        <f t="shared" si="147"/>
        <v>0</v>
      </c>
      <c r="GE13" s="43">
        <f t="shared" si="148"/>
        <v>0</v>
      </c>
      <c r="GF13" s="43">
        <f t="shared" si="149"/>
        <v>0</v>
      </c>
      <c r="GG13" s="43">
        <f t="shared" si="150"/>
        <v>0</v>
      </c>
      <c r="GH13" s="43">
        <f t="shared" si="151"/>
        <v>0</v>
      </c>
      <c r="GI13" s="43">
        <f t="shared" si="152"/>
        <v>0</v>
      </c>
      <c r="GJ13" s="43">
        <f t="shared" si="153"/>
        <v>0</v>
      </c>
      <c r="GK13" s="43">
        <f t="shared" si="154"/>
        <v>0</v>
      </c>
      <c r="GL13" s="43">
        <f t="shared" si="155"/>
        <v>0</v>
      </c>
      <c r="GM13" s="43">
        <f t="shared" si="156"/>
        <v>0</v>
      </c>
      <c r="GN13" s="43">
        <f t="shared" si="157"/>
        <v>0</v>
      </c>
      <c r="GO13" s="767"/>
      <c r="GP13" s="43">
        <f t="shared" si="211"/>
        <v>0</v>
      </c>
      <c r="GQ13" s="43">
        <f t="shared" si="158"/>
        <v>56.666666666666664</v>
      </c>
      <c r="GR13" s="43">
        <f t="shared" si="159"/>
        <v>0</v>
      </c>
      <c r="GS13" s="43">
        <f t="shared" si="160"/>
        <v>0</v>
      </c>
      <c r="GT13" s="43">
        <f t="shared" si="161"/>
        <v>0</v>
      </c>
      <c r="GU13" s="43">
        <f t="shared" si="162"/>
        <v>0</v>
      </c>
      <c r="GV13" s="43">
        <f t="shared" si="163"/>
        <v>0</v>
      </c>
      <c r="GW13" s="43">
        <f t="shared" si="164"/>
        <v>0</v>
      </c>
      <c r="GX13" s="43">
        <f t="shared" si="165"/>
        <v>0</v>
      </c>
      <c r="GY13" s="43">
        <f t="shared" si="166"/>
        <v>0</v>
      </c>
      <c r="GZ13" s="43">
        <f t="shared" si="167"/>
        <v>0</v>
      </c>
      <c r="HA13" s="43">
        <f t="shared" si="168"/>
        <v>0</v>
      </c>
      <c r="HB13" s="43">
        <f t="shared" si="169"/>
        <v>0</v>
      </c>
      <c r="HC13" s="43">
        <f t="shared" si="170"/>
        <v>0</v>
      </c>
      <c r="HD13" s="43">
        <f t="shared" si="171"/>
        <v>0</v>
      </c>
      <c r="HE13" s="767"/>
      <c r="HF13" s="43">
        <f t="shared" si="212"/>
        <v>0</v>
      </c>
      <c r="HG13" s="43">
        <f t="shared" si="172"/>
        <v>56.666666666666664</v>
      </c>
      <c r="HH13" s="43">
        <f t="shared" si="173"/>
        <v>0</v>
      </c>
      <c r="HI13" s="43">
        <f t="shared" si="174"/>
        <v>0</v>
      </c>
      <c r="HJ13" s="43">
        <f t="shared" si="175"/>
        <v>0</v>
      </c>
      <c r="HK13" s="43">
        <f t="shared" si="176"/>
        <v>0</v>
      </c>
      <c r="HL13" s="43">
        <f t="shared" si="177"/>
        <v>0</v>
      </c>
      <c r="HM13" s="43">
        <f t="shared" si="178"/>
        <v>0</v>
      </c>
      <c r="HN13" s="43">
        <f t="shared" si="179"/>
        <v>0</v>
      </c>
      <c r="HO13" s="43">
        <f t="shared" si="180"/>
        <v>0</v>
      </c>
      <c r="HP13" s="43">
        <f t="shared" si="181"/>
        <v>0</v>
      </c>
      <c r="HQ13" s="43">
        <f t="shared" si="182"/>
        <v>0</v>
      </c>
      <c r="HR13" s="43">
        <f t="shared" si="183"/>
        <v>0</v>
      </c>
      <c r="HS13" s="43">
        <f t="shared" si="184"/>
        <v>0</v>
      </c>
      <c r="HT13" s="43">
        <f t="shared" si="185"/>
        <v>0</v>
      </c>
      <c r="HU13" s="767"/>
      <c r="HV13" s="43">
        <f t="shared" si="213"/>
        <v>0</v>
      </c>
      <c r="HW13" s="43">
        <f t="shared" si="186"/>
        <v>56.666666666666664</v>
      </c>
      <c r="HX13" s="43">
        <f t="shared" si="187"/>
        <v>0</v>
      </c>
      <c r="HY13" s="43">
        <f t="shared" si="188"/>
        <v>0</v>
      </c>
      <c r="HZ13" s="43">
        <f t="shared" si="189"/>
        <v>0</v>
      </c>
      <c r="IA13" s="43">
        <f t="shared" si="190"/>
        <v>0</v>
      </c>
      <c r="IB13" s="43">
        <f t="shared" si="191"/>
        <v>0</v>
      </c>
      <c r="IC13" s="43">
        <f t="shared" si="192"/>
        <v>0</v>
      </c>
      <c r="ID13" s="43">
        <f t="shared" si="193"/>
        <v>0</v>
      </c>
      <c r="IE13" s="43">
        <f t="shared" si="194"/>
        <v>0</v>
      </c>
      <c r="IF13" s="43">
        <f t="shared" si="195"/>
        <v>0</v>
      </c>
      <c r="IG13" s="43">
        <f t="shared" si="196"/>
        <v>0</v>
      </c>
      <c r="IH13" s="43">
        <f t="shared" si="197"/>
        <v>0</v>
      </c>
      <c r="II13" s="43">
        <f t="shared" si="198"/>
        <v>0</v>
      </c>
      <c r="IJ13" s="786">
        <f t="shared" si="199"/>
        <v>0</v>
      </c>
      <c r="IK13" s="794"/>
    </row>
    <row r="14" spans="1:245">
      <c r="A14" s="642">
        <f t="shared" si="214"/>
        <v>5</v>
      </c>
      <c r="B14" s="762" t="str">
        <f t="shared" si="15"/>
        <v>Service Desk</v>
      </c>
      <c r="C14" s="775"/>
      <c r="D14" s="769"/>
      <c r="E14" s="52" t="str">
        <f t="shared" si="16"/>
        <v>Service DeskGovt_Sub</v>
      </c>
      <c r="F14" s="793"/>
      <c r="G14" s="43"/>
      <c r="H14" s="43"/>
      <c r="I14" s="43"/>
      <c r="J14" s="43"/>
      <c r="K14" s="43"/>
      <c r="L14" s="43"/>
      <c r="M14" s="43"/>
      <c r="N14" s="43"/>
      <c r="O14" s="43"/>
      <c r="P14" s="43"/>
      <c r="Q14" s="43"/>
      <c r="R14" s="43"/>
      <c r="S14" s="43"/>
      <c r="T14" s="43"/>
      <c r="U14" s="767"/>
      <c r="V14" s="43">
        <f t="shared" si="200"/>
        <v>0</v>
      </c>
      <c r="W14" s="43">
        <f t="shared" si="17"/>
        <v>0</v>
      </c>
      <c r="X14" s="43">
        <f t="shared" si="17"/>
        <v>0</v>
      </c>
      <c r="Y14" s="43">
        <f t="shared" si="17"/>
        <v>0</v>
      </c>
      <c r="Z14" s="43">
        <f t="shared" si="17"/>
        <v>0</v>
      </c>
      <c r="AA14" s="43">
        <f t="shared" si="17"/>
        <v>0</v>
      </c>
      <c r="AB14" s="43">
        <f t="shared" si="17"/>
        <v>0</v>
      </c>
      <c r="AC14" s="43">
        <f t="shared" si="17"/>
        <v>0</v>
      </c>
      <c r="AD14" s="43">
        <f t="shared" si="17"/>
        <v>0</v>
      </c>
      <c r="AE14" s="43">
        <f t="shared" si="17"/>
        <v>0</v>
      </c>
      <c r="AF14" s="43">
        <f t="shared" si="17"/>
        <v>0</v>
      </c>
      <c r="AG14" s="43">
        <f t="shared" si="17"/>
        <v>0</v>
      </c>
      <c r="AH14" s="43">
        <f t="shared" si="17"/>
        <v>0</v>
      </c>
      <c r="AI14" s="43">
        <f t="shared" si="17"/>
        <v>0</v>
      </c>
      <c r="AJ14" s="43">
        <f t="shared" si="17"/>
        <v>0</v>
      </c>
      <c r="AK14" s="767"/>
      <c r="AL14" s="43">
        <f t="shared" si="201"/>
        <v>0</v>
      </c>
      <c r="AM14" s="43">
        <f t="shared" si="18"/>
        <v>0</v>
      </c>
      <c r="AN14" s="43">
        <f t="shared" si="19"/>
        <v>0</v>
      </c>
      <c r="AO14" s="43">
        <f t="shared" si="20"/>
        <v>0</v>
      </c>
      <c r="AP14" s="43">
        <f t="shared" si="21"/>
        <v>0</v>
      </c>
      <c r="AQ14" s="43">
        <f t="shared" si="22"/>
        <v>0</v>
      </c>
      <c r="AR14" s="43">
        <f t="shared" si="23"/>
        <v>0</v>
      </c>
      <c r="AS14" s="43">
        <f t="shared" si="24"/>
        <v>0</v>
      </c>
      <c r="AT14" s="43">
        <f t="shared" si="25"/>
        <v>0</v>
      </c>
      <c r="AU14" s="43">
        <f t="shared" si="26"/>
        <v>0</v>
      </c>
      <c r="AV14" s="43">
        <f t="shared" si="27"/>
        <v>0</v>
      </c>
      <c r="AW14" s="43">
        <f t="shared" si="28"/>
        <v>0</v>
      </c>
      <c r="AX14" s="43">
        <f t="shared" si="29"/>
        <v>0</v>
      </c>
      <c r="AY14" s="43">
        <f t="shared" si="30"/>
        <v>0</v>
      </c>
      <c r="AZ14" s="43">
        <f t="shared" si="31"/>
        <v>0</v>
      </c>
      <c r="BA14" s="767"/>
      <c r="BB14" s="43">
        <f t="shared" si="202"/>
        <v>0</v>
      </c>
      <c r="BC14" s="43">
        <f t="shared" si="32"/>
        <v>0</v>
      </c>
      <c r="BD14" s="43">
        <f t="shared" si="33"/>
        <v>0</v>
      </c>
      <c r="BE14" s="43">
        <f t="shared" si="34"/>
        <v>0</v>
      </c>
      <c r="BF14" s="43">
        <f t="shared" si="35"/>
        <v>0</v>
      </c>
      <c r="BG14" s="43">
        <f t="shared" si="36"/>
        <v>0</v>
      </c>
      <c r="BH14" s="43">
        <f t="shared" si="37"/>
        <v>0</v>
      </c>
      <c r="BI14" s="43">
        <f t="shared" si="38"/>
        <v>0</v>
      </c>
      <c r="BJ14" s="43">
        <f t="shared" si="39"/>
        <v>0</v>
      </c>
      <c r="BK14" s="43">
        <f t="shared" si="40"/>
        <v>0</v>
      </c>
      <c r="BL14" s="43">
        <f t="shared" si="41"/>
        <v>0</v>
      </c>
      <c r="BM14" s="43">
        <f t="shared" si="42"/>
        <v>0</v>
      </c>
      <c r="BN14" s="43">
        <f t="shared" si="43"/>
        <v>0</v>
      </c>
      <c r="BO14" s="43">
        <f t="shared" si="44"/>
        <v>0</v>
      </c>
      <c r="BP14" s="43">
        <f t="shared" si="45"/>
        <v>0</v>
      </c>
      <c r="BQ14" s="767"/>
      <c r="BR14" s="43">
        <f t="shared" si="203"/>
        <v>0</v>
      </c>
      <c r="BS14" s="43">
        <f t="shared" si="46"/>
        <v>0</v>
      </c>
      <c r="BT14" s="43">
        <f t="shared" si="47"/>
        <v>0</v>
      </c>
      <c r="BU14" s="43">
        <f t="shared" si="48"/>
        <v>0</v>
      </c>
      <c r="BV14" s="43">
        <f t="shared" si="49"/>
        <v>0</v>
      </c>
      <c r="BW14" s="43">
        <f t="shared" si="50"/>
        <v>0</v>
      </c>
      <c r="BX14" s="43">
        <f t="shared" si="51"/>
        <v>0</v>
      </c>
      <c r="BY14" s="43">
        <f t="shared" si="52"/>
        <v>0</v>
      </c>
      <c r="BZ14" s="43">
        <f t="shared" si="53"/>
        <v>0</v>
      </c>
      <c r="CA14" s="43">
        <f t="shared" si="54"/>
        <v>0</v>
      </c>
      <c r="CB14" s="43">
        <f t="shared" si="55"/>
        <v>0</v>
      </c>
      <c r="CC14" s="43">
        <f t="shared" si="56"/>
        <v>0</v>
      </c>
      <c r="CD14" s="43">
        <f t="shared" si="57"/>
        <v>0</v>
      </c>
      <c r="CE14" s="43">
        <f t="shared" si="58"/>
        <v>0</v>
      </c>
      <c r="CF14" s="43">
        <f t="shared" si="59"/>
        <v>0</v>
      </c>
      <c r="CG14" s="767"/>
      <c r="CH14" s="43">
        <f t="shared" si="204"/>
        <v>0</v>
      </c>
      <c r="CI14" s="43">
        <f t="shared" si="60"/>
        <v>0</v>
      </c>
      <c r="CJ14" s="43">
        <f t="shared" si="61"/>
        <v>0</v>
      </c>
      <c r="CK14" s="43">
        <f t="shared" si="62"/>
        <v>0</v>
      </c>
      <c r="CL14" s="43">
        <f t="shared" si="63"/>
        <v>0</v>
      </c>
      <c r="CM14" s="43">
        <f t="shared" si="64"/>
        <v>0</v>
      </c>
      <c r="CN14" s="43">
        <f t="shared" si="65"/>
        <v>0</v>
      </c>
      <c r="CO14" s="43">
        <f t="shared" si="66"/>
        <v>0</v>
      </c>
      <c r="CP14" s="43">
        <f t="shared" si="67"/>
        <v>0</v>
      </c>
      <c r="CQ14" s="43">
        <f t="shared" si="68"/>
        <v>0</v>
      </c>
      <c r="CR14" s="43">
        <f t="shared" si="69"/>
        <v>0</v>
      </c>
      <c r="CS14" s="43">
        <f t="shared" si="70"/>
        <v>0</v>
      </c>
      <c r="CT14" s="43">
        <f t="shared" si="71"/>
        <v>0</v>
      </c>
      <c r="CU14" s="43">
        <f t="shared" si="72"/>
        <v>0</v>
      </c>
      <c r="CV14" s="43">
        <f t="shared" si="73"/>
        <v>0</v>
      </c>
      <c r="CW14" s="767"/>
      <c r="CX14" s="43">
        <f t="shared" si="205"/>
        <v>0</v>
      </c>
      <c r="CY14" s="43">
        <f t="shared" si="74"/>
        <v>0</v>
      </c>
      <c r="CZ14" s="43">
        <f t="shared" si="75"/>
        <v>0</v>
      </c>
      <c r="DA14" s="43">
        <f t="shared" si="76"/>
        <v>0</v>
      </c>
      <c r="DB14" s="43">
        <f t="shared" si="77"/>
        <v>0</v>
      </c>
      <c r="DC14" s="43">
        <f t="shared" si="78"/>
        <v>0</v>
      </c>
      <c r="DD14" s="43">
        <f t="shared" si="79"/>
        <v>0</v>
      </c>
      <c r="DE14" s="43">
        <f t="shared" si="80"/>
        <v>0</v>
      </c>
      <c r="DF14" s="43">
        <f t="shared" si="81"/>
        <v>0</v>
      </c>
      <c r="DG14" s="43">
        <f t="shared" si="82"/>
        <v>0</v>
      </c>
      <c r="DH14" s="43">
        <f t="shared" si="83"/>
        <v>0</v>
      </c>
      <c r="DI14" s="43">
        <f t="shared" si="84"/>
        <v>0</v>
      </c>
      <c r="DJ14" s="43">
        <f t="shared" si="85"/>
        <v>0</v>
      </c>
      <c r="DK14" s="43">
        <f t="shared" si="86"/>
        <v>0</v>
      </c>
      <c r="DL14" s="43">
        <f t="shared" si="87"/>
        <v>0</v>
      </c>
      <c r="DM14" s="767"/>
      <c r="DN14" s="43">
        <f t="shared" si="206"/>
        <v>0</v>
      </c>
      <c r="DO14" s="43">
        <f t="shared" si="88"/>
        <v>0</v>
      </c>
      <c r="DP14" s="43">
        <f t="shared" si="89"/>
        <v>0</v>
      </c>
      <c r="DQ14" s="43">
        <f t="shared" si="90"/>
        <v>0</v>
      </c>
      <c r="DR14" s="43">
        <f t="shared" si="91"/>
        <v>0</v>
      </c>
      <c r="DS14" s="43">
        <f t="shared" si="92"/>
        <v>0</v>
      </c>
      <c r="DT14" s="43">
        <f t="shared" si="93"/>
        <v>0</v>
      </c>
      <c r="DU14" s="43">
        <f t="shared" si="94"/>
        <v>0</v>
      </c>
      <c r="DV14" s="43">
        <f t="shared" si="95"/>
        <v>0</v>
      </c>
      <c r="DW14" s="43">
        <f t="shared" si="96"/>
        <v>0</v>
      </c>
      <c r="DX14" s="43">
        <f t="shared" si="97"/>
        <v>0</v>
      </c>
      <c r="DY14" s="43">
        <f t="shared" si="98"/>
        <v>0</v>
      </c>
      <c r="DZ14" s="43">
        <f t="shared" si="99"/>
        <v>0</v>
      </c>
      <c r="EA14" s="43">
        <f t="shared" si="100"/>
        <v>0</v>
      </c>
      <c r="EB14" s="43">
        <f t="shared" si="101"/>
        <v>0</v>
      </c>
      <c r="EC14" s="767"/>
      <c r="ED14" s="43">
        <f t="shared" si="207"/>
        <v>0</v>
      </c>
      <c r="EE14" s="43">
        <f t="shared" si="102"/>
        <v>0</v>
      </c>
      <c r="EF14" s="43">
        <f t="shared" si="103"/>
        <v>0</v>
      </c>
      <c r="EG14" s="43">
        <f t="shared" si="104"/>
        <v>0</v>
      </c>
      <c r="EH14" s="43">
        <f t="shared" si="105"/>
        <v>0</v>
      </c>
      <c r="EI14" s="43">
        <f t="shared" si="106"/>
        <v>0</v>
      </c>
      <c r="EJ14" s="43">
        <f t="shared" si="107"/>
        <v>0</v>
      </c>
      <c r="EK14" s="43">
        <f t="shared" si="108"/>
        <v>0</v>
      </c>
      <c r="EL14" s="43">
        <f t="shared" si="109"/>
        <v>0</v>
      </c>
      <c r="EM14" s="43">
        <f t="shared" si="110"/>
        <v>0</v>
      </c>
      <c r="EN14" s="43">
        <f t="shared" si="111"/>
        <v>0</v>
      </c>
      <c r="EO14" s="43">
        <f t="shared" si="112"/>
        <v>0</v>
      </c>
      <c r="EP14" s="43">
        <f t="shared" si="113"/>
        <v>0</v>
      </c>
      <c r="EQ14" s="43">
        <f t="shared" si="114"/>
        <v>0</v>
      </c>
      <c r="ER14" s="43">
        <f t="shared" si="115"/>
        <v>0</v>
      </c>
      <c r="ES14" s="767"/>
      <c r="ET14" s="43">
        <f t="shared" si="208"/>
        <v>0</v>
      </c>
      <c r="EU14" s="43">
        <f t="shared" si="116"/>
        <v>0</v>
      </c>
      <c r="EV14" s="43">
        <f t="shared" si="117"/>
        <v>0</v>
      </c>
      <c r="EW14" s="43">
        <f t="shared" si="118"/>
        <v>0</v>
      </c>
      <c r="EX14" s="43">
        <f t="shared" si="119"/>
        <v>0</v>
      </c>
      <c r="EY14" s="43">
        <f t="shared" si="120"/>
        <v>0</v>
      </c>
      <c r="EZ14" s="43">
        <f t="shared" si="121"/>
        <v>0</v>
      </c>
      <c r="FA14" s="43">
        <f t="shared" si="122"/>
        <v>0</v>
      </c>
      <c r="FB14" s="43">
        <f t="shared" si="123"/>
        <v>0</v>
      </c>
      <c r="FC14" s="43">
        <f t="shared" si="124"/>
        <v>0</v>
      </c>
      <c r="FD14" s="43">
        <f t="shared" si="125"/>
        <v>0</v>
      </c>
      <c r="FE14" s="43">
        <f t="shared" si="126"/>
        <v>0</v>
      </c>
      <c r="FF14" s="43">
        <f t="shared" si="127"/>
        <v>0</v>
      </c>
      <c r="FG14" s="43">
        <f t="shared" si="128"/>
        <v>0</v>
      </c>
      <c r="FH14" s="43">
        <f t="shared" si="129"/>
        <v>0</v>
      </c>
      <c r="FI14" s="767"/>
      <c r="FJ14" s="43">
        <f t="shared" si="209"/>
        <v>0</v>
      </c>
      <c r="FK14" s="43">
        <f t="shared" si="130"/>
        <v>0</v>
      </c>
      <c r="FL14" s="43">
        <f t="shared" si="131"/>
        <v>0</v>
      </c>
      <c r="FM14" s="43">
        <f t="shared" si="132"/>
        <v>0</v>
      </c>
      <c r="FN14" s="43">
        <f t="shared" si="133"/>
        <v>0</v>
      </c>
      <c r="FO14" s="43">
        <f t="shared" si="134"/>
        <v>0</v>
      </c>
      <c r="FP14" s="43">
        <f t="shared" si="135"/>
        <v>0</v>
      </c>
      <c r="FQ14" s="43">
        <f t="shared" si="136"/>
        <v>0</v>
      </c>
      <c r="FR14" s="43">
        <f t="shared" si="137"/>
        <v>0</v>
      </c>
      <c r="FS14" s="43">
        <f t="shared" si="138"/>
        <v>0</v>
      </c>
      <c r="FT14" s="43">
        <f t="shared" si="139"/>
        <v>0</v>
      </c>
      <c r="FU14" s="43">
        <f t="shared" si="140"/>
        <v>0</v>
      </c>
      <c r="FV14" s="43">
        <f t="shared" si="141"/>
        <v>0</v>
      </c>
      <c r="FW14" s="43">
        <f t="shared" si="142"/>
        <v>0</v>
      </c>
      <c r="FX14" s="43">
        <f t="shared" si="143"/>
        <v>0</v>
      </c>
      <c r="FY14" s="767"/>
      <c r="FZ14" s="43">
        <f t="shared" si="210"/>
        <v>0</v>
      </c>
      <c r="GA14" s="43">
        <f t="shared" si="144"/>
        <v>0</v>
      </c>
      <c r="GB14" s="43">
        <f t="shared" si="145"/>
        <v>0</v>
      </c>
      <c r="GC14" s="43">
        <f t="shared" si="146"/>
        <v>0</v>
      </c>
      <c r="GD14" s="43">
        <f t="shared" si="147"/>
        <v>0</v>
      </c>
      <c r="GE14" s="43">
        <f t="shared" si="148"/>
        <v>0</v>
      </c>
      <c r="GF14" s="43">
        <f t="shared" si="149"/>
        <v>0</v>
      </c>
      <c r="GG14" s="43">
        <f t="shared" si="150"/>
        <v>0</v>
      </c>
      <c r="GH14" s="43">
        <f t="shared" si="151"/>
        <v>0</v>
      </c>
      <c r="GI14" s="43">
        <f t="shared" si="152"/>
        <v>0</v>
      </c>
      <c r="GJ14" s="43">
        <f t="shared" si="153"/>
        <v>0</v>
      </c>
      <c r="GK14" s="43">
        <f t="shared" si="154"/>
        <v>0</v>
      </c>
      <c r="GL14" s="43">
        <f t="shared" si="155"/>
        <v>0</v>
      </c>
      <c r="GM14" s="43">
        <f t="shared" si="156"/>
        <v>0</v>
      </c>
      <c r="GN14" s="43">
        <f t="shared" si="157"/>
        <v>0</v>
      </c>
      <c r="GO14" s="767"/>
      <c r="GP14" s="43">
        <f t="shared" si="211"/>
        <v>0</v>
      </c>
      <c r="GQ14" s="43">
        <f t="shared" si="158"/>
        <v>0</v>
      </c>
      <c r="GR14" s="43">
        <f t="shared" si="159"/>
        <v>0</v>
      </c>
      <c r="GS14" s="43">
        <f t="shared" si="160"/>
        <v>0</v>
      </c>
      <c r="GT14" s="43">
        <f t="shared" si="161"/>
        <v>0</v>
      </c>
      <c r="GU14" s="43">
        <f t="shared" si="162"/>
        <v>0</v>
      </c>
      <c r="GV14" s="43">
        <f t="shared" si="163"/>
        <v>0</v>
      </c>
      <c r="GW14" s="43">
        <f t="shared" si="164"/>
        <v>0</v>
      </c>
      <c r="GX14" s="43">
        <f t="shared" si="165"/>
        <v>0</v>
      </c>
      <c r="GY14" s="43">
        <f t="shared" si="166"/>
        <v>0</v>
      </c>
      <c r="GZ14" s="43">
        <f t="shared" si="167"/>
        <v>0</v>
      </c>
      <c r="HA14" s="43">
        <f t="shared" si="168"/>
        <v>0</v>
      </c>
      <c r="HB14" s="43">
        <f t="shared" si="169"/>
        <v>0</v>
      </c>
      <c r="HC14" s="43">
        <f t="shared" si="170"/>
        <v>0</v>
      </c>
      <c r="HD14" s="43">
        <f t="shared" si="171"/>
        <v>0</v>
      </c>
      <c r="HE14" s="767"/>
      <c r="HF14" s="43">
        <f t="shared" si="212"/>
        <v>0</v>
      </c>
      <c r="HG14" s="43">
        <f t="shared" si="172"/>
        <v>0</v>
      </c>
      <c r="HH14" s="43">
        <f t="shared" si="173"/>
        <v>0</v>
      </c>
      <c r="HI14" s="43">
        <f t="shared" si="174"/>
        <v>0</v>
      </c>
      <c r="HJ14" s="43">
        <f t="shared" si="175"/>
        <v>0</v>
      </c>
      <c r="HK14" s="43">
        <f t="shared" si="176"/>
        <v>0</v>
      </c>
      <c r="HL14" s="43">
        <f t="shared" si="177"/>
        <v>0</v>
      </c>
      <c r="HM14" s="43">
        <f t="shared" si="178"/>
        <v>0</v>
      </c>
      <c r="HN14" s="43">
        <f t="shared" si="179"/>
        <v>0</v>
      </c>
      <c r="HO14" s="43">
        <f t="shared" si="180"/>
        <v>0</v>
      </c>
      <c r="HP14" s="43">
        <f t="shared" si="181"/>
        <v>0</v>
      </c>
      <c r="HQ14" s="43">
        <f t="shared" si="182"/>
        <v>0</v>
      </c>
      <c r="HR14" s="43">
        <f t="shared" si="183"/>
        <v>0</v>
      </c>
      <c r="HS14" s="43">
        <f t="shared" si="184"/>
        <v>0</v>
      </c>
      <c r="HT14" s="43">
        <f t="shared" si="185"/>
        <v>0</v>
      </c>
      <c r="HU14" s="767"/>
      <c r="HV14" s="43">
        <f t="shared" si="213"/>
        <v>0</v>
      </c>
      <c r="HW14" s="43">
        <f t="shared" si="186"/>
        <v>0</v>
      </c>
      <c r="HX14" s="43">
        <f t="shared" si="187"/>
        <v>0</v>
      </c>
      <c r="HY14" s="43">
        <f t="shared" si="188"/>
        <v>0</v>
      </c>
      <c r="HZ14" s="43">
        <f t="shared" si="189"/>
        <v>0</v>
      </c>
      <c r="IA14" s="43">
        <f t="shared" si="190"/>
        <v>0</v>
      </c>
      <c r="IB14" s="43">
        <f t="shared" si="191"/>
        <v>0</v>
      </c>
      <c r="IC14" s="43">
        <f t="shared" si="192"/>
        <v>0</v>
      </c>
      <c r="ID14" s="43">
        <f t="shared" si="193"/>
        <v>0</v>
      </c>
      <c r="IE14" s="43">
        <f t="shared" si="194"/>
        <v>0</v>
      </c>
      <c r="IF14" s="43">
        <f t="shared" si="195"/>
        <v>0</v>
      </c>
      <c r="IG14" s="43">
        <f t="shared" si="196"/>
        <v>0</v>
      </c>
      <c r="IH14" s="43">
        <f t="shared" si="197"/>
        <v>0</v>
      </c>
      <c r="II14" s="43">
        <f t="shared" si="198"/>
        <v>0</v>
      </c>
      <c r="IJ14" s="786">
        <f t="shared" si="199"/>
        <v>0</v>
      </c>
      <c r="IK14" s="794"/>
    </row>
    <row r="15" spans="1:245">
      <c r="A15" s="642">
        <f t="shared" si="214"/>
        <v>6</v>
      </c>
      <c r="B15" s="762" t="str">
        <f t="shared" si="15"/>
        <v>Service Desk</v>
      </c>
      <c r="C15" s="775"/>
      <c r="D15" s="769"/>
      <c r="E15" s="52" t="str">
        <f t="shared" si="16"/>
        <v>Service DeskGovt_Sub</v>
      </c>
      <c r="F15" s="793"/>
      <c r="G15" s="43"/>
      <c r="H15" s="43"/>
      <c r="I15" s="43"/>
      <c r="J15" s="43"/>
      <c r="K15" s="43"/>
      <c r="L15" s="43"/>
      <c r="M15" s="43"/>
      <c r="N15" s="43"/>
      <c r="O15" s="43"/>
      <c r="P15" s="43"/>
      <c r="Q15" s="43"/>
      <c r="R15" s="43"/>
      <c r="S15" s="43"/>
      <c r="T15" s="43"/>
      <c r="U15" s="767"/>
      <c r="V15" s="43">
        <f t="shared" si="200"/>
        <v>0</v>
      </c>
      <c r="W15" s="43">
        <f t="shared" si="17"/>
        <v>0</v>
      </c>
      <c r="X15" s="43">
        <f t="shared" si="17"/>
        <v>0</v>
      </c>
      <c r="Y15" s="43">
        <f t="shared" si="17"/>
        <v>0</v>
      </c>
      <c r="Z15" s="43">
        <f t="shared" si="17"/>
        <v>0</v>
      </c>
      <c r="AA15" s="43">
        <f t="shared" si="17"/>
        <v>0</v>
      </c>
      <c r="AB15" s="43">
        <f t="shared" si="17"/>
        <v>0</v>
      </c>
      <c r="AC15" s="43">
        <f t="shared" si="17"/>
        <v>0</v>
      </c>
      <c r="AD15" s="43">
        <f t="shared" si="17"/>
        <v>0</v>
      </c>
      <c r="AE15" s="43">
        <f t="shared" si="17"/>
        <v>0</v>
      </c>
      <c r="AF15" s="43">
        <f t="shared" si="17"/>
        <v>0</v>
      </c>
      <c r="AG15" s="43">
        <f t="shared" si="17"/>
        <v>0</v>
      </c>
      <c r="AH15" s="43">
        <f t="shared" si="17"/>
        <v>0</v>
      </c>
      <c r="AI15" s="43">
        <f t="shared" si="17"/>
        <v>0</v>
      </c>
      <c r="AJ15" s="43">
        <f t="shared" si="17"/>
        <v>0</v>
      </c>
      <c r="AK15" s="767"/>
      <c r="AL15" s="43">
        <f t="shared" si="201"/>
        <v>0</v>
      </c>
      <c r="AM15" s="43">
        <f t="shared" si="18"/>
        <v>0</v>
      </c>
      <c r="AN15" s="43">
        <f t="shared" si="19"/>
        <v>0</v>
      </c>
      <c r="AO15" s="43">
        <f t="shared" si="20"/>
        <v>0</v>
      </c>
      <c r="AP15" s="43">
        <f t="shared" si="21"/>
        <v>0</v>
      </c>
      <c r="AQ15" s="43">
        <f t="shared" si="22"/>
        <v>0</v>
      </c>
      <c r="AR15" s="43">
        <f t="shared" si="23"/>
        <v>0</v>
      </c>
      <c r="AS15" s="43">
        <f t="shared" si="24"/>
        <v>0</v>
      </c>
      <c r="AT15" s="43">
        <f t="shared" si="25"/>
        <v>0</v>
      </c>
      <c r="AU15" s="43">
        <f t="shared" si="26"/>
        <v>0</v>
      </c>
      <c r="AV15" s="43">
        <f t="shared" si="27"/>
        <v>0</v>
      </c>
      <c r="AW15" s="43">
        <f t="shared" si="28"/>
        <v>0</v>
      </c>
      <c r="AX15" s="43">
        <f t="shared" si="29"/>
        <v>0</v>
      </c>
      <c r="AY15" s="43">
        <f t="shared" si="30"/>
        <v>0</v>
      </c>
      <c r="AZ15" s="43">
        <f t="shared" si="31"/>
        <v>0</v>
      </c>
      <c r="BA15" s="767"/>
      <c r="BB15" s="43">
        <f t="shared" si="202"/>
        <v>0</v>
      </c>
      <c r="BC15" s="43">
        <f t="shared" si="32"/>
        <v>0</v>
      </c>
      <c r="BD15" s="43">
        <f t="shared" si="33"/>
        <v>0</v>
      </c>
      <c r="BE15" s="43">
        <f t="shared" si="34"/>
        <v>0</v>
      </c>
      <c r="BF15" s="43">
        <f t="shared" si="35"/>
        <v>0</v>
      </c>
      <c r="BG15" s="43">
        <f t="shared" si="36"/>
        <v>0</v>
      </c>
      <c r="BH15" s="43">
        <f t="shared" si="37"/>
        <v>0</v>
      </c>
      <c r="BI15" s="43">
        <f t="shared" si="38"/>
        <v>0</v>
      </c>
      <c r="BJ15" s="43">
        <f t="shared" si="39"/>
        <v>0</v>
      </c>
      <c r="BK15" s="43">
        <f t="shared" si="40"/>
        <v>0</v>
      </c>
      <c r="BL15" s="43">
        <f t="shared" si="41"/>
        <v>0</v>
      </c>
      <c r="BM15" s="43">
        <f t="shared" si="42"/>
        <v>0</v>
      </c>
      <c r="BN15" s="43">
        <f t="shared" si="43"/>
        <v>0</v>
      </c>
      <c r="BO15" s="43">
        <f t="shared" si="44"/>
        <v>0</v>
      </c>
      <c r="BP15" s="43">
        <f t="shared" si="45"/>
        <v>0</v>
      </c>
      <c r="BQ15" s="767"/>
      <c r="BR15" s="43">
        <f t="shared" si="203"/>
        <v>0</v>
      </c>
      <c r="BS15" s="43">
        <f t="shared" si="46"/>
        <v>0</v>
      </c>
      <c r="BT15" s="43">
        <f t="shared" si="47"/>
        <v>0</v>
      </c>
      <c r="BU15" s="43">
        <f t="shared" si="48"/>
        <v>0</v>
      </c>
      <c r="BV15" s="43">
        <f t="shared" si="49"/>
        <v>0</v>
      </c>
      <c r="BW15" s="43">
        <f t="shared" si="50"/>
        <v>0</v>
      </c>
      <c r="BX15" s="43">
        <f t="shared" si="51"/>
        <v>0</v>
      </c>
      <c r="BY15" s="43">
        <f t="shared" si="52"/>
        <v>0</v>
      </c>
      <c r="BZ15" s="43">
        <f t="shared" si="53"/>
        <v>0</v>
      </c>
      <c r="CA15" s="43">
        <f t="shared" si="54"/>
        <v>0</v>
      </c>
      <c r="CB15" s="43">
        <f t="shared" si="55"/>
        <v>0</v>
      </c>
      <c r="CC15" s="43">
        <f t="shared" si="56"/>
        <v>0</v>
      </c>
      <c r="CD15" s="43">
        <f t="shared" si="57"/>
        <v>0</v>
      </c>
      <c r="CE15" s="43">
        <f t="shared" si="58"/>
        <v>0</v>
      </c>
      <c r="CF15" s="43">
        <f t="shared" si="59"/>
        <v>0</v>
      </c>
      <c r="CG15" s="767"/>
      <c r="CH15" s="43">
        <f t="shared" si="204"/>
        <v>0</v>
      </c>
      <c r="CI15" s="43">
        <f t="shared" si="60"/>
        <v>0</v>
      </c>
      <c r="CJ15" s="43">
        <f t="shared" si="61"/>
        <v>0</v>
      </c>
      <c r="CK15" s="43">
        <f t="shared" si="62"/>
        <v>0</v>
      </c>
      <c r="CL15" s="43">
        <f t="shared" si="63"/>
        <v>0</v>
      </c>
      <c r="CM15" s="43">
        <f t="shared" si="64"/>
        <v>0</v>
      </c>
      <c r="CN15" s="43">
        <f t="shared" si="65"/>
        <v>0</v>
      </c>
      <c r="CO15" s="43">
        <f t="shared" si="66"/>
        <v>0</v>
      </c>
      <c r="CP15" s="43">
        <f t="shared" si="67"/>
        <v>0</v>
      </c>
      <c r="CQ15" s="43">
        <f t="shared" si="68"/>
        <v>0</v>
      </c>
      <c r="CR15" s="43">
        <f t="shared" si="69"/>
        <v>0</v>
      </c>
      <c r="CS15" s="43">
        <f t="shared" si="70"/>
        <v>0</v>
      </c>
      <c r="CT15" s="43">
        <f t="shared" si="71"/>
        <v>0</v>
      </c>
      <c r="CU15" s="43">
        <f t="shared" si="72"/>
        <v>0</v>
      </c>
      <c r="CV15" s="43">
        <f t="shared" si="73"/>
        <v>0</v>
      </c>
      <c r="CW15" s="767"/>
      <c r="CX15" s="43">
        <f t="shared" si="205"/>
        <v>0</v>
      </c>
      <c r="CY15" s="43">
        <f t="shared" si="74"/>
        <v>0</v>
      </c>
      <c r="CZ15" s="43">
        <f t="shared" si="75"/>
        <v>0</v>
      </c>
      <c r="DA15" s="43">
        <f t="shared" si="76"/>
        <v>0</v>
      </c>
      <c r="DB15" s="43">
        <f t="shared" si="77"/>
        <v>0</v>
      </c>
      <c r="DC15" s="43">
        <f t="shared" si="78"/>
        <v>0</v>
      </c>
      <c r="DD15" s="43">
        <f t="shared" si="79"/>
        <v>0</v>
      </c>
      <c r="DE15" s="43">
        <f t="shared" si="80"/>
        <v>0</v>
      </c>
      <c r="DF15" s="43">
        <f t="shared" si="81"/>
        <v>0</v>
      </c>
      <c r="DG15" s="43">
        <f t="shared" si="82"/>
        <v>0</v>
      </c>
      <c r="DH15" s="43">
        <f t="shared" si="83"/>
        <v>0</v>
      </c>
      <c r="DI15" s="43">
        <f t="shared" si="84"/>
        <v>0</v>
      </c>
      <c r="DJ15" s="43">
        <f t="shared" si="85"/>
        <v>0</v>
      </c>
      <c r="DK15" s="43">
        <f t="shared" si="86"/>
        <v>0</v>
      </c>
      <c r="DL15" s="43">
        <f t="shared" si="87"/>
        <v>0</v>
      </c>
      <c r="DM15" s="767"/>
      <c r="DN15" s="43">
        <f t="shared" si="206"/>
        <v>0</v>
      </c>
      <c r="DO15" s="43">
        <f t="shared" si="88"/>
        <v>0</v>
      </c>
      <c r="DP15" s="43">
        <f t="shared" si="89"/>
        <v>0</v>
      </c>
      <c r="DQ15" s="43">
        <f t="shared" si="90"/>
        <v>0</v>
      </c>
      <c r="DR15" s="43">
        <f t="shared" si="91"/>
        <v>0</v>
      </c>
      <c r="DS15" s="43">
        <f t="shared" si="92"/>
        <v>0</v>
      </c>
      <c r="DT15" s="43">
        <f t="shared" si="93"/>
        <v>0</v>
      </c>
      <c r="DU15" s="43">
        <f t="shared" si="94"/>
        <v>0</v>
      </c>
      <c r="DV15" s="43">
        <f t="shared" si="95"/>
        <v>0</v>
      </c>
      <c r="DW15" s="43">
        <f t="shared" si="96"/>
        <v>0</v>
      </c>
      <c r="DX15" s="43">
        <f t="shared" si="97"/>
        <v>0</v>
      </c>
      <c r="DY15" s="43">
        <f t="shared" si="98"/>
        <v>0</v>
      </c>
      <c r="DZ15" s="43">
        <f t="shared" si="99"/>
        <v>0</v>
      </c>
      <c r="EA15" s="43">
        <f t="shared" si="100"/>
        <v>0</v>
      </c>
      <c r="EB15" s="43">
        <f t="shared" si="101"/>
        <v>0</v>
      </c>
      <c r="EC15" s="767"/>
      <c r="ED15" s="43">
        <f t="shared" si="207"/>
        <v>0</v>
      </c>
      <c r="EE15" s="43">
        <f t="shared" si="102"/>
        <v>0</v>
      </c>
      <c r="EF15" s="43">
        <f t="shared" si="103"/>
        <v>0</v>
      </c>
      <c r="EG15" s="43">
        <f t="shared" si="104"/>
        <v>0</v>
      </c>
      <c r="EH15" s="43">
        <f t="shared" si="105"/>
        <v>0</v>
      </c>
      <c r="EI15" s="43">
        <f t="shared" si="106"/>
        <v>0</v>
      </c>
      <c r="EJ15" s="43">
        <f t="shared" si="107"/>
        <v>0</v>
      </c>
      <c r="EK15" s="43">
        <f t="shared" si="108"/>
        <v>0</v>
      </c>
      <c r="EL15" s="43">
        <f t="shared" si="109"/>
        <v>0</v>
      </c>
      <c r="EM15" s="43">
        <f t="shared" si="110"/>
        <v>0</v>
      </c>
      <c r="EN15" s="43">
        <f t="shared" si="111"/>
        <v>0</v>
      </c>
      <c r="EO15" s="43">
        <f t="shared" si="112"/>
        <v>0</v>
      </c>
      <c r="EP15" s="43">
        <f t="shared" si="113"/>
        <v>0</v>
      </c>
      <c r="EQ15" s="43">
        <f t="shared" si="114"/>
        <v>0</v>
      </c>
      <c r="ER15" s="43">
        <f t="shared" si="115"/>
        <v>0</v>
      </c>
      <c r="ES15" s="767"/>
      <c r="ET15" s="43">
        <f t="shared" si="208"/>
        <v>0</v>
      </c>
      <c r="EU15" s="43">
        <f t="shared" si="116"/>
        <v>0</v>
      </c>
      <c r="EV15" s="43">
        <f t="shared" si="117"/>
        <v>0</v>
      </c>
      <c r="EW15" s="43">
        <f t="shared" si="118"/>
        <v>0</v>
      </c>
      <c r="EX15" s="43">
        <f t="shared" si="119"/>
        <v>0</v>
      </c>
      <c r="EY15" s="43">
        <f t="shared" si="120"/>
        <v>0</v>
      </c>
      <c r="EZ15" s="43">
        <f t="shared" si="121"/>
        <v>0</v>
      </c>
      <c r="FA15" s="43">
        <f t="shared" si="122"/>
        <v>0</v>
      </c>
      <c r="FB15" s="43">
        <f t="shared" si="123"/>
        <v>0</v>
      </c>
      <c r="FC15" s="43">
        <f t="shared" si="124"/>
        <v>0</v>
      </c>
      <c r="FD15" s="43">
        <f t="shared" si="125"/>
        <v>0</v>
      </c>
      <c r="FE15" s="43">
        <f t="shared" si="126"/>
        <v>0</v>
      </c>
      <c r="FF15" s="43">
        <f t="shared" si="127"/>
        <v>0</v>
      </c>
      <c r="FG15" s="43">
        <f t="shared" si="128"/>
        <v>0</v>
      </c>
      <c r="FH15" s="43">
        <f t="shared" si="129"/>
        <v>0</v>
      </c>
      <c r="FI15" s="767"/>
      <c r="FJ15" s="43">
        <f t="shared" si="209"/>
        <v>0</v>
      </c>
      <c r="FK15" s="43">
        <f t="shared" si="130"/>
        <v>0</v>
      </c>
      <c r="FL15" s="43">
        <f t="shared" si="131"/>
        <v>0</v>
      </c>
      <c r="FM15" s="43">
        <f t="shared" si="132"/>
        <v>0</v>
      </c>
      <c r="FN15" s="43">
        <f t="shared" si="133"/>
        <v>0</v>
      </c>
      <c r="FO15" s="43">
        <f t="shared" si="134"/>
        <v>0</v>
      </c>
      <c r="FP15" s="43">
        <f t="shared" si="135"/>
        <v>0</v>
      </c>
      <c r="FQ15" s="43">
        <f t="shared" si="136"/>
        <v>0</v>
      </c>
      <c r="FR15" s="43">
        <f t="shared" si="137"/>
        <v>0</v>
      </c>
      <c r="FS15" s="43">
        <f t="shared" si="138"/>
        <v>0</v>
      </c>
      <c r="FT15" s="43">
        <f t="shared" si="139"/>
        <v>0</v>
      </c>
      <c r="FU15" s="43">
        <f t="shared" si="140"/>
        <v>0</v>
      </c>
      <c r="FV15" s="43">
        <f t="shared" si="141"/>
        <v>0</v>
      </c>
      <c r="FW15" s="43">
        <f t="shared" si="142"/>
        <v>0</v>
      </c>
      <c r="FX15" s="43">
        <f t="shared" si="143"/>
        <v>0</v>
      </c>
      <c r="FY15" s="767"/>
      <c r="FZ15" s="43">
        <f t="shared" si="210"/>
        <v>0</v>
      </c>
      <c r="GA15" s="43">
        <f t="shared" si="144"/>
        <v>0</v>
      </c>
      <c r="GB15" s="43">
        <f t="shared" si="145"/>
        <v>0</v>
      </c>
      <c r="GC15" s="43">
        <f t="shared" si="146"/>
        <v>0</v>
      </c>
      <c r="GD15" s="43">
        <f t="shared" si="147"/>
        <v>0</v>
      </c>
      <c r="GE15" s="43">
        <f t="shared" si="148"/>
        <v>0</v>
      </c>
      <c r="GF15" s="43">
        <f t="shared" si="149"/>
        <v>0</v>
      </c>
      <c r="GG15" s="43">
        <f t="shared" si="150"/>
        <v>0</v>
      </c>
      <c r="GH15" s="43">
        <f t="shared" si="151"/>
        <v>0</v>
      </c>
      <c r="GI15" s="43">
        <f t="shared" si="152"/>
        <v>0</v>
      </c>
      <c r="GJ15" s="43">
        <f t="shared" si="153"/>
        <v>0</v>
      </c>
      <c r="GK15" s="43">
        <f t="shared" si="154"/>
        <v>0</v>
      </c>
      <c r="GL15" s="43">
        <f t="shared" si="155"/>
        <v>0</v>
      </c>
      <c r="GM15" s="43">
        <f t="shared" si="156"/>
        <v>0</v>
      </c>
      <c r="GN15" s="43">
        <f t="shared" si="157"/>
        <v>0</v>
      </c>
      <c r="GO15" s="767"/>
      <c r="GP15" s="43">
        <f t="shared" si="211"/>
        <v>0</v>
      </c>
      <c r="GQ15" s="43">
        <f t="shared" si="158"/>
        <v>0</v>
      </c>
      <c r="GR15" s="43">
        <f t="shared" si="159"/>
        <v>0</v>
      </c>
      <c r="GS15" s="43">
        <f t="shared" si="160"/>
        <v>0</v>
      </c>
      <c r="GT15" s="43">
        <f t="shared" si="161"/>
        <v>0</v>
      </c>
      <c r="GU15" s="43">
        <f t="shared" si="162"/>
        <v>0</v>
      </c>
      <c r="GV15" s="43">
        <f t="shared" si="163"/>
        <v>0</v>
      </c>
      <c r="GW15" s="43">
        <f t="shared" si="164"/>
        <v>0</v>
      </c>
      <c r="GX15" s="43">
        <f t="shared" si="165"/>
        <v>0</v>
      </c>
      <c r="GY15" s="43">
        <f t="shared" si="166"/>
        <v>0</v>
      </c>
      <c r="GZ15" s="43">
        <f t="shared" si="167"/>
        <v>0</v>
      </c>
      <c r="HA15" s="43">
        <f t="shared" si="168"/>
        <v>0</v>
      </c>
      <c r="HB15" s="43">
        <f t="shared" si="169"/>
        <v>0</v>
      </c>
      <c r="HC15" s="43">
        <f t="shared" si="170"/>
        <v>0</v>
      </c>
      <c r="HD15" s="43">
        <f t="shared" si="171"/>
        <v>0</v>
      </c>
      <c r="HE15" s="767"/>
      <c r="HF15" s="43">
        <f t="shared" si="212"/>
        <v>0</v>
      </c>
      <c r="HG15" s="43">
        <f t="shared" si="172"/>
        <v>0</v>
      </c>
      <c r="HH15" s="43">
        <f t="shared" si="173"/>
        <v>0</v>
      </c>
      <c r="HI15" s="43">
        <f t="shared" si="174"/>
        <v>0</v>
      </c>
      <c r="HJ15" s="43">
        <f t="shared" si="175"/>
        <v>0</v>
      </c>
      <c r="HK15" s="43">
        <f t="shared" si="176"/>
        <v>0</v>
      </c>
      <c r="HL15" s="43">
        <f t="shared" si="177"/>
        <v>0</v>
      </c>
      <c r="HM15" s="43">
        <f t="shared" si="178"/>
        <v>0</v>
      </c>
      <c r="HN15" s="43">
        <f t="shared" si="179"/>
        <v>0</v>
      </c>
      <c r="HO15" s="43">
        <f t="shared" si="180"/>
        <v>0</v>
      </c>
      <c r="HP15" s="43">
        <f t="shared" si="181"/>
        <v>0</v>
      </c>
      <c r="HQ15" s="43">
        <f t="shared" si="182"/>
        <v>0</v>
      </c>
      <c r="HR15" s="43">
        <f t="shared" si="183"/>
        <v>0</v>
      </c>
      <c r="HS15" s="43">
        <f t="shared" si="184"/>
        <v>0</v>
      </c>
      <c r="HT15" s="43">
        <f t="shared" si="185"/>
        <v>0</v>
      </c>
      <c r="HU15" s="767"/>
      <c r="HV15" s="43">
        <f t="shared" si="213"/>
        <v>0</v>
      </c>
      <c r="HW15" s="43">
        <f t="shared" si="186"/>
        <v>0</v>
      </c>
      <c r="HX15" s="43">
        <f t="shared" si="187"/>
        <v>0</v>
      </c>
      <c r="HY15" s="43">
        <f t="shared" si="188"/>
        <v>0</v>
      </c>
      <c r="HZ15" s="43">
        <f t="shared" si="189"/>
        <v>0</v>
      </c>
      <c r="IA15" s="43">
        <f t="shared" si="190"/>
        <v>0</v>
      </c>
      <c r="IB15" s="43">
        <f t="shared" si="191"/>
        <v>0</v>
      </c>
      <c r="IC15" s="43">
        <f t="shared" si="192"/>
        <v>0</v>
      </c>
      <c r="ID15" s="43">
        <f t="shared" si="193"/>
        <v>0</v>
      </c>
      <c r="IE15" s="43">
        <f t="shared" si="194"/>
        <v>0</v>
      </c>
      <c r="IF15" s="43">
        <f t="shared" si="195"/>
        <v>0</v>
      </c>
      <c r="IG15" s="43">
        <f t="shared" si="196"/>
        <v>0</v>
      </c>
      <c r="IH15" s="43">
        <f t="shared" si="197"/>
        <v>0</v>
      </c>
      <c r="II15" s="43">
        <f t="shared" si="198"/>
        <v>0</v>
      </c>
      <c r="IJ15" s="786">
        <f t="shared" si="199"/>
        <v>0</v>
      </c>
      <c r="IK15" s="794"/>
    </row>
    <row r="16" spans="1:245">
      <c r="A16" s="642">
        <f t="shared" si="214"/>
        <v>7</v>
      </c>
      <c r="B16" s="762" t="str">
        <f t="shared" si="15"/>
        <v>CIS Training Supervisor</v>
      </c>
      <c r="C16" s="775"/>
      <c r="D16" s="769"/>
      <c r="E16" s="52" t="str">
        <f t="shared" si="16"/>
        <v>CIS Training SupervisorGovt_Sub</v>
      </c>
      <c r="F16" s="793">
        <f>+InputSheet!AB179</f>
        <v>76.75</v>
      </c>
      <c r="G16" s="43"/>
      <c r="H16" s="43"/>
      <c r="I16" s="43"/>
      <c r="J16" s="43"/>
      <c r="K16" s="43"/>
      <c r="L16" s="43"/>
      <c r="M16" s="43"/>
      <c r="N16" s="43"/>
      <c r="O16" s="43"/>
      <c r="P16" s="43"/>
      <c r="Q16" s="43"/>
      <c r="R16" s="43"/>
      <c r="S16" s="43"/>
      <c r="T16" s="43"/>
      <c r="U16" s="767"/>
      <c r="V16" s="43">
        <f>+InputSheet!AD179</f>
        <v>79.083333333333329</v>
      </c>
      <c r="W16" s="43">
        <f t="shared" si="17"/>
        <v>0</v>
      </c>
      <c r="X16" s="43">
        <f t="shared" si="17"/>
        <v>0</v>
      </c>
      <c r="Y16" s="43">
        <f t="shared" si="17"/>
        <v>0</v>
      </c>
      <c r="Z16" s="43">
        <f t="shared" si="17"/>
        <v>0</v>
      </c>
      <c r="AA16" s="43">
        <f t="shared" si="17"/>
        <v>0</v>
      </c>
      <c r="AB16" s="43">
        <f t="shared" si="17"/>
        <v>0</v>
      </c>
      <c r="AC16" s="43">
        <f t="shared" si="17"/>
        <v>0</v>
      </c>
      <c r="AD16" s="43">
        <f t="shared" si="17"/>
        <v>0</v>
      </c>
      <c r="AE16" s="43">
        <f t="shared" si="17"/>
        <v>0</v>
      </c>
      <c r="AF16" s="43">
        <f t="shared" si="17"/>
        <v>0</v>
      </c>
      <c r="AG16" s="43">
        <f t="shared" si="17"/>
        <v>0</v>
      </c>
      <c r="AH16" s="43">
        <f t="shared" si="17"/>
        <v>0</v>
      </c>
      <c r="AI16" s="43">
        <f t="shared" si="17"/>
        <v>0</v>
      </c>
      <c r="AJ16" s="43">
        <f t="shared" si="17"/>
        <v>0</v>
      </c>
      <c r="AK16" s="767"/>
      <c r="AL16" s="43">
        <f>+InputSheet!AF179</f>
        <v>81</v>
      </c>
      <c r="AM16" s="43">
        <f t="shared" si="18"/>
        <v>0</v>
      </c>
      <c r="AN16" s="43">
        <f t="shared" si="19"/>
        <v>0</v>
      </c>
      <c r="AO16" s="43">
        <f t="shared" si="20"/>
        <v>0</v>
      </c>
      <c r="AP16" s="43">
        <f t="shared" si="21"/>
        <v>0</v>
      </c>
      <c r="AQ16" s="43">
        <f t="shared" si="22"/>
        <v>0</v>
      </c>
      <c r="AR16" s="43">
        <f t="shared" si="23"/>
        <v>0</v>
      </c>
      <c r="AS16" s="43">
        <f t="shared" si="24"/>
        <v>0</v>
      </c>
      <c r="AT16" s="43">
        <f t="shared" si="25"/>
        <v>0</v>
      </c>
      <c r="AU16" s="43">
        <f t="shared" si="26"/>
        <v>0</v>
      </c>
      <c r="AV16" s="43">
        <f t="shared" si="27"/>
        <v>0</v>
      </c>
      <c r="AW16" s="43">
        <f t="shared" si="28"/>
        <v>0</v>
      </c>
      <c r="AX16" s="43">
        <f t="shared" si="29"/>
        <v>0</v>
      </c>
      <c r="AY16" s="43">
        <f t="shared" si="30"/>
        <v>0</v>
      </c>
      <c r="AZ16" s="43">
        <f t="shared" si="31"/>
        <v>0</v>
      </c>
      <c r="BA16" s="767"/>
      <c r="BB16" s="43">
        <f t="shared" si="202"/>
        <v>81</v>
      </c>
      <c r="BC16" s="43">
        <f t="shared" si="32"/>
        <v>0</v>
      </c>
      <c r="BD16" s="43">
        <f t="shared" si="33"/>
        <v>0</v>
      </c>
      <c r="BE16" s="43">
        <f t="shared" si="34"/>
        <v>0</v>
      </c>
      <c r="BF16" s="43">
        <f t="shared" si="35"/>
        <v>0</v>
      </c>
      <c r="BG16" s="43">
        <f t="shared" si="36"/>
        <v>0</v>
      </c>
      <c r="BH16" s="43">
        <f t="shared" si="37"/>
        <v>0</v>
      </c>
      <c r="BI16" s="43">
        <f t="shared" si="38"/>
        <v>0</v>
      </c>
      <c r="BJ16" s="43">
        <f t="shared" si="39"/>
        <v>0</v>
      </c>
      <c r="BK16" s="43">
        <f t="shared" si="40"/>
        <v>0</v>
      </c>
      <c r="BL16" s="43">
        <f t="shared" si="41"/>
        <v>0</v>
      </c>
      <c r="BM16" s="43">
        <f t="shared" si="42"/>
        <v>0</v>
      </c>
      <c r="BN16" s="43">
        <f t="shared" si="43"/>
        <v>0</v>
      </c>
      <c r="BO16" s="43">
        <f t="shared" si="44"/>
        <v>0</v>
      </c>
      <c r="BP16" s="43">
        <f t="shared" si="45"/>
        <v>0</v>
      </c>
      <c r="BQ16" s="767"/>
      <c r="BR16" s="43">
        <f t="shared" si="203"/>
        <v>81</v>
      </c>
      <c r="BS16" s="43">
        <f t="shared" si="46"/>
        <v>0</v>
      </c>
      <c r="BT16" s="43">
        <f t="shared" si="47"/>
        <v>0</v>
      </c>
      <c r="BU16" s="43">
        <f t="shared" si="48"/>
        <v>0</v>
      </c>
      <c r="BV16" s="43">
        <f t="shared" si="49"/>
        <v>0</v>
      </c>
      <c r="BW16" s="43">
        <f t="shared" si="50"/>
        <v>0</v>
      </c>
      <c r="BX16" s="43">
        <f t="shared" si="51"/>
        <v>0</v>
      </c>
      <c r="BY16" s="43">
        <f t="shared" si="52"/>
        <v>0</v>
      </c>
      <c r="BZ16" s="43">
        <f t="shared" si="53"/>
        <v>0</v>
      </c>
      <c r="CA16" s="43">
        <f t="shared" si="54"/>
        <v>0</v>
      </c>
      <c r="CB16" s="43">
        <f t="shared" si="55"/>
        <v>0</v>
      </c>
      <c r="CC16" s="43">
        <f t="shared" si="56"/>
        <v>0</v>
      </c>
      <c r="CD16" s="43">
        <f t="shared" si="57"/>
        <v>0</v>
      </c>
      <c r="CE16" s="43">
        <f t="shared" si="58"/>
        <v>0</v>
      </c>
      <c r="CF16" s="43">
        <f t="shared" si="59"/>
        <v>0</v>
      </c>
      <c r="CG16" s="767"/>
      <c r="CH16" s="43">
        <f t="shared" si="204"/>
        <v>81</v>
      </c>
      <c r="CI16" s="43">
        <f t="shared" si="60"/>
        <v>0</v>
      </c>
      <c r="CJ16" s="43">
        <f t="shared" si="61"/>
        <v>0</v>
      </c>
      <c r="CK16" s="43">
        <f t="shared" si="62"/>
        <v>0</v>
      </c>
      <c r="CL16" s="43">
        <f t="shared" si="63"/>
        <v>0</v>
      </c>
      <c r="CM16" s="43">
        <f t="shared" si="64"/>
        <v>0</v>
      </c>
      <c r="CN16" s="43">
        <f t="shared" si="65"/>
        <v>0</v>
      </c>
      <c r="CO16" s="43">
        <f t="shared" si="66"/>
        <v>0</v>
      </c>
      <c r="CP16" s="43">
        <f t="shared" si="67"/>
        <v>0</v>
      </c>
      <c r="CQ16" s="43">
        <f t="shared" si="68"/>
        <v>0</v>
      </c>
      <c r="CR16" s="43">
        <f t="shared" si="69"/>
        <v>0</v>
      </c>
      <c r="CS16" s="43">
        <f t="shared" si="70"/>
        <v>0</v>
      </c>
      <c r="CT16" s="43">
        <f t="shared" si="71"/>
        <v>0</v>
      </c>
      <c r="CU16" s="43">
        <f t="shared" si="72"/>
        <v>0</v>
      </c>
      <c r="CV16" s="43">
        <f t="shared" si="73"/>
        <v>0</v>
      </c>
      <c r="CW16" s="767"/>
      <c r="CX16" s="43">
        <f t="shared" si="205"/>
        <v>81</v>
      </c>
      <c r="CY16" s="43">
        <f t="shared" si="74"/>
        <v>0</v>
      </c>
      <c r="CZ16" s="43">
        <f t="shared" si="75"/>
        <v>0</v>
      </c>
      <c r="DA16" s="43">
        <f t="shared" si="76"/>
        <v>0</v>
      </c>
      <c r="DB16" s="43">
        <f t="shared" si="77"/>
        <v>0</v>
      </c>
      <c r="DC16" s="43">
        <f t="shared" si="78"/>
        <v>0</v>
      </c>
      <c r="DD16" s="43">
        <f t="shared" si="79"/>
        <v>0</v>
      </c>
      <c r="DE16" s="43">
        <f t="shared" si="80"/>
        <v>0</v>
      </c>
      <c r="DF16" s="43">
        <f t="shared" si="81"/>
        <v>0</v>
      </c>
      <c r="DG16" s="43">
        <f t="shared" si="82"/>
        <v>0</v>
      </c>
      <c r="DH16" s="43">
        <f t="shared" si="83"/>
        <v>0</v>
      </c>
      <c r="DI16" s="43">
        <f t="shared" si="84"/>
        <v>0</v>
      </c>
      <c r="DJ16" s="43">
        <f t="shared" si="85"/>
        <v>0</v>
      </c>
      <c r="DK16" s="43">
        <f t="shared" si="86"/>
        <v>0</v>
      </c>
      <c r="DL16" s="43">
        <f t="shared" si="87"/>
        <v>0</v>
      </c>
      <c r="DM16" s="767"/>
      <c r="DN16" s="43">
        <f t="shared" si="206"/>
        <v>81</v>
      </c>
      <c r="DO16" s="43">
        <f t="shared" si="88"/>
        <v>0</v>
      </c>
      <c r="DP16" s="43">
        <f t="shared" si="89"/>
        <v>0</v>
      </c>
      <c r="DQ16" s="43">
        <f t="shared" si="90"/>
        <v>0</v>
      </c>
      <c r="DR16" s="43">
        <f t="shared" si="91"/>
        <v>0</v>
      </c>
      <c r="DS16" s="43">
        <f t="shared" si="92"/>
        <v>0</v>
      </c>
      <c r="DT16" s="43">
        <f t="shared" si="93"/>
        <v>0</v>
      </c>
      <c r="DU16" s="43">
        <f t="shared" si="94"/>
        <v>0</v>
      </c>
      <c r="DV16" s="43">
        <f t="shared" si="95"/>
        <v>0</v>
      </c>
      <c r="DW16" s="43">
        <f t="shared" si="96"/>
        <v>0</v>
      </c>
      <c r="DX16" s="43">
        <f t="shared" si="97"/>
        <v>0</v>
      </c>
      <c r="DY16" s="43">
        <f t="shared" si="98"/>
        <v>0</v>
      </c>
      <c r="DZ16" s="43">
        <f t="shared" si="99"/>
        <v>0</v>
      </c>
      <c r="EA16" s="43">
        <f t="shared" si="100"/>
        <v>0</v>
      </c>
      <c r="EB16" s="43">
        <f t="shared" si="101"/>
        <v>0</v>
      </c>
      <c r="EC16" s="767"/>
      <c r="ED16" s="43">
        <f t="shared" si="207"/>
        <v>81</v>
      </c>
      <c r="EE16" s="43">
        <f t="shared" si="102"/>
        <v>0</v>
      </c>
      <c r="EF16" s="43">
        <f t="shared" si="103"/>
        <v>0</v>
      </c>
      <c r="EG16" s="43">
        <f t="shared" si="104"/>
        <v>0</v>
      </c>
      <c r="EH16" s="43">
        <f t="shared" si="105"/>
        <v>0</v>
      </c>
      <c r="EI16" s="43">
        <f t="shared" si="106"/>
        <v>0</v>
      </c>
      <c r="EJ16" s="43">
        <f t="shared" si="107"/>
        <v>0</v>
      </c>
      <c r="EK16" s="43">
        <f t="shared" si="108"/>
        <v>0</v>
      </c>
      <c r="EL16" s="43">
        <f t="shared" si="109"/>
        <v>0</v>
      </c>
      <c r="EM16" s="43">
        <f t="shared" si="110"/>
        <v>0</v>
      </c>
      <c r="EN16" s="43">
        <f t="shared" si="111"/>
        <v>0</v>
      </c>
      <c r="EO16" s="43">
        <f t="shared" si="112"/>
        <v>0</v>
      </c>
      <c r="EP16" s="43">
        <f t="shared" si="113"/>
        <v>0</v>
      </c>
      <c r="EQ16" s="43">
        <f t="shared" si="114"/>
        <v>0</v>
      </c>
      <c r="ER16" s="43">
        <f t="shared" si="115"/>
        <v>0</v>
      </c>
      <c r="ES16" s="767"/>
      <c r="ET16" s="43">
        <f t="shared" si="208"/>
        <v>81</v>
      </c>
      <c r="EU16" s="43">
        <f t="shared" si="116"/>
        <v>0</v>
      </c>
      <c r="EV16" s="43">
        <f t="shared" si="117"/>
        <v>0</v>
      </c>
      <c r="EW16" s="43">
        <f t="shared" si="118"/>
        <v>0</v>
      </c>
      <c r="EX16" s="43">
        <f t="shared" si="119"/>
        <v>0</v>
      </c>
      <c r="EY16" s="43">
        <f t="shared" si="120"/>
        <v>0</v>
      </c>
      <c r="EZ16" s="43">
        <f t="shared" si="121"/>
        <v>0</v>
      </c>
      <c r="FA16" s="43">
        <f t="shared" si="122"/>
        <v>0</v>
      </c>
      <c r="FB16" s="43">
        <f t="shared" si="123"/>
        <v>0</v>
      </c>
      <c r="FC16" s="43">
        <f t="shared" si="124"/>
        <v>0</v>
      </c>
      <c r="FD16" s="43">
        <f t="shared" si="125"/>
        <v>0</v>
      </c>
      <c r="FE16" s="43">
        <f t="shared" si="126"/>
        <v>0</v>
      </c>
      <c r="FF16" s="43">
        <f t="shared" si="127"/>
        <v>0</v>
      </c>
      <c r="FG16" s="43">
        <f t="shared" si="128"/>
        <v>0</v>
      </c>
      <c r="FH16" s="43">
        <f t="shared" si="129"/>
        <v>0</v>
      </c>
      <c r="FI16" s="767"/>
      <c r="FJ16" s="43">
        <f t="shared" si="209"/>
        <v>81</v>
      </c>
      <c r="FK16" s="43">
        <f t="shared" si="130"/>
        <v>0</v>
      </c>
      <c r="FL16" s="43">
        <f t="shared" si="131"/>
        <v>0</v>
      </c>
      <c r="FM16" s="43">
        <f t="shared" si="132"/>
        <v>0</v>
      </c>
      <c r="FN16" s="43">
        <f t="shared" si="133"/>
        <v>0</v>
      </c>
      <c r="FO16" s="43">
        <f t="shared" si="134"/>
        <v>0</v>
      </c>
      <c r="FP16" s="43">
        <f t="shared" si="135"/>
        <v>0</v>
      </c>
      <c r="FQ16" s="43">
        <f t="shared" si="136"/>
        <v>0</v>
      </c>
      <c r="FR16" s="43">
        <f t="shared" si="137"/>
        <v>0</v>
      </c>
      <c r="FS16" s="43">
        <f t="shared" si="138"/>
        <v>0</v>
      </c>
      <c r="FT16" s="43">
        <f t="shared" si="139"/>
        <v>0</v>
      </c>
      <c r="FU16" s="43">
        <f t="shared" si="140"/>
        <v>0</v>
      </c>
      <c r="FV16" s="43">
        <f t="shared" si="141"/>
        <v>0</v>
      </c>
      <c r="FW16" s="43">
        <f t="shared" si="142"/>
        <v>0</v>
      </c>
      <c r="FX16" s="43">
        <f t="shared" si="143"/>
        <v>0</v>
      </c>
      <c r="FY16" s="767"/>
      <c r="FZ16" s="43">
        <f t="shared" si="210"/>
        <v>81</v>
      </c>
      <c r="GA16" s="43">
        <f t="shared" si="144"/>
        <v>0</v>
      </c>
      <c r="GB16" s="43">
        <f t="shared" si="145"/>
        <v>0</v>
      </c>
      <c r="GC16" s="43">
        <f t="shared" si="146"/>
        <v>0</v>
      </c>
      <c r="GD16" s="43">
        <f t="shared" si="147"/>
        <v>0</v>
      </c>
      <c r="GE16" s="43">
        <f t="shared" si="148"/>
        <v>0</v>
      </c>
      <c r="GF16" s="43">
        <f t="shared" si="149"/>
        <v>0</v>
      </c>
      <c r="GG16" s="43">
        <f t="shared" si="150"/>
        <v>0</v>
      </c>
      <c r="GH16" s="43">
        <f t="shared" si="151"/>
        <v>0</v>
      </c>
      <c r="GI16" s="43">
        <f t="shared" si="152"/>
        <v>0</v>
      </c>
      <c r="GJ16" s="43">
        <f t="shared" si="153"/>
        <v>0</v>
      </c>
      <c r="GK16" s="43">
        <f t="shared" si="154"/>
        <v>0</v>
      </c>
      <c r="GL16" s="43">
        <f t="shared" si="155"/>
        <v>0</v>
      </c>
      <c r="GM16" s="43">
        <f t="shared" si="156"/>
        <v>0</v>
      </c>
      <c r="GN16" s="43">
        <f t="shared" si="157"/>
        <v>0</v>
      </c>
      <c r="GO16" s="767"/>
      <c r="GP16" s="43">
        <f t="shared" si="211"/>
        <v>81</v>
      </c>
      <c r="GQ16" s="43">
        <f t="shared" si="158"/>
        <v>0</v>
      </c>
      <c r="GR16" s="43">
        <f t="shared" si="159"/>
        <v>0</v>
      </c>
      <c r="GS16" s="43">
        <f t="shared" si="160"/>
        <v>0</v>
      </c>
      <c r="GT16" s="43">
        <f t="shared" si="161"/>
        <v>0</v>
      </c>
      <c r="GU16" s="43">
        <f t="shared" si="162"/>
        <v>0</v>
      </c>
      <c r="GV16" s="43">
        <f t="shared" si="163"/>
        <v>0</v>
      </c>
      <c r="GW16" s="43">
        <f t="shared" si="164"/>
        <v>0</v>
      </c>
      <c r="GX16" s="43">
        <f t="shared" si="165"/>
        <v>0</v>
      </c>
      <c r="GY16" s="43">
        <f t="shared" si="166"/>
        <v>0</v>
      </c>
      <c r="GZ16" s="43">
        <f t="shared" si="167"/>
        <v>0</v>
      </c>
      <c r="HA16" s="43">
        <f t="shared" si="168"/>
        <v>0</v>
      </c>
      <c r="HB16" s="43">
        <f t="shared" si="169"/>
        <v>0</v>
      </c>
      <c r="HC16" s="43">
        <f t="shared" si="170"/>
        <v>0</v>
      </c>
      <c r="HD16" s="43">
        <f t="shared" si="171"/>
        <v>0</v>
      </c>
      <c r="HE16" s="767"/>
      <c r="HF16" s="43">
        <f t="shared" si="212"/>
        <v>81</v>
      </c>
      <c r="HG16" s="43">
        <f t="shared" si="172"/>
        <v>0</v>
      </c>
      <c r="HH16" s="43">
        <f t="shared" si="173"/>
        <v>0</v>
      </c>
      <c r="HI16" s="43">
        <f t="shared" si="174"/>
        <v>0</v>
      </c>
      <c r="HJ16" s="43">
        <f t="shared" si="175"/>
        <v>0</v>
      </c>
      <c r="HK16" s="43">
        <f t="shared" si="176"/>
        <v>0</v>
      </c>
      <c r="HL16" s="43">
        <f t="shared" si="177"/>
        <v>0</v>
      </c>
      <c r="HM16" s="43">
        <f t="shared" si="178"/>
        <v>0</v>
      </c>
      <c r="HN16" s="43">
        <f t="shared" si="179"/>
        <v>0</v>
      </c>
      <c r="HO16" s="43">
        <f t="shared" si="180"/>
        <v>0</v>
      </c>
      <c r="HP16" s="43">
        <f t="shared" si="181"/>
        <v>0</v>
      </c>
      <c r="HQ16" s="43">
        <f t="shared" si="182"/>
        <v>0</v>
      </c>
      <c r="HR16" s="43">
        <f t="shared" si="183"/>
        <v>0</v>
      </c>
      <c r="HS16" s="43">
        <f t="shared" si="184"/>
        <v>0</v>
      </c>
      <c r="HT16" s="43">
        <f t="shared" si="185"/>
        <v>0</v>
      </c>
      <c r="HU16" s="767"/>
      <c r="HV16" s="43">
        <f t="shared" si="213"/>
        <v>81</v>
      </c>
      <c r="HW16" s="43">
        <f t="shared" si="186"/>
        <v>0</v>
      </c>
      <c r="HX16" s="43">
        <f t="shared" si="187"/>
        <v>0</v>
      </c>
      <c r="HY16" s="43">
        <f t="shared" si="188"/>
        <v>0</v>
      </c>
      <c r="HZ16" s="43">
        <f t="shared" si="189"/>
        <v>0</v>
      </c>
      <c r="IA16" s="43">
        <f t="shared" si="190"/>
        <v>0</v>
      </c>
      <c r="IB16" s="43">
        <f t="shared" si="191"/>
        <v>0</v>
      </c>
      <c r="IC16" s="43">
        <f t="shared" si="192"/>
        <v>0</v>
      </c>
      <c r="ID16" s="43">
        <f t="shared" si="193"/>
        <v>0</v>
      </c>
      <c r="IE16" s="43">
        <f t="shared" si="194"/>
        <v>0</v>
      </c>
      <c r="IF16" s="43">
        <f t="shared" si="195"/>
        <v>0</v>
      </c>
      <c r="IG16" s="43">
        <f t="shared" si="196"/>
        <v>0</v>
      </c>
      <c r="IH16" s="43">
        <f t="shared" si="197"/>
        <v>0</v>
      </c>
      <c r="II16" s="43">
        <f t="shared" si="198"/>
        <v>0</v>
      </c>
      <c r="IJ16" s="786">
        <f t="shared" si="199"/>
        <v>0</v>
      </c>
      <c r="IK16" s="794"/>
    </row>
    <row r="17" spans="1:245">
      <c r="A17" s="642">
        <f t="shared" si="214"/>
        <v>8</v>
      </c>
      <c r="B17" s="762" t="str">
        <f t="shared" si="15"/>
        <v>CIS Trainer</v>
      </c>
      <c r="C17" s="775"/>
      <c r="D17" s="769"/>
      <c r="E17" s="52" t="str">
        <f t="shared" si="16"/>
        <v>CIS TrainerGovt_Sub</v>
      </c>
      <c r="F17" s="793">
        <f>+InputSheet!AB180</f>
        <v>65.416666666666671</v>
      </c>
      <c r="G17" s="43"/>
      <c r="H17" s="43"/>
      <c r="I17" s="43"/>
      <c r="J17" s="43"/>
      <c r="K17" s="43"/>
      <c r="L17" s="43"/>
      <c r="M17" s="43"/>
      <c r="N17" s="43"/>
      <c r="O17" s="43"/>
      <c r="P17" s="43"/>
      <c r="Q17" s="43"/>
      <c r="R17" s="43"/>
      <c r="S17" s="43"/>
      <c r="T17" s="43"/>
      <c r="U17" s="767"/>
      <c r="V17" s="43">
        <f>+InputSheet!AD180</f>
        <v>67.416666666666671</v>
      </c>
      <c r="W17" s="43">
        <f t="shared" si="17"/>
        <v>0</v>
      </c>
      <c r="X17" s="43">
        <f t="shared" si="17"/>
        <v>0</v>
      </c>
      <c r="Y17" s="43">
        <f t="shared" si="17"/>
        <v>0</v>
      </c>
      <c r="Z17" s="43">
        <f t="shared" si="17"/>
        <v>0</v>
      </c>
      <c r="AA17" s="43">
        <f t="shared" si="17"/>
        <v>0</v>
      </c>
      <c r="AB17" s="43">
        <f t="shared" si="17"/>
        <v>0</v>
      </c>
      <c r="AC17" s="43">
        <f t="shared" si="17"/>
        <v>0</v>
      </c>
      <c r="AD17" s="43">
        <f t="shared" si="17"/>
        <v>0</v>
      </c>
      <c r="AE17" s="43">
        <f t="shared" si="17"/>
        <v>0</v>
      </c>
      <c r="AF17" s="43">
        <f t="shared" si="17"/>
        <v>0</v>
      </c>
      <c r="AG17" s="43">
        <f t="shared" si="17"/>
        <v>0</v>
      </c>
      <c r="AH17" s="43">
        <f t="shared" si="17"/>
        <v>0</v>
      </c>
      <c r="AI17" s="43">
        <f t="shared" si="17"/>
        <v>0</v>
      </c>
      <c r="AJ17" s="43">
        <f t="shared" si="17"/>
        <v>0</v>
      </c>
      <c r="AK17" s="767"/>
      <c r="AL17" s="43">
        <f>+InputSheet!AF180</f>
        <v>69.083333333333329</v>
      </c>
      <c r="AM17" s="43">
        <f t="shared" si="18"/>
        <v>0</v>
      </c>
      <c r="AN17" s="43">
        <f t="shared" si="19"/>
        <v>0</v>
      </c>
      <c r="AO17" s="43">
        <f t="shared" si="20"/>
        <v>0</v>
      </c>
      <c r="AP17" s="43">
        <f t="shared" si="21"/>
        <v>0</v>
      </c>
      <c r="AQ17" s="43">
        <f t="shared" si="22"/>
        <v>0</v>
      </c>
      <c r="AR17" s="43">
        <f t="shared" si="23"/>
        <v>0</v>
      </c>
      <c r="AS17" s="43">
        <f t="shared" si="24"/>
        <v>0</v>
      </c>
      <c r="AT17" s="43">
        <f t="shared" si="25"/>
        <v>0</v>
      </c>
      <c r="AU17" s="43">
        <f t="shared" si="26"/>
        <v>0</v>
      </c>
      <c r="AV17" s="43">
        <f t="shared" si="27"/>
        <v>0</v>
      </c>
      <c r="AW17" s="43">
        <f t="shared" si="28"/>
        <v>0</v>
      </c>
      <c r="AX17" s="43">
        <f t="shared" si="29"/>
        <v>0</v>
      </c>
      <c r="AY17" s="43">
        <f t="shared" si="30"/>
        <v>0</v>
      </c>
      <c r="AZ17" s="43">
        <f t="shared" si="31"/>
        <v>0</v>
      </c>
      <c r="BA17" s="767"/>
      <c r="BB17" s="43">
        <f t="shared" si="202"/>
        <v>69.083333333333329</v>
      </c>
      <c r="BC17" s="43">
        <f t="shared" si="32"/>
        <v>0</v>
      </c>
      <c r="BD17" s="43">
        <f t="shared" si="33"/>
        <v>0</v>
      </c>
      <c r="BE17" s="43">
        <f t="shared" si="34"/>
        <v>0</v>
      </c>
      <c r="BF17" s="43">
        <f t="shared" si="35"/>
        <v>0</v>
      </c>
      <c r="BG17" s="43">
        <f t="shared" si="36"/>
        <v>0</v>
      </c>
      <c r="BH17" s="43">
        <f t="shared" si="37"/>
        <v>0</v>
      </c>
      <c r="BI17" s="43">
        <f t="shared" si="38"/>
        <v>0</v>
      </c>
      <c r="BJ17" s="43">
        <f t="shared" si="39"/>
        <v>0</v>
      </c>
      <c r="BK17" s="43">
        <f t="shared" si="40"/>
        <v>0</v>
      </c>
      <c r="BL17" s="43">
        <f t="shared" si="41"/>
        <v>0</v>
      </c>
      <c r="BM17" s="43">
        <f t="shared" si="42"/>
        <v>0</v>
      </c>
      <c r="BN17" s="43">
        <f t="shared" si="43"/>
        <v>0</v>
      </c>
      <c r="BO17" s="43">
        <f t="shared" si="44"/>
        <v>0</v>
      </c>
      <c r="BP17" s="43">
        <f t="shared" si="45"/>
        <v>0</v>
      </c>
      <c r="BQ17" s="767"/>
      <c r="BR17" s="43">
        <f t="shared" si="203"/>
        <v>69.083333333333329</v>
      </c>
      <c r="BS17" s="43">
        <f t="shared" si="46"/>
        <v>0</v>
      </c>
      <c r="BT17" s="43">
        <f t="shared" si="47"/>
        <v>0</v>
      </c>
      <c r="BU17" s="43">
        <f t="shared" si="48"/>
        <v>0</v>
      </c>
      <c r="BV17" s="43">
        <f t="shared" si="49"/>
        <v>0</v>
      </c>
      <c r="BW17" s="43">
        <f t="shared" si="50"/>
        <v>0</v>
      </c>
      <c r="BX17" s="43">
        <f t="shared" si="51"/>
        <v>0</v>
      </c>
      <c r="BY17" s="43">
        <f t="shared" si="52"/>
        <v>0</v>
      </c>
      <c r="BZ17" s="43">
        <f t="shared" si="53"/>
        <v>0</v>
      </c>
      <c r="CA17" s="43">
        <f t="shared" si="54"/>
        <v>0</v>
      </c>
      <c r="CB17" s="43">
        <f t="shared" si="55"/>
        <v>0</v>
      </c>
      <c r="CC17" s="43">
        <f t="shared" si="56"/>
        <v>0</v>
      </c>
      <c r="CD17" s="43">
        <f t="shared" si="57"/>
        <v>0</v>
      </c>
      <c r="CE17" s="43">
        <f t="shared" si="58"/>
        <v>0</v>
      </c>
      <c r="CF17" s="43">
        <f t="shared" si="59"/>
        <v>0</v>
      </c>
      <c r="CG17" s="767"/>
      <c r="CH17" s="43">
        <f t="shared" si="204"/>
        <v>69.083333333333329</v>
      </c>
      <c r="CI17" s="43">
        <f t="shared" si="60"/>
        <v>0</v>
      </c>
      <c r="CJ17" s="43">
        <f t="shared" si="61"/>
        <v>0</v>
      </c>
      <c r="CK17" s="43">
        <f t="shared" si="62"/>
        <v>0</v>
      </c>
      <c r="CL17" s="43">
        <f t="shared" si="63"/>
        <v>0</v>
      </c>
      <c r="CM17" s="43">
        <f t="shared" si="64"/>
        <v>0</v>
      </c>
      <c r="CN17" s="43">
        <f t="shared" si="65"/>
        <v>0</v>
      </c>
      <c r="CO17" s="43">
        <f t="shared" si="66"/>
        <v>0</v>
      </c>
      <c r="CP17" s="43">
        <f t="shared" si="67"/>
        <v>0</v>
      </c>
      <c r="CQ17" s="43">
        <f t="shared" si="68"/>
        <v>0</v>
      </c>
      <c r="CR17" s="43">
        <f t="shared" si="69"/>
        <v>0</v>
      </c>
      <c r="CS17" s="43">
        <f t="shared" si="70"/>
        <v>0</v>
      </c>
      <c r="CT17" s="43">
        <f t="shared" si="71"/>
        <v>0</v>
      </c>
      <c r="CU17" s="43">
        <f t="shared" si="72"/>
        <v>0</v>
      </c>
      <c r="CV17" s="43">
        <f t="shared" si="73"/>
        <v>0</v>
      </c>
      <c r="CW17" s="767"/>
      <c r="CX17" s="43">
        <f t="shared" si="205"/>
        <v>69.083333333333329</v>
      </c>
      <c r="CY17" s="43">
        <f t="shared" si="74"/>
        <v>0</v>
      </c>
      <c r="CZ17" s="43">
        <f t="shared" si="75"/>
        <v>0</v>
      </c>
      <c r="DA17" s="43">
        <f t="shared" si="76"/>
        <v>0</v>
      </c>
      <c r="DB17" s="43">
        <f t="shared" si="77"/>
        <v>0</v>
      </c>
      <c r="DC17" s="43">
        <f t="shared" si="78"/>
        <v>0</v>
      </c>
      <c r="DD17" s="43">
        <f t="shared" si="79"/>
        <v>0</v>
      </c>
      <c r="DE17" s="43">
        <f t="shared" si="80"/>
        <v>0</v>
      </c>
      <c r="DF17" s="43">
        <f t="shared" si="81"/>
        <v>0</v>
      </c>
      <c r="DG17" s="43">
        <f t="shared" si="82"/>
        <v>0</v>
      </c>
      <c r="DH17" s="43">
        <f t="shared" si="83"/>
        <v>0</v>
      </c>
      <c r="DI17" s="43">
        <f t="shared" si="84"/>
        <v>0</v>
      </c>
      <c r="DJ17" s="43">
        <f t="shared" si="85"/>
        <v>0</v>
      </c>
      <c r="DK17" s="43">
        <f t="shared" si="86"/>
        <v>0</v>
      </c>
      <c r="DL17" s="43">
        <f t="shared" si="87"/>
        <v>0</v>
      </c>
      <c r="DM17" s="767"/>
      <c r="DN17" s="43">
        <f t="shared" si="206"/>
        <v>69.083333333333329</v>
      </c>
      <c r="DO17" s="43">
        <f t="shared" si="88"/>
        <v>0</v>
      </c>
      <c r="DP17" s="43">
        <f t="shared" si="89"/>
        <v>0</v>
      </c>
      <c r="DQ17" s="43">
        <f t="shared" si="90"/>
        <v>0</v>
      </c>
      <c r="DR17" s="43">
        <f t="shared" si="91"/>
        <v>0</v>
      </c>
      <c r="DS17" s="43">
        <f t="shared" si="92"/>
        <v>0</v>
      </c>
      <c r="DT17" s="43">
        <f t="shared" si="93"/>
        <v>0</v>
      </c>
      <c r="DU17" s="43">
        <f t="shared" si="94"/>
        <v>0</v>
      </c>
      <c r="DV17" s="43">
        <f t="shared" si="95"/>
        <v>0</v>
      </c>
      <c r="DW17" s="43">
        <f t="shared" si="96"/>
        <v>0</v>
      </c>
      <c r="DX17" s="43">
        <f t="shared" si="97"/>
        <v>0</v>
      </c>
      <c r="DY17" s="43">
        <f t="shared" si="98"/>
        <v>0</v>
      </c>
      <c r="DZ17" s="43">
        <f t="shared" si="99"/>
        <v>0</v>
      </c>
      <c r="EA17" s="43">
        <f t="shared" si="100"/>
        <v>0</v>
      </c>
      <c r="EB17" s="43">
        <f t="shared" si="101"/>
        <v>0</v>
      </c>
      <c r="EC17" s="767"/>
      <c r="ED17" s="43">
        <f t="shared" si="207"/>
        <v>69.083333333333329</v>
      </c>
      <c r="EE17" s="43">
        <f t="shared" si="102"/>
        <v>0</v>
      </c>
      <c r="EF17" s="43">
        <f t="shared" si="103"/>
        <v>0</v>
      </c>
      <c r="EG17" s="43">
        <f t="shared" si="104"/>
        <v>0</v>
      </c>
      <c r="EH17" s="43">
        <f t="shared" si="105"/>
        <v>0</v>
      </c>
      <c r="EI17" s="43">
        <f t="shared" si="106"/>
        <v>0</v>
      </c>
      <c r="EJ17" s="43">
        <f t="shared" si="107"/>
        <v>0</v>
      </c>
      <c r="EK17" s="43">
        <f t="shared" si="108"/>
        <v>0</v>
      </c>
      <c r="EL17" s="43">
        <f t="shared" si="109"/>
        <v>0</v>
      </c>
      <c r="EM17" s="43">
        <f t="shared" si="110"/>
        <v>0</v>
      </c>
      <c r="EN17" s="43">
        <f t="shared" si="111"/>
        <v>0</v>
      </c>
      <c r="EO17" s="43">
        <f t="shared" si="112"/>
        <v>0</v>
      </c>
      <c r="EP17" s="43">
        <f t="shared" si="113"/>
        <v>0</v>
      </c>
      <c r="EQ17" s="43">
        <f t="shared" si="114"/>
        <v>0</v>
      </c>
      <c r="ER17" s="43">
        <f t="shared" si="115"/>
        <v>0</v>
      </c>
      <c r="ES17" s="767"/>
      <c r="ET17" s="43">
        <f t="shared" si="208"/>
        <v>69.083333333333329</v>
      </c>
      <c r="EU17" s="43">
        <f t="shared" si="116"/>
        <v>0</v>
      </c>
      <c r="EV17" s="43">
        <f t="shared" si="117"/>
        <v>0</v>
      </c>
      <c r="EW17" s="43">
        <f t="shared" si="118"/>
        <v>0</v>
      </c>
      <c r="EX17" s="43">
        <f t="shared" si="119"/>
        <v>0</v>
      </c>
      <c r="EY17" s="43">
        <f t="shared" si="120"/>
        <v>0</v>
      </c>
      <c r="EZ17" s="43">
        <f t="shared" si="121"/>
        <v>0</v>
      </c>
      <c r="FA17" s="43">
        <f t="shared" si="122"/>
        <v>0</v>
      </c>
      <c r="FB17" s="43">
        <f t="shared" si="123"/>
        <v>0</v>
      </c>
      <c r="FC17" s="43">
        <f t="shared" si="124"/>
        <v>0</v>
      </c>
      <c r="FD17" s="43">
        <f t="shared" si="125"/>
        <v>0</v>
      </c>
      <c r="FE17" s="43">
        <f t="shared" si="126"/>
        <v>0</v>
      </c>
      <c r="FF17" s="43">
        <f t="shared" si="127"/>
        <v>0</v>
      </c>
      <c r="FG17" s="43">
        <f t="shared" si="128"/>
        <v>0</v>
      </c>
      <c r="FH17" s="43">
        <f t="shared" si="129"/>
        <v>0</v>
      </c>
      <c r="FI17" s="767"/>
      <c r="FJ17" s="43">
        <f t="shared" si="209"/>
        <v>69.083333333333329</v>
      </c>
      <c r="FK17" s="43">
        <f t="shared" si="130"/>
        <v>0</v>
      </c>
      <c r="FL17" s="43">
        <f t="shared" si="131"/>
        <v>0</v>
      </c>
      <c r="FM17" s="43">
        <f t="shared" si="132"/>
        <v>0</v>
      </c>
      <c r="FN17" s="43">
        <f t="shared" si="133"/>
        <v>0</v>
      </c>
      <c r="FO17" s="43">
        <f t="shared" si="134"/>
        <v>0</v>
      </c>
      <c r="FP17" s="43">
        <f t="shared" si="135"/>
        <v>0</v>
      </c>
      <c r="FQ17" s="43">
        <f t="shared" si="136"/>
        <v>0</v>
      </c>
      <c r="FR17" s="43">
        <f t="shared" si="137"/>
        <v>0</v>
      </c>
      <c r="FS17" s="43">
        <f t="shared" si="138"/>
        <v>0</v>
      </c>
      <c r="FT17" s="43">
        <f t="shared" si="139"/>
        <v>0</v>
      </c>
      <c r="FU17" s="43">
        <f t="shared" si="140"/>
        <v>0</v>
      </c>
      <c r="FV17" s="43">
        <f t="shared" si="141"/>
        <v>0</v>
      </c>
      <c r="FW17" s="43">
        <f t="shared" si="142"/>
        <v>0</v>
      </c>
      <c r="FX17" s="43">
        <f t="shared" si="143"/>
        <v>0</v>
      </c>
      <c r="FY17" s="767"/>
      <c r="FZ17" s="43">
        <f t="shared" si="210"/>
        <v>69.083333333333329</v>
      </c>
      <c r="GA17" s="43">
        <f t="shared" si="144"/>
        <v>0</v>
      </c>
      <c r="GB17" s="43">
        <f t="shared" si="145"/>
        <v>0</v>
      </c>
      <c r="GC17" s="43">
        <f t="shared" si="146"/>
        <v>0</v>
      </c>
      <c r="GD17" s="43">
        <f t="shared" si="147"/>
        <v>0</v>
      </c>
      <c r="GE17" s="43">
        <f t="shared" si="148"/>
        <v>0</v>
      </c>
      <c r="GF17" s="43">
        <f t="shared" si="149"/>
        <v>0</v>
      </c>
      <c r="GG17" s="43">
        <f t="shared" si="150"/>
        <v>0</v>
      </c>
      <c r="GH17" s="43">
        <f t="shared" si="151"/>
        <v>0</v>
      </c>
      <c r="GI17" s="43">
        <f t="shared" si="152"/>
        <v>0</v>
      </c>
      <c r="GJ17" s="43">
        <f t="shared" si="153"/>
        <v>0</v>
      </c>
      <c r="GK17" s="43">
        <f t="shared" si="154"/>
        <v>0</v>
      </c>
      <c r="GL17" s="43">
        <f t="shared" si="155"/>
        <v>0</v>
      </c>
      <c r="GM17" s="43">
        <f t="shared" si="156"/>
        <v>0</v>
      </c>
      <c r="GN17" s="43">
        <f t="shared" si="157"/>
        <v>0</v>
      </c>
      <c r="GO17" s="767"/>
      <c r="GP17" s="43">
        <f t="shared" si="211"/>
        <v>69.083333333333329</v>
      </c>
      <c r="GQ17" s="43">
        <f t="shared" si="158"/>
        <v>0</v>
      </c>
      <c r="GR17" s="43">
        <f t="shared" si="159"/>
        <v>0</v>
      </c>
      <c r="GS17" s="43">
        <f t="shared" si="160"/>
        <v>0</v>
      </c>
      <c r="GT17" s="43">
        <f t="shared" si="161"/>
        <v>0</v>
      </c>
      <c r="GU17" s="43">
        <f t="shared" si="162"/>
        <v>0</v>
      </c>
      <c r="GV17" s="43">
        <f t="shared" si="163"/>
        <v>0</v>
      </c>
      <c r="GW17" s="43">
        <f t="shared" si="164"/>
        <v>0</v>
      </c>
      <c r="GX17" s="43">
        <f t="shared" si="165"/>
        <v>0</v>
      </c>
      <c r="GY17" s="43">
        <f t="shared" si="166"/>
        <v>0</v>
      </c>
      <c r="GZ17" s="43">
        <f t="shared" si="167"/>
        <v>0</v>
      </c>
      <c r="HA17" s="43">
        <f t="shared" si="168"/>
        <v>0</v>
      </c>
      <c r="HB17" s="43">
        <f t="shared" si="169"/>
        <v>0</v>
      </c>
      <c r="HC17" s="43">
        <f t="shared" si="170"/>
        <v>0</v>
      </c>
      <c r="HD17" s="43">
        <f t="shared" si="171"/>
        <v>0</v>
      </c>
      <c r="HE17" s="767"/>
      <c r="HF17" s="43">
        <f t="shared" si="212"/>
        <v>69.083333333333329</v>
      </c>
      <c r="HG17" s="43">
        <f t="shared" si="172"/>
        <v>0</v>
      </c>
      <c r="HH17" s="43">
        <f t="shared" si="173"/>
        <v>0</v>
      </c>
      <c r="HI17" s="43">
        <f t="shared" si="174"/>
        <v>0</v>
      </c>
      <c r="HJ17" s="43">
        <f t="shared" si="175"/>
        <v>0</v>
      </c>
      <c r="HK17" s="43">
        <f t="shared" si="176"/>
        <v>0</v>
      </c>
      <c r="HL17" s="43">
        <f t="shared" si="177"/>
        <v>0</v>
      </c>
      <c r="HM17" s="43">
        <f t="shared" si="178"/>
        <v>0</v>
      </c>
      <c r="HN17" s="43">
        <f t="shared" si="179"/>
        <v>0</v>
      </c>
      <c r="HO17" s="43">
        <f t="shared" si="180"/>
        <v>0</v>
      </c>
      <c r="HP17" s="43">
        <f t="shared" si="181"/>
        <v>0</v>
      </c>
      <c r="HQ17" s="43">
        <f t="shared" si="182"/>
        <v>0</v>
      </c>
      <c r="HR17" s="43">
        <f t="shared" si="183"/>
        <v>0</v>
      </c>
      <c r="HS17" s="43">
        <f t="shared" si="184"/>
        <v>0</v>
      </c>
      <c r="HT17" s="43">
        <f t="shared" si="185"/>
        <v>0</v>
      </c>
      <c r="HU17" s="767"/>
      <c r="HV17" s="43">
        <f t="shared" si="213"/>
        <v>69.083333333333329</v>
      </c>
      <c r="HW17" s="43">
        <f t="shared" si="186"/>
        <v>0</v>
      </c>
      <c r="HX17" s="43">
        <f t="shared" si="187"/>
        <v>0</v>
      </c>
      <c r="HY17" s="43">
        <f t="shared" si="188"/>
        <v>0</v>
      </c>
      <c r="HZ17" s="43">
        <f t="shared" si="189"/>
        <v>0</v>
      </c>
      <c r="IA17" s="43">
        <f t="shared" si="190"/>
        <v>0</v>
      </c>
      <c r="IB17" s="43">
        <f t="shared" si="191"/>
        <v>0</v>
      </c>
      <c r="IC17" s="43">
        <f t="shared" si="192"/>
        <v>0</v>
      </c>
      <c r="ID17" s="43">
        <f t="shared" si="193"/>
        <v>0</v>
      </c>
      <c r="IE17" s="43">
        <f t="shared" si="194"/>
        <v>0</v>
      </c>
      <c r="IF17" s="43">
        <f t="shared" si="195"/>
        <v>0</v>
      </c>
      <c r="IG17" s="43">
        <f t="shared" si="196"/>
        <v>0</v>
      </c>
      <c r="IH17" s="43">
        <f t="shared" si="197"/>
        <v>0</v>
      </c>
      <c r="II17" s="43">
        <f t="shared" si="198"/>
        <v>0</v>
      </c>
      <c r="IJ17" s="786">
        <f t="shared" si="199"/>
        <v>0</v>
      </c>
      <c r="IK17" s="794"/>
    </row>
    <row r="18" spans="1:245">
      <c r="A18" s="642">
        <f t="shared" si="214"/>
        <v>9</v>
      </c>
      <c r="B18" s="762" t="str">
        <f t="shared" si="15"/>
        <v>Radio Technician</v>
      </c>
      <c r="C18" s="775"/>
      <c r="D18" s="769"/>
      <c r="E18" s="52" t="str">
        <f t="shared" si="16"/>
        <v>Radio TechnicianGovt_Sub</v>
      </c>
      <c r="F18" s="793">
        <f>+InputSheet!AB181</f>
        <v>57.416666666666664</v>
      </c>
      <c r="G18" s="43"/>
      <c r="H18" s="43"/>
      <c r="I18" s="43"/>
      <c r="J18" s="43"/>
      <c r="K18" s="43"/>
      <c r="L18" s="43"/>
      <c r="M18" s="43"/>
      <c r="N18" s="43"/>
      <c r="O18" s="43"/>
      <c r="P18" s="43"/>
      <c r="Q18" s="43"/>
      <c r="R18" s="43"/>
      <c r="S18" s="43"/>
      <c r="T18" s="43"/>
      <c r="U18" s="767"/>
      <c r="V18" s="43">
        <f>+InputSheet!AD181</f>
        <v>59.083333333333336</v>
      </c>
      <c r="W18" s="43">
        <f t="shared" si="17"/>
        <v>0</v>
      </c>
      <c r="X18" s="43">
        <f t="shared" si="17"/>
        <v>0</v>
      </c>
      <c r="Y18" s="43">
        <f t="shared" si="17"/>
        <v>0</v>
      </c>
      <c r="Z18" s="43">
        <f t="shared" si="17"/>
        <v>0</v>
      </c>
      <c r="AA18" s="43">
        <f t="shared" si="17"/>
        <v>0</v>
      </c>
      <c r="AB18" s="43">
        <f t="shared" si="17"/>
        <v>0</v>
      </c>
      <c r="AC18" s="43">
        <f t="shared" si="17"/>
        <v>0</v>
      </c>
      <c r="AD18" s="43">
        <f t="shared" si="17"/>
        <v>0</v>
      </c>
      <c r="AE18" s="43">
        <f t="shared" si="17"/>
        <v>0</v>
      </c>
      <c r="AF18" s="43">
        <f t="shared" si="17"/>
        <v>0</v>
      </c>
      <c r="AG18" s="43">
        <f t="shared" si="17"/>
        <v>0</v>
      </c>
      <c r="AH18" s="43">
        <f t="shared" si="17"/>
        <v>0</v>
      </c>
      <c r="AI18" s="43">
        <f t="shared" si="17"/>
        <v>0</v>
      </c>
      <c r="AJ18" s="43">
        <f t="shared" si="17"/>
        <v>0</v>
      </c>
      <c r="AK18" s="767"/>
      <c r="AL18" s="43">
        <f>+InputSheet!AF181</f>
        <v>60.583333333333336</v>
      </c>
      <c r="AM18" s="43">
        <f t="shared" si="18"/>
        <v>0</v>
      </c>
      <c r="AN18" s="43">
        <f t="shared" si="19"/>
        <v>0</v>
      </c>
      <c r="AO18" s="43">
        <f t="shared" si="20"/>
        <v>0</v>
      </c>
      <c r="AP18" s="43">
        <f t="shared" si="21"/>
        <v>0</v>
      </c>
      <c r="AQ18" s="43">
        <f t="shared" si="22"/>
        <v>0</v>
      </c>
      <c r="AR18" s="43">
        <f t="shared" si="23"/>
        <v>0</v>
      </c>
      <c r="AS18" s="43">
        <f t="shared" si="24"/>
        <v>0</v>
      </c>
      <c r="AT18" s="43">
        <f t="shared" si="25"/>
        <v>0</v>
      </c>
      <c r="AU18" s="43">
        <f t="shared" si="26"/>
        <v>0</v>
      </c>
      <c r="AV18" s="43">
        <f t="shared" si="27"/>
        <v>0</v>
      </c>
      <c r="AW18" s="43">
        <f t="shared" si="28"/>
        <v>0</v>
      </c>
      <c r="AX18" s="43">
        <f t="shared" si="29"/>
        <v>0</v>
      </c>
      <c r="AY18" s="43">
        <f t="shared" si="30"/>
        <v>0</v>
      </c>
      <c r="AZ18" s="43">
        <f t="shared" si="31"/>
        <v>0</v>
      </c>
      <c r="BA18" s="767"/>
      <c r="BB18" s="43">
        <f t="shared" si="202"/>
        <v>60.583333333333336</v>
      </c>
      <c r="BC18" s="43">
        <f t="shared" si="32"/>
        <v>0</v>
      </c>
      <c r="BD18" s="43">
        <f t="shared" si="33"/>
        <v>0</v>
      </c>
      <c r="BE18" s="43">
        <f t="shared" si="34"/>
        <v>0</v>
      </c>
      <c r="BF18" s="43">
        <f t="shared" si="35"/>
        <v>0</v>
      </c>
      <c r="BG18" s="43">
        <f t="shared" si="36"/>
        <v>0</v>
      </c>
      <c r="BH18" s="43">
        <f t="shared" si="37"/>
        <v>0</v>
      </c>
      <c r="BI18" s="43">
        <f t="shared" si="38"/>
        <v>0</v>
      </c>
      <c r="BJ18" s="43">
        <f t="shared" si="39"/>
        <v>0</v>
      </c>
      <c r="BK18" s="43">
        <f t="shared" si="40"/>
        <v>0</v>
      </c>
      <c r="BL18" s="43">
        <f t="shared" si="41"/>
        <v>0</v>
      </c>
      <c r="BM18" s="43">
        <f t="shared" si="42"/>
        <v>0</v>
      </c>
      <c r="BN18" s="43">
        <f t="shared" si="43"/>
        <v>0</v>
      </c>
      <c r="BO18" s="43">
        <f t="shared" si="44"/>
        <v>0</v>
      </c>
      <c r="BP18" s="43">
        <f t="shared" si="45"/>
        <v>0</v>
      </c>
      <c r="BQ18" s="767"/>
      <c r="BR18" s="43">
        <f t="shared" si="203"/>
        <v>60.583333333333336</v>
      </c>
      <c r="BS18" s="43">
        <f t="shared" si="46"/>
        <v>0</v>
      </c>
      <c r="BT18" s="43">
        <f t="shared" si="47"/>
        <v>0</v>
      </c>
      <c r="BU18" s="43">
        <f t="shared" si="48"/>
        <v>0</v>
      </c>
      <c r="BV18" s="43">
        <f t="shared" si="49"/>
        <v>0</v>
      </c>
      <c r="BW18" s="43">
        <f t="shared" si="50"/>
        <v>0</v>
      </c>
      <c r="BX18" s="43">
        <f t="shared" si="51"/>
        <v>0</v>
      </c>
      <c r="BY18" s="43">
        <f t="shared" si="52"/>
        <v>0</v>
      </c>
      <c r="BZ18" s="43">
        <f t="shared" si="53"/>
        <v>0</v>
      </c>
      <c r="CA18" s="43">
        <f t="shared" si="54"/>
        <v>0</v>
      </c>
      <c r="CB18" s="43">
        <f t="shared" si="55"/>
        <v>0</v>
      </c>
      <c r="CC18" s="43">
        <f t="shared" si="56"/>
        <v>0</v>
      </c>
      <c r="CD18" s="43">
        <f t="shared" si="57"/>
        <v>0</v>
      </c>
      <c r="CE18" s="43">
        <f t="shared" si="58"/>
        <v>0</v>
      </c>
      <c r="CF18" s="43">
        <f t="shared" si="59"/>
        <v>0</v>
      </c>
      <c r="CG18" s="767"/>
      <c r="CH18" s="43">
        <f t="shared" si="204"/>
        <v>60.583333333333336</v>
      </c>
      <c r="CI18" s="43">
        <f t="shared" si="60"/>
        <v>0</v>
      </c>
      <c r="CJ18" s="43">
        <f t="shared" si="61"/>
        <v>0</v>
      </c>
      <c r="CK18" s="43">
        <f t="shared" si="62"/>
        <v>0</v>
      </c>
      <c r="CL18" s="43">
        <f t="shared" si="63"/>
        <v>0</v>
      </c>
      <c r="CM18" s="43">
        <f t="shared" si="64"/>
        <v>0</v>
      </c>
      <c r="CN18" s="43">
        <f t="shared" si="65"/>
        <v>0</v>
      </c>
      <c r="CO18" s="43">
        <f t="shared" si="66"/>
        <v>0</v>
      </c>
      <c r="CP18" s="43">
        <f t="shared" si="67"/>
        <v>0</v>
      </c>
      <c r="CQ18" s="43">
        <f t="shared" si="68"/>
        <v>0</v>
      </c>
      <c r="CR18" s="43">
        <f t="shared" si="69"/>
        <v>0</v>
      </c>
      <c r="CS18" s="43">
        <f t="shared" si="70"/>
        <v>0</v>
      </c>
      <c r="CT18" s="43">
        <f t="shared" si="71"/>
        <v>0</v>
      </c>
      <c r="CU18" s="43">
        <f t="shared" si="72"/>
        <v>0</v>
      </c>
      <c r="CV18" s="43">
        <f t="shared" si="73"/>
        <v>0</v>
      </c>
      <c r="CW18" s="767"/>
      <c r="CX18" s="43">
        <f t="shared" si="205"/>
        <v>60.583333333333336</v>
      </c>
      <c r="CY18" s="43">
        <f t="shared" si="74"/>
        <v>0</v>
      </c>
      <c r="CZ18" s="43">
        <f t="shared" si="75"/>
        <v>0</v>
      </c>
      <c r="DA18" s="43">
        <f t="shared" si="76"/>
        <v>0</v>
      </c>
      <c r="DB18" s="43">
        <f t="shared" si="77"/>
        <v>0</v>
      </c>
      <c r="DC18" s="43">
        <f t="shared" si="78"/>
        <v>0</v>
      </c>
      <c r="DD18" s="43">
        <f t="shared" si="79"/>
        <v>0</v>
      </c>
      <c r="DE18" s="43">
        <f t="shared" si="80"/>
        <v>0</v>
      </c>
      <c r="DF18" s="43">
        <f t="shared" si="81"/>
        <v>0</v>
      </c>
      <c r="DG18" s="43">
        <f t="shared" si="82"/>
        <v>0</v>
      </c>
      <c r="DH18" s="43">
        <f t="shared" si="83"/>
        <v>0</v>
      </c>
      <c r="DI18" s="43">
        <f t="shared" si="84"/>
        <v>0</v>
      </c>
      <c r="DJ18" s="43">
        <f t="shared" si="85"/>
        <v>0</v>
      </c>
      <c r="DK18" s="43">
        <f t="shared" si="86"/>
        <v>0</v>
      </c>
      <c r="DL18" s="43">
        <f t="shared" si="87"/>
        <v>0</v>
      </c>
      <c r="DM18" s="767"/>
      <c r="DN18" s="43">
        <f t="shared" si="206"/>
        <v>60.583333333333336</v>
      </c>
      <c r="DO18" s="43">
        <f t="shared" si="88"/>
        <v>0</v>
      </c>
      <c r="DP18" s="43">
        <f t="shared" si="89"/>
        <v>0</v>
      </c>
      <c r="DQ18" s="43">
        <f t="shared" si="90"/>
        <v>0</v>
      </c>
      <c r="DR18" s="43">
        <f t="shared" si="91"/>
        <v>0</v>
      </c>
      <c r="DS18" s="43">
        <f t="shared" si="92"/>
        <v>0</v>
      </c>
      <c r="DT18" s="43">
        <f t="shared" si="93"/>
        <v>0</v>
      </c>
      <c r="DU18" s="43">
        <f t="shared" si="94"/>
        <v>0</v>
      </c>
      <c r="DV18" s="43">
        <f t="shared" si="95"/>
        <v>0</v>
      </c>
      <c r="DW18" s="43">
        <f t="shared" si="96"/>
        <v>0</v>
      </c>
      <c r="DX18" s="43">
        <f t="shared" si="97"/>
        <v>0</v>
      </c>
      <c r="DY18" s="43">
        <f t="shared" si="98"/>
        <v>0</v>
      </c>
      <c r="DZ18" s="43">
        <f t="shared" si="99"/>
        <v>0</v>
      </c>
      <c r="EA18" s="43">
        <f t="shared" si="100"/>
        <v>0</v>
      </c>
      <c r="EB18" s="43">
        <f t="shared" si="101"/>
        <v>0</v>
      </c>
      <c r="EC18" s="767"/>
      <c r="ED18" s="43">
        <f t="shared" si="207"/>
        <v>60.583333333333336</v>
      </c>
      <c r="EE18" s="43">
        <f t="shared" si="102"/>
        <v>0</v>
      </c>
      <c r="EF18" s="43">
        <f t="shared" si="103"/>
        <v>0</v>
      </c>
      <c r="EG18" s="43">
        <f t="shared" si="104"/>
        <v>0</v>
      </c>
      <c r="EH18" s="43">
        <f t="shared" si="105"/>
        <v>0</v>
      </c>
      <c r="EI18" s="43">
        <f t="shared" si="106"/>
        <v>0</v>
      </c>
      <c r="EJ18" s="43">
        <f t="shared" si="107"/>
        <v>0</v>
      </c>
      <c r="EK18" s="43">
        <f t="shared" si="108"/>
        <v>0</v>
      </c>
      <c r="EL18" s="43">
        <f t="shared" si="109"/>
        <v>0</v>
      </c>
      <c r="EM18" s="43">
        <f t="shared" si="110"/>
        <v>0</v>
      </c>
      <c r="EN18" s="43">
        <f t="shared" si="111"/>
        <v>0</v>
      </c>
      <c r="EO18" s="43">
        <f t="shared" si="112"/>
        <v>0</v>
      </c>
      <c r="EP18" s="43">
        <f t="shared" si="113"/>
        <v>0</v>
      </c>
      <c r="EQ18" s="43">
        <f t="shared" si="114"/>
        <v>0</v>
      </c>
      <c r="ER18" s="43">
        <f t="shared" si="115"/>
        <v>0</v>
      </c>
      <c r="ES18" s="767"/>
      <c r="ET18" s="43">
        <f t="shared" si="208"/>
        <v>60.583333333333336</v>
      </c>
      <c r="EU18" s="43">
        <f t="shared" si="116"/>
        <v>0</v>
      </c>
      <c r="EV18" s="43">
        <f t="shared" si="117"/>
        <v>0</v>
      </c>
      <c r="EW18" s="43">
        <f t="shared" si="118"/>
        <v>0</v>
      </c>
      <c r="EX18" s="43">
        <f t="shared" si="119"/>
        <v>0</v>
      </c>
      <c r="EY18" s="43">
        <f t="shared" si="120"/>
        <v>0</v>
      </c>
      <c r="EZ18" s="43">
        <f t="shared" si="121"/>
        <v>0</v>
      </c>
      <c r="FA18" s="43">
        <f t="shared" si="122"/>
        <v>0</v>
      </c>
      <c r="FB18" s="43">
        <f t="shared" si="123"/>
        <v>0</v>
      </c>
      <c r="FC18" s="43">
        <f t="shared" si="124"/>
        <v>0</v>
      </c>
      <c r="FD18" s="43">
        <f t="shared" si="125"/>
        <v>0</v>
      </c>
      <c r="FE18" s="43">
        <f t="shared" si="126"/>
        <v>0</v>
      </c>
      <c r="FF18" s="43">
        <f t="shared" si="127"/>
        <v>0</v>
      </c>
      <c r="FG18" s="43">
        <f t="shared" si="128"/>
        <v>0</v>
      </c>
      <c r="FH18" s="43">
        <f t="shared" si="129"/>
        <v>0</v>
      </c>
      <c r="FI18" s="767"/>
      <c r="FJ18" s="43">
        <f t="shared" si="209"/>
        <v>60.583333333333336</v>
      </c>
      <c r="FK18" s="43">
        <f t="shared" si="130"/>
        <v>0</v>
      </c>
      <c r="FL18" s="43">
        <f t="shared" si="131"/>
        <v>0</v>
      </c>
      <c r="FM18" s="43">
        <f t="shared" si="132"/>
        <v>0</v>
      </c>
      <c r="FN18" s="43">
        <f t="shared" si="133"/>
        <v>0</v>
      </c>
      <c r="FO18" s="43">
        <f t="shared" si="134"/>
        <v>0</v>
      </c>
      <c r="FP18" s="43">
        <f t="shared" si="135"/>
        <v>0</v>
      </c>
      <c r="FQ18" s="43">
        <f t="shared" si="136"/>
        <v>0</v>
      </c>
      <c r="FR18" s="43">
        <f t="shared" si="137"/>
        <v>0</v>
      </c>
      <c r="FS18" s="43">
        <f t="shared" si="138"/>
        <v>0</v>
      </c>
      <c r="FT18" s="43">
        <f t="shared" si="139"/>
        <v>0</v>
      </c>
      <c r="FU18" s="43">
        <f t="shared" si="140"/>
        <v>0</v>
      </c>
      <c r="FV18" s="43">
        <f t="shared" si="141"/>
        <v>0</v>
      </c>
      <c r="FW18" s="43">
        <f t="shared" si="142"/>
        <v>0</v>
      </c>
      <c r="FX18" s="43">
        <f t="shared" si="143"/>
        <v>0</v>
      </c>
      <c r="FY18" s="767"/>
      <c r="FZ18" s="43">
        <f t="shared" si="210"/>
        <v>60.583333333333336</v>
      </c>
      <c r="GA18" s="43">
        <f t="shared" si="144"/>
        <v>0</v>
      </c>
      <c r="GB18" s="43">
        <f t="shared" si="145"/>
        <v>0</v>
      </c>
      <c r="GC18" s="43">
        <f t="shared" si="146"/>
        <v>0</v>
      </c>
      <c r="GD18" s="43">
        <f t="shared" si="147"/>
        <v>0</v>
      </c>
      <c r="GE18" s="43">
        <f t="shared" si="148"/>
        <v>0</v>
      </c>
      <c r="GF18" s="43">
        <f t="shared" si="149"/>
        <v>0</v>
      </c>
      <c r="GG18" s="43">
        <f t="shared" si="150"/>
        <v>0</v>
      </c>
      <c r="GH18" s="43">
        <f t="shared" si="151"/>
        <v>0</v>
      </c>
      <c r="GI18" s="43">
        <f t="shared" si="152"/>
        <v>0</v>
      </c>
      <c r="GJ18" s="43">
        <f t="shared" si="153"/>
        <v>0</v>
      </c>
      <c r="GK18" s="43">
        <f t="shared" si="154"/>
        <v>0</v>
      </c>
      <c r="GL18" s="43">
        <f t="shared" si="155"/>
        <v>0</v>
      </c>
      <c r="GM18" s="43">
        <f t="shared" si="156"/>
        <v>0</v>
      </c>
      <c r="GN18" s="43">
        <f t="shared" si="157"/>
        <v>0</v>
      </c>
      <c r="GO18" s="767"/>
      <c r="GP18" s="43">
        <f t="shared" si="211"/>
        <v>60.583333333333336</v>
      </c>
      <c r="GQ18" s="43">
        <f t="shared" si="158"/>
        <v>0</v>
      </c>
      <c r="GR18" s="43">
        <f t="shared" si="159"/>
        <v>0</v>
      </c>
      <c r="GS18" s="43">
        <f t="shared" si="160"/>
        <v>0</v>
      </c>
      <c r="GT18" s="43">
        <f t="shared" si="161"/>
        <v>0</v>
      </c>
      <c r="GU18" s="43">
        <f t="shared" si="162"/>
        <v>0</v>
      </c>
      <c r="GV18" s="43">
        <f t="shared" si="163"/>
        <v>0</v>
      </c>
      <c r="GW18" s="43">
        <f t="shared" si="164"/>
        <v>0</v>
      </c>
      <c r="GX18" s="43">
        <f t="shared" si="165"/>
        <v>0</v>
      </c>
      <c r="GY18" s="43">
        <f t="shared" si="166"/>
        <v>0</v>
      </c>
      <c r="GZ18" s="43">
        <f t="shared" si="167"/>
        <v>0</v>
      </c>
      <c r="HA18" s="43">
        <f t="shared" si="168"/>
        <v>0</v>
      </c>
      <c r="HB18" s="43">
        <f t="shared" si="169"/>
        <v>0</v>
      </c>
      <c r="HC18" s="43">
        <f t="shared" si="170"/>
        <v>0</v>
      </c>
      <c r="HD18" s="43">
        <f t="shared" si="171"/>
        <v>0</v>
      </c>
      <c r="HE18" s="767"/>
      <c r="HF18" s="43">
        <f t="shared" si="212"/>
        <v>60.583333333333336</v>
      </c>
      <c r="HG18" s="43">
        <f t="shared" si="172"/>
        <v>0</v>
      </c>
      <c r="HH18" s="43">
        <f t="shared" si="173"/>
        <v>0</v>
      </c>
      <c r="HI18" s="43">
        <f t="shared" si="174"/>
        <v>0</v>
      </c>
      <c r="HJ18" s="43">
        <f t="shared" si="175"/>
        <v>0</v>
      </c>
      <c r="HK18" s="43">
        <f t="shared" si="176"/>
        <v>0</v>
      </c>
      <c r="HL18" s="43">
        <f t="shared" si="177"/>
        <v>0</v>
      </c>
      <c r="HM18" s="43">
        <f t="shared" si="178"/>
        <v>0</v>
      </c>
      <c r="HN18" s="43">
        <f t="shared" si="179"/>
        <v>0</v>
      </c>
      <c r="HO18" s="43">
        <f t="shared" si="180"/>
        <v>0</v>
      </c>
      <c r="HP18" s="43">
        <f t="shared" si="181"/>
        <v>0</v>
      </c>
      <c r="HQ18" s="43">
        <f t="shared" si="182"/>
        <v>0</v>
      </c>
      <c r="HR18" s="43">
        <f t="shared" si="183"/>
        <v>0</v>
      </c>
      <c r="HS18" s="43">
        <f t="shared" si="184"/>
        <v>0</v>
      </c>
      <c r="HT18" s="43">
        <f t="shared" si="185"/>
        <v>0</v>
      </c>
      <c r="HU18" s="767"/>
      <c r="HV18" s="43">
        <f t="shared" si="213"/>
        <v>60.583333333333336</v>
      </c>
      <c r="HW18" s="43">
        <f t="shared" si="186"/>
        <v>0</v>
      </c>
      <c r="HX18" s="43">
        <f t="shared" si="187"/>
        <v>0</v>
      </c>
      <c r="HY18" s="43">
        <f t="shared" si="188"/>
        <v>0</v>
      </c>
      <c r="HZ18" s="43">
        <f t="shared" si="189"/>
        <v>0</v>
      </c>
      <c r="IA18" s="43">
        <f t="shared" si="190"/>
        <v>0</v>
      </c>
      <c r="IB18" s="43">
        <f t="shared" si="191"/>
        <v>0</v>
      </c>
      <c r="IC18" s="43">
        <f t="shared" si="192"/>
        <v>0</v>
      </c>
      <c r="ID18" s="43">
        <f t="shared" si="193"/>
        <v>0</v>
      </c>
      <c r="IE18" s="43">
        <f t="shared" si="194"/>
        <v>0</v>
      </c>
      <c r="IF18" s="43">
        <f t="shared" si="195"/>
        <v>0</v>
      </c>
      <c r="IG18" s="43">
        <f t="shared" si="196"/>
        <v>0</v>
      </c>
      <c r="IH18" s="43">
        <f t="shared" si="197"/>
        <v>0</v>
      </c>
      <c r="II18" s="43">
        <f t="shared" si="198"/>
        <v>0</v>
      </c>
      <c r="IJ18" s="786">
        <f t="shared" si="199"/>
        <v>0</v>
      </c>
      <c r="IK18" s="794"/>
    </row>
    <row r="19" spans="1:245">
      <c r="A19" s="642">
        <f t="shared" si="214"/>
        <v>10</v>
      </c>
      <c r="B19" s="762" t="str">
        <f t="shared" si="15"/>
        <v>Radio Technician</v>
      </c>
      <c r="C19" s="775"/>
      <c r="D19" s="769"/>
      <c r="E19" s="52" t="str">
        <f t="shared" si="16"/>
        <v>Radio TechnicianGovt_Sub</v>
      </c>
      <c r="F19" s="793">
        <f>+InputSheet!AB182</f>
        <v>57.416666666666664</v>
      </c>
      <c r="G19" s="43"/>
      <c r="H19" s="43"/>
      <c r="I19" s="43"/>
      <c r="J19" s="43"/>
      <c r="K19" s="43"/>
      <c r="L19" s="43"/>
      <c r="M19" s="43"/>
      <c r="N19" s="43"/>
      <c r="O19" s="43"/>
      <c r="P19" s="43"/>
      <c r="Q19" s="43"/>
      <c r="R19" s="43"/>
      <c r="S19" s="43"/>
      <c r="T19" s="43"/>
      <c r="U19" s="767"/>
      <c r="V19" s="43">
        <f>+InputSheet!AD182</f>
        <v>59.083333333333336</v>
      </c>
      <c r="W19" s="43">
        <f t="shared" si="17"/>
        <v>0</v>
      </c>
      <c r="X19" s="43">
        <f t="shared" si="17"/>
        <v>0</v>
      </c>
      <c r="Y19" s="43">
        <f t="shared" si="17"/>
        <v>0</v>
      </c>
      <c r="Z19" s="43">
        <f t="shared" si="17"/>
        <v>0</v>
      </c>
      <c r="AA19" s="43">
        <f t="shared" si="17"/>
        <v>0</v>
      </c>
      <c r="AB19" s="43">
        <f t="shared" si="17"/>
        <v>0</v>
      </c>
      <c r="AC19" s="43">
        <f t="shared" si="17"/>
        <v>0</v>
      </c>
      <c r="AD19" s="43">
        <f t="shared" si="17"/>
        <v>0</v>
      </c>
      <c r="AE19" s="43">
        <f t="shared" si="17"/>
        <v>0</v>
      </c>
      <c r="AF19" s="43">
        <f t="shared" si="17"/>
        <v>0</v>
      </c>
      <c r="AG19" s="43">
        <f t="shared" si="17"/>
        <v>0</v>
      </c>
      <c r="AH19" s="43">
        <f t="shared" si="17"/>
        <v>0</v>
      </c>
      <c r="AI19" s="43">
        <f t="shared" si="17"/>
        <v>0</v>
      </c>
      <c r="AJ19" s="43">
        <f t="shared" si="17"/>
        <v>0</v>
      </c>
      <c r="AK19" s="767"/>
      <c r="AL19" s="43">
        <f>+InputSheet!AF182</f>
        <v>60.583333333333336</v>
      </c>
      <c r="AM19" s="43">
        <f t="shared" si="18"/>
        <v>0</v>
      </c>
      <c r="AN19" s="43">
        <f t="shared" si="19"/>
        <v>0</v>
      </c>
      <c r="AO19" s="43">
        <f t="shared" si="20"/>
        <v>0</v>
      </c>
      <c r="AP19" s="43">
        <f t="shared" si="21"/>
        <v>0</v>
      </c>
      <c r="AQ19" s="43">
        <f t="shared" si="22"/>
        <v>0</v>
      </c>
      <c r="AR19" s="43">
        <f t="shared" si="23"/>
        <v>0</v>
      </c>
      <c r="AS19" s="43">
        <f t="shared" si="24"/>
        <v>0</v>
      </c>
      <c r="AT19" s="43">
        <f t="shared" si="25"/>
        <v>0</v>
      </c>
      <c r="AU19" s="43">
        <f t="shared" si="26"/>
        <v>0</v>
      </c>
      <c r="AV19" s="43">
        <f t="shared" si="27"/>
        <v>0</v>
      </c>
      <c r="AW19" s="43">
        <f t="shared" si="28"/>
        <v>0</v>
      </c>
      <c r="AX19" s="43">
        <f t="shared" si="29"/>
        <v>0</v>
      </c>
      <c r="AY19" s="43">
        <f t="shared" si="30"/>
        <v>0</v>
      </c>
      <c r="AZ19" s="43">
        <f t="shared" si="31"/>
        <v>0</v>
      </c>
      <c r="BA19" s="767"/>
      <c r="BB19" s="43">
        <f t="shared" si="202"/>
        <v>60.583333333333336</v>
      </c>
      <c r="BC19" s="43">
        <f t="shared" si="32"/>
        <v>0</v>
      </c>
      <c r="BD19" s="43">
        <f t="shared" si="33"/>
        <v>0</v>
      </c>
      <c r="BE19" s="43">
        <f t="shared" si="34"/>
        <v>0</v>
      </c>
      <c r="BF19" s="43">
        <f t="shared" si="35"/>
        <v>0</v>
      </c>
      <c r="BG19" s="43">
        <f t="shared" si="36"/>
        <v>0</v>
      </c>
      <c r="BH19" s="43">
        <f t="shared" si="37"/>
        <v>0</v>
      </c>
      <c r="BI19" s="43">
        <f t="shared" si="38"/>
        <v>0</v>
      </c>
      <c r="BJ19" s="43">
        <f t="shared" si="39"/>
        <v>0</v>
      </c>
      <c r="BK19" s="43">
        <f t="shared" si="40"/>
        <v>0</v>
      </c>
      <c r="BL19" s="43">
        <f t="shared" si="41"/>
        <v>0</v>
      </c>
      <c r="BM19" s="43">
        <f t="shared" si="42"/>
        <v>0</v>
      </c>
      <c r="BN19" s="43">
        <f t="shared" si="43"/>
        <v>0</v>
      </c>
      <c r="BO19" s="43">
        <f t="shared" si="44"/>
        <v>0</v>
      </c>
      <c r="BP19" s="43">
        <f t="shared" si="45"/>
        <v>0</v>
      </c>
      <c r="BQ19" s="767"/>
      <c r="BR19" s="43">
        <f t="shared" si="203"/>
        <v>60.583333333333336</v>
      </c>
      <c r="BS19" s="43">
        <f t="shared" si="46"/>
        <v>0</v>
      </c>
      <c r="BT19" s="43">
        <f t="shared" si="47"/>
        <v>0</v>
      </c>
      <c r="BU19" s="43">
        <f t="shared" si="48"/>
        <v>0</v>
      </c>
      <c r="BV19" s="43">
        <f t="shared" si="49"/>
        <v>0</v>
      </c>
      <c r="BW19" s="43">
        <f t="shared" si="50"/>
        <v>0</v>
      </c>
      <c r="BX19" s="43">
        <f t="shared" si="51"/>
        <v>0</v>
      </c>
      <c r="BY19" s="43">
        <f t="shared" si="52"/>
        <v>0</v>
      </c>
      <c r="BZ19" s="43">
        <f t="shared" si="53"/>
        <v>0</v>
      </c>
      <c r="CA19" s="43">
        <f t="shared" si="54"/>
        <v>0</v>
      </c>
      <c r="CB19" s="43">
        <f t="shared" si="55"/>
        <v>0</v>
      </c>
      <c r="CC19" s="43">
        <f t="shared" si="56"/>
        <v>0</v>
      </c>
      <c r="CD19" s="43">
        <f t="shared" si="57"/>
        <v>0</v>
      </c>
      <c r="CE19" s="43">
        <f t="shared" si="58"/>
        <v>0</v>
      </c>
      <c r="CF19" s="43">
        <f t="shared" si="59"/>
        <v>0</v>
      </c>
      <c r="CG19" s="767"/>
      <c r="CH19" s="43">
        <f t="shared" si="204"/>
        <v>60.583333333333336</v>
      </c>
      <c r="CI19" s="43">
        <f t="shared" si="60"/>
        <v>0</v>
      </c>
      <c r="CJ19" s="43">
        <f t="shared" si="61"/>
        <v>0</v>
      </c>
      <c r="CK19" s="43">
        <f t="shared" si="62"/>
        <v>0</v>
      </c>
      <c r="CL19" s="43">
        <f t="shared" si="63"/>
        <v>0</v>
      </c>
      <c r="CM19" s="43">
        <f t="shared" si="64"/>
        <v>0</v>
      </c>
      <c r="CN19" s="43">
        <f t="shared" si="65"/>
        <v>0</v>
      </c>
      <c r="CO19" s="43">
        <f t="shared" si="66"/>
        <v>0</v>
      </c>
      <c r="CP19" s="43">
        <f t="shared" si="67"/>
        <v>0</v>
      </c>
      <c r="CQ19" s="43">
        <f t="shared" si="68"/>
        <v>0</v>
      </c>
      <c r="CR19" s="43">
        <f t="shared" si="69"/>
        <v>0</v>
      </c>
      <c r="CS19" s="43">
        <f t="shared" si="70"/>
        <v>0</v>
      </c>
      <c r="CT19" s="43">
        <f t="shared" si="71"/>
        <v>0</v>
      </c>
      <c r="CU19" s="43">
        <f t="shared" si="72"/>
        <v>0</v>
      </c>
      <c r="CV19" s="43">
        <f t="shared" si="73"/>
        <v>0</v>
      </c>
      <c r="CW19" s="767"/>
      <c r="CX19" s="43">
        <f t="shared" si="205"/>
        <v>60.583333333333336</v>
      </c>
      <c r="CY19" s="43">
        <f t="shared" si="74"/>
        <v>0</v>
      </c>
      <c r="CZ19" s="43">
        <f t="shared" si="75"/>
        <v>0</v>
      </c>
      <c r="DA19" s="43">
        <f t="shared" si="76"/>
        <v>0</v>
      </c>
      <c r="DB19" s="43">
        <f t="shared" si="77"/>
        <v>0</v>
      </c>
      <c r="DC19" s="43">
        <f t="shared" si="78"/>
        <v>0</v>
      </c>
      <c r="DD19" s="43">
        <f t="shared" si="79"/>
        <v>0</v>
      </c>
      <c r="DE19" s="43">
        <f t="shared" si="80"/>
        <v>0</v>
      </c>
      <c r="DF19" s="43">
        <f t="shared" si="81"/>
        <v>0</v>
      </c>
      <c r="DG19" s="43">
        <f t="shared" si="82"/>
        <v>0</v>
      </c>
      <c r="DH19" s="43">
        <f t="shared" si="83"/>
        <v>0</v>
      </c>
      <c r="DI19" s="43">
        <f t="shared" si="84"/>
        <v>0</v>
      </c>
      <c r="DJ19" s="43">
        <f t="shared" si="85"/>
        <v>0</v>
      </c>
      <c r="DK19" s="43">
        <f t="shared" si="86"/>
        <v>0</v>
      </c>
      <c r="DL19" s="43">
        <f t="shared" si="87"/>
        <v>0</v>
      </c>
      <c r="DM19" s="767"/>
      <c r="DN19" s="43">
        <f t="shared" si="206"/>
        <v>60.583333333333336</v>
      </c>
      <c r="DO19" s="43">
        <f t="shared" si="88"/>
        <v>0</v>
      </c>
      <c r="DP19" s="43">
        <f t="shared" si="89"/>
        <v>0</v>
      </c>
      <c r="DQ19" s="43">
        <f t="shared" si="90"/>
        <v>0</v>
      </c>
      <c r="DR19" s="43">
        <f t="shared" si="91"/>
        <v>0</v>
      </c>
      <c r="DS19" s="43">
        <f t="shared" si="92"/>
        <v>0</v>
      </c>
      <c r="DT19" s="43">
        <f t="shared" si="93"/>
        <v>0</v>
      </c>
      <c r="DU19" s="43">
        <f t="shared" si="94"/>
        <v>0</v>
      </c>
      <c r="DV19" s="43">
        <f t="shared" si="95"/>
        <v>0</v>
      </c>
      <c r="DW19" s="43">
        <f t="shared" si="96"/>
        <v>0</v>
      </c>
      <c r="DX19" s="43">
        <f t="shared" si="97"/>
        <v>0</v>
      </c>
      <c r="DY19" s="43">
        <f t="shared" si="98"/>
        <v>0</v>
      </c>
      <c r="DZ19" s="43">
        <f t="shared" si="99"/>
        <v>0</v>
      </c>
      <c r="EA19" s="43">
        <f t="shared" si="100"/>
        <v>0</v>
      </c>
      <c r="EB19" s="43">
        <f t="shared" si="101"/>
        <v>0</v>
      </c>
      <c r="EC19" s="767"/>
      <c r="ED19" s="43">
        <f t="shared" si="207"/>
        <v>60.583333333333336</v>
      </c>
      <c r="EE19" s="43">
        <f t="shared" si="102"/>
        <v>0</v>
      </c>
      <c r="EF19" s="43">
        <f t="shared" si="103"/>
        <v>0</v>
      </c>
      <c r="EG19" s="43">
        <f t="shared" si="104"/>
        <v>0</v>
      </c>
      <c r="EH19" s="43">
        <f t="shared" si="105"/>
        <v>0</v>
      </c>
      <c r="EI19" s="43">
        <f t="shared" si="106"/>
        <v>0</v>
      </c>
      <c r="EJ19" s="43">
        <f t="shared" si="107"/>
        <v>0</v>
      </c>
      <c r="EK19" s="43">
        <f t="shared" si="108"/>
        <v>0</v>
      </c>
      <c r="EL19" s="43">
        <f t="shared" si="109"/>
        <v>0</v>
      </c>
      <c r="EM19" s="43">
        <f t="shared" si="110"/>
        <v>0</v>
      </c>
      <c r="EN19" s="43">
        <f t="shared" si="111"/>
        <v>0</v>
      </c>
      <c r="EO19" s="43">
        <f t="shared" si="112"/>
        <v>0</v>
      </c>
      <c r="EP19" s="43">
        <f t="shared" si="113"/>
        <v>0</v>
      </c>
      <c r="EQ19" s="43">
        <f t="shared" si="114"/>
        <v>0</v>
      </c>
      <c r="ER19" s="43">
        <f t="shared" si="115"/>
        <v>0</v>
      </c>
      <c r="ES19" s="767"/>
      <c r="ET19" s="43">
        <f t="shared" si="208"/>
        <v>60.583333333333336</v>
      </c>
      <c r="EU19" s="43">
        <f t="shared" si="116"/>
        <v>0</v>
      </c>
      <c r="EV19" s="43">
        <f t="shared" si="117"/>
        <v>0</v>
      </c>
      <c r="EW19" s="43">
        <f t="shared" si="118"/>
        <v>0</v>
      </c>
      <c r="EX19" s="43">
        <f t="shared" si="119"/>
        <v>0</v>
      </c>
      <c r="EY19" s="43">
        <f t="shared" si="120"/>
        <v>0</v>
      </c>
      <c r="EZ19" s="43">
        <f t="shared" si="121"/>
        <v>0</v>
      </c>
      <c r="FA19" s="43">
        <f t="shared" si="122"/>
        <v>0</v>
      </c>
      <c r="FB19" s="43">
        <f t="shared" si="123"/>
        <v>0</v>
      </c>
      <c r="FC19" s="43">
        <f t="shared" si="124"/>
        <v>0</v>
      </c>
      <c r="FD19" s="43">
        <f t="shared" si="125"/>
        <v>0</v>
      </c>
      <c r="FE19" s="43">
        <f t="shared" si="126"/>
        <v>0</v>
      </c>
      <c r="FF19" s="43">
        <f t="shared" si="127"/>
        <v>0</v>
      </c>
      <c r="FG19" s="43">
        <f t="shared" si="128"/>
        <v>0</v>
      </c>
      <c r="FH19" s="43">
        <f t="shared" si="129"/>
        <v>0</v>
      </c>
      <c r="FI19" s="767"/>
      <c r="FJ19" s="43">
        <f t="shared" si="209"/>
        <v>60.583333333333336</v>
      </c>
      <c r="FK19" s="43">
        <f t="shared" si="130"/>
        <v>0</v>
      </c>
      <c r="FL19" s="43">
        <f t="shared" si="131"/>
        <v>0</v>
      </c>
      <c r="FM19" s="43">
        <f t="shared" si="132"/>
        <v>0</v>
      </c>
      <c r="FN19" s="43">
        <f t="shared" si="133"/>
        <v>0</v>
      </c>
      <c r="FO19" s="43">
        <f t="shared" si="134"/>
        <v>0</v>
      </c>
      <c r="FP19" s="43">
        <f t="shared" si="135"/>
        <v>0</v>
      </c>
      <c r="FQ19" s="43">
        <f t="shared" si="136"/>
        <v>0</v>
      </c>
      <c r="FR19" s="43">
        <f t="shared" si="137"/>
        <v>0</v>
      </c>
      <c r="FS19" s="43">
        <f t="shared" si="138"/>
        <v>0</v>
      </c>
      <c r="FT19" s="43">
        <f t="shared" si="139"/>
        <v>0</v>
      </c>
      <c r="FU19" s="43">
        <f t="shared" si="140"/>
        <v>0</v>
      </c>
      <c r="FV19" s="43">
        <f t="shared" si="141"/>
        <v>0</v>
      </c>
      <c r="FW19" s="43">
        <f t="shared" si="142"/>
        <v>0</v>
      </c>
      <c r="FX19" s="43">
        <f t="shared" si="143"/>
        <v>0</v>
      </c>
      <c r="FY19" s="767"/>
      <c r="FZ19" s="43">
        <f t="shared" si="210"/>
        <v>60.583333333333336</v>
      </c>
      <c r="GA19" s="43">
        <f t="shared" si="144"/>
        <v>0</v>
      </c>
      <c r="GB19" s="43">
        <f t="shared" si="145"/>
        <v>0</v>
      </c>
      <c r="GC19" s="43">
        <f t="shared" si="146"/>
        <v>0</v>
      </c>
      <c r="GD19" s="43">
        <f t="shared" si="147"/>
        <v>0</v>
      </c>
      <c r="GE19" s="43">
        <f t="shared" si="148"/>
        <v>0</v>
      </c>
      <c r="GF19" s="43">
        <f t="shared" si="149"/>
        <v>0</v>
      </c>
      <c r="GG19" s="43">
        <f t="shared" si="150"/>
        <v>0</v>
      </c>
      <c r="GH19" s="43">
        <f t="shared" si="151"/>
        <v>0</v>
      </c>
      <c r="GI19" s="43">
        <f t="shared" si="152"/>
        <v>0</v>
      </c>
      <c r="GJ19" s="43">
        <f t="shared" si="153"/>
        <v>0</v>
      </c>
      <c r="GK19" s="43">
        <f t="shared" si="154"/>
        <v>0</v>
      </c>
      <c r="GL19" s="43">
        <f t="shared" si="155"/>
        <v>0</v>
      </c>
      <c r="GM19" s="43">
        <f t="shared" si="156"/>
        <v>0</v>
      </c>
      <c r="GN19" s="43">
        <f t="shared" si="157"/>
        <v>0</v>
      </c>
      <c r="GO19" s="767"/>
      <c r="GP19" s="43">
        <f t="shared" si="211"/>
        <v>60.583333333333336</v>
      </c>
      <c r="GQ19" s="43">
        <f t="shared" si="158"/>
        <v>0</v>
      </c>
      <c r="GR19" s="43">
        <f t="shared" si="159"/>
        <v>0</v>
      </c>
      <c r="GS19" s="43">
        <f t="shared" si="160"/>
        <v>0</v>
      </c>
      <c r="GT19" s="43">
        <f t="shared" si="161"/>
        <v>0</v>
      </c>
      <c r="GU19" s="43">
        <f t="shared" si="162"/>
        <v>0</v>
      </c>
      <c r="GV19" s="43">
        <f t="shared" si="163"/>
        <v>0</v>
      </c>
      <c r="GW19" s="43">
        <f t="shared" si="164"/>
        <v>0</v>
      </c>
      <c r="GX19" s="43">
        <f t="shared" si="165"/>
        <v>0</v>
      </c>
      <c r="GY19" s="43">
        <f t="shared" si="166"/>
        <v>0</v>
      </c>
      <c r="GZ19" s="43">
        <f t="shared" si="167"/>
        <v>0</v>
      </c>
      <c r="HA19" s="43">
        <f t="shared" si="168"/>
        <v>0</v>
      </c>
      <c r="HB19" s="43">
        <f t="shared" si="169"/>
        <v>0</v>
      </c>
      <c r="HC19" s="43">
        <f t="shared" si="170"/>
        <v>0</v>
      </c>
      <c r="HD19" s="43">
        <f t="shared" si="171"/>
        <v>0</v>
      </c>
      <c r="HE19" s="767"/>
      <c r="HF19" s="43">
        <f t="shared" si="212"/>
        <v>60.583333333333336</v>
      </c>
      <c r="HG19" s="43">
        <f t="shared" si="172"/>
        <v>0</v>
      </c>
      <c r="HH19" s="43">
        <f t="shared" si="173"/>
        <v>0</v>
      </c>
      <c r="HI19" s="43">
        <f t="shared" si="174"/>
        <v>0</v>
      </c>
      <c r="HJ19" s="43">
        <f t="shared" si="175"/>
        <v>0</v>
      </c>
      <c r="HK19" s="43">
        <f t="shared" si="176"/>
        <v>0</v>
      </c>
      <c r="HL19" s="43">
        <f t="shared" si="177"/>
        <v>0</v>
      </c>
      <c r="HM19" s="43">
        <f t="shared" si="178"/>
        <v>0</v>
      </c>
      <c r="HN19" s="43">
        <f t="shared" si="179"/>
        <v>0</v>
      </c>
      <c r="HO19" s="43">
        <f t="shared" si="180"/>
        <v>0</v>
      </c>
      <c r="HP19" s="43">
        <f t="shared" si="181"/>
        <v>0</v>
      </c>
      <c r="HQ19" s="43">
        <f t="shared" si="182"/>
        <v>0</v>
      </c>
      <c r="HR19" s="43">
        <f t="shared" si="183"/>
        <v>0</v>
      </c>
      <c r="HS19" s="43">
        <f t="shared" si="184"/>
        <v>0</v>
      </c>
      <c r="HT19" s="43">
        <f t="shared" si="185"/>
        <v>0</v>
      </c>
      <c r="HU19" s="767"/>
      <c r="HV19" s="43">
        <f t="shared" si="213"/>
        <v>60.583333333333336</v>
      </c>
      <c r="HW19" s="43">
        <f t="shared" si="186"/>
        <v>0</v>
      </c>
      <c r="HX19" s="43">
        <f t="shared" si="187"/>
        <v>0</v>
      </c>
      <c r="HY19" s="43">
        <f t="shared" si="188"/>
        <v>0</v>
      </c>
      <c r="HZ19" s="43">
        <f t="shared" si="189"/>
        <v>0</v>
      </c>
      <c r="IA19" s="43">
        <f t="shared" si="190"/>
        <v>0</v>
      </c>
      <c r="IB19" s="43">
        <f t="shared" si="191"/>
        <v>0</v>
      </c>
      <c r="IC19" s="43">
        <f t="shared" si="192"/>
        <v>0</v>
      </c>
      <c r="ID19" s="43">
        <f t="shared" si="193"/>
        <v>0</v>
      </c>
      <c r="IE19" s="43">
        <f t="shared" si="194"/>
        <v>0</v>
      </c>
      <c r="IF19" s="43">
        <f t="shared" si="195"/>
        <v>0</v>
      </c>
      <c r="IG19" s="43">
        <f t="shared" si="196"/>
        <v>0</v>
      </c>
      <c r="IH19" s="43">
        <f t="shared" si="197"/>
        <v>0</v>
      </c>
      <c r="II19" s="43">
        <f t="shared" si="198"/>
        <v>0</v>
      </c>
      <c r="IJ19" s="786">
        <f t="shared" si="199"/>
        <v>0</v>
      </c>
      <c r="IK19" s="794"/>
    </row>
    <row r="20" spans="1:245">
      <c r="A20" s="642">
        <f t="shared" si="214"/>
        <v>11</v>
      </c>
      <c r="B20" s="762" t="str">
        <f t="shared" si="15"/>
        <v>Network Administrator</v>
      </c>
      <c r="C20" s="775"/>
      <c r="D20" s="769"/>
      <c r="E20" s="52" t="str">
        <f t="shared" si="16"/>
        <v>Network AdministratorGovt_Sub</v>
      </c>
      <c r="F20" s="793"/>
      <c r="G20" s="43"/>
      <c r="H20" s="43"/>
      <c r="I20" s="43"/>
      <c r="J20" s="43"/>
      <c r="K20" s="43"/>
      <c r="L20" s="43"/>
      <c r="M20" s="43"/>
      <c r="N20" s="43"/>
      <c r="O20" s="43"/>
      <c r="P20" s="43"/>
      <c r="Q20" s="43"/>
      <c r="R20" s="43"/>
      <c r="S20" s="43"/>
      <c r="T20" s="43"/>
      <c r="U20" s="767"/>
      <c r="V20" s="43">
        <f t="shared" si="200"/>
        <v>0</v>
      </c>
      <c r="W20" s="43">
        <f t="shared" si="17"/>
        <v>0</v>
      </c>
      <c r="X20" s="43">
        <f t="shared" si="17"/>
        <v>0</v>
      </c>
      <c r="Y20" s="43">
        <f t="shared" si="17"/>
        <v>0</v>
      </c>
      <c r="Z20" s="43">
        <f t="shared" si="17"/>
        <v>0</v>
      </c>
      <c r="AA20" s="43">
        <f t="shared" si="17"/>
        <v>0</v>
      </c>
      <c r="AB20" s="43">
        <f t="shared" si="17"/>
        <v>0</v>
      </c>
      <c r="AC20" s="43">
        <f t="shared" si="17"/>
        <v>0</v>
      </c>
      <c r="AD20" s="43">
        <f t="shared" si="17"/>
        <v>0</v>
      </c>
      <c r="AE20" s="43">
        <f t="shared" si="17"/>
        <v>0</v>
      </c>
      <c r="AF20" s="43">
        <f t="shared" si="17"/>
        <v>0</v>
      </c>
      <c r="AG20" s="43">
        <f t="shared" si="17"/>
        <v>0</v>
      </c>
      <c r="AH20" s="43">
        <f t="shared" si="17"/>
        <v>0</v>
      </c>
      <c r="AI20" s="43">
        <f t="shared" si="17"/>
        <v>0</v>
      </c>
      <c r="AJ20" s="43">
        <f t="shared" si="17"/>
        <v>0</v>
      </c>
      <c r="AK20" s="767"/>
      <c r="AL20" s="43">
        <f t="shared" si="201"/>
        <v>0</v>
      </c>
      <c r="AM20" s="43">
        <f t="shared" si="18"/>
        <v>0</v>
      </c>
      <c r="AN20" s="43">
        <f t="shared" si="19"/>
        <v>0</v>
      </c>
      <c r="AO20" s="43">
        <f t="shared" si="20"/>
        <v>0</v>
      </c>
      <c r="AP20" s="43">
        <f t="shared" si="21"/>
        <v>0</v>
      </c>
      <c r="AQ20" s="43">
        <f t="shared" si="22"/>
        <v>0</v>
      </c>
      <c r="AR20" s="43">
        <f t="shared" si="23"/>
        <v>0</v>
      </c>
      <c r="AS20" s="43">
        <f t="shared" si="24"/>
        <v>0</v>
      </c>
      <c r="AT20" s="43">
        <f t="shared" si="25"/>
        <v>0</v>
      </c>
      <c r="AU20" s="43">
        <f t="shared" si="26"/>
        <v>0</v>
      </c>
      <c r="AV20" s="43">
        <f t="shared" si="27"/>
        <v>0</v>
      </c>
      <c r="AW20" s="43">
        <f t="shared" si="28"/>
        <v>0</v>
      </c>
      <c r="AX20" s="43">
        <f t="shared" si="29"/>
        <v>0</v>
      </c>
      <c r="AY20" s="43">
        <f t="shared" si="30"/>
        <v>0</v>
      </c>
      <c r="AZ20" s="43">
        <f t="shared" si="31"/>
        <v>0</v>
      </c>
      <c r="BA20" s="767"/>
      <c r="BB20" s="43">
        <f t="shared" si="202"/>
        <v>0</v>
      </c>
      <c r="BC20" s="43">
        <f t="shared" si="32"/>
        <v>0</v>
      </c>
      <c r="BD20" s="43">
        <f t="shared" si="33"/>
        <v>0</v>
      </c>
      <c r="BE20" s="43">
        <f t="shared" si="34"/>
        <v>0</v>
      </c>
      <c r="BF20" s="43">
        <f t="shared" si="35"/>
        <v>0</v>
      </c>
      <c r="BG20" s="43">
        <f t="shared" si="36"/>
        <v>0</v>
      </c>
      <c r="BH20" s="43">
        <f t="shared" si="37"/>
        <v>0</v>
      </c>
      <c r="BI20" s="43">
        <f t="shared" si="38"/>
        <v>0</v>
      </c>
      <c r="BJ20" s="43">
        <f t="shared" si="39"/>
        <v>0</v>
      </c>
      <c r="BK20" s="43">
        <f t="shared" si="40"/>
        <v>0</v>
      </c>
      <c r="BL20" s="43">
        <f t="shared" si="41"/>
        <v>0</v>
      </c>
      <c r="BM20" s="43">
        <f t="shared" si="42"/>
        <v>0</v>
      </c>
      <c r="BN20" s="43">
        <f t="shared" si="43"/>
        <v>0</v>
      </c>
      <c r="BO20" s="43">
        <f t="shared" si="44"/>
        <v>0</v>
      </c>
      <c r="BP20" s="43">
        <f t="shared" si="45"/>
        <v>0</v>
      </c>
      <c r="BQ20" s="767"/>
      <c r="BR20" s="43">
        <f t="shared" si="203"/>
        <v>0</v>
      </c>
      <c r="BS20" s="43">
        <f t="shared" si="46"/>
        <v>0</v>
      </c>
      <c r="BT20" s="43">
        <f t="shared" si="47"/>
        <v>0</v>
      </c>
      <c r="BU20" s="43">
        <f t="shared" si="48"/>
        <v>0</v>
      </c>
      <c r="BV20" s="43">
        <f t="shared" si="49"/>
        <v>0</v>
      </c>
      <c r="BW20" s="43">
        <f t="shared" si="50"/>
        <v>0</v>
      </c>
      <c r="BX20" s="43">
        <f t="shared" si="51"/>
        <v>0</v>
      </c>
      <c r="BY20" s="43">
        <f t="shared" si="52"/>
        <v>0</v>
      </c>
      <c r="BZ20" s="43">
        <f t="shared" si="53"/>
        <v>0</v>
      </c>
      <c r="CA20" s="43">
        <f t="shared" si="54"/>
        <v>0</v>
      </c>
      <c r="CB20" s="43">
        <f t="shared" si="55"/>
        <v>0</v>
      </c>
      <c r="CC20" s="43">
        <f t="shared" si="56"/>
        <v>0</v>
      </c>
      <c r="CD20" s="43">
        <f t="shared" si="57"/>
        <v>0</v>
      </c>
      <c r="CE20" s="43">
        <f t="shared" si="58"/>
        <v>0</v>
      </c>
      <c r="CF20" s="43">
        <f t="shared" si="59"/>
        <v>0</v>
      </c>
      <c r="CG20" s="767"/>
      <c r="CH20" s="43">
        <f t="shared" si="204"/>
        <v>0</v>
      </c>
      <c r="CI20" s="43">
        <f t="shared" si="60"/>
        <v>0</v>
      </c>
      <c r="CJ20" s="43">
        <f t="shared" si="61"/>
        <v>0</v>
      </c>
      <c r="CK20" s="43">
        <f t="shared" si="62"/>
        <v>0</v>
      </c>
      <c r="CL20" s="43">
        <f t="shared" si="63"/>
        <v>0</v>
      </c>
      <c r="CM20" s="43">
        <f t="shared" si="64"/>
        <v>0</v>
      </c>
      <c r="CN20" s="43">
        <f t="shared" si="65"/>
        <v>0</v>
      </c>
      <c r="CO20" s="43">
        <f t="shared" si="66"/>
        <v>0</v>
      </c>
      <c r="CP20" s="43">
        <f t="shared" si="67"/>
        <v>0</v>
      </c>
      <c r="CQ20" s="43">
        <f t="shared" si="68"/>
        <v>0</v>
      </c>
      <c r="CR20" s="43">
        <f t="shared" si="69"/>
        <v>0</v>
      </c>
      <c r="CS20" s="43">
        <f t="shared" si="70"/>
        <v>0</v>
      </c>
      <c r="CT20" s="43">
        <f t="shared" si="71"/>
        <v>0</v>
      </c>
      <c r="CU20" s="43">
        <f t="shared" si="72"/>
        <v>0</v>
      </c>
      <c r="CV20" s="43">
        <f t="shared" si="73"/>
        <v>0</v>
      </c>
      <c r="CW20" s="767"/>
      <c r="CX20" s="43">
        <f t="shared" si="205"/>
        <v>0</v>
      </c>
      <c r="CY20" s="43">
        <f t="shared" si="74"/>
        <v>0</v>
      </c>
      <c r="CZ20" s="43">
        <f t="shared" si="75"/>
        <v>0</v>
      </c>
      <c r="DA20" s="43">
        <f t="shared" si="76"/>
        <v>0</v>
      </c>
      <c r="DB20" s="43">
        <f t="shared" si="77"/>
        <v>0</v>
      </c>
      <c r="DC20" s="43">
        <f t="shared" si="78"/>
        <v>0</v>
      </c>
      <c r="DD20" s="43">
        <f t="shared" si="79"/>
        <v>0</v>
      </c>
      <c r="DE20" s="43">
        <f t="shared" si="80"/>
        <v>0</v>
      </c>
      <c r="DF20" s="43">
        <f t="shared" si="81"/>
        <v>0</v>
      </c>
      <c r="DG20" s="43">
        <f t="shared" si="82"/>
        <v>0</v>
      </c>
      <c r="DH20" s="43">
        <f t="shared" si="83"/>
        <v>0</v>
      </c>
      <c r="DI20" s="43">
        <f t="shared" si="84"/>
        <v>0</v>
      </c>
      <c r="DJ20" s="43">
        <f t="shared" si="85"/>
        <v>0</v>
      </c>
      <c r="DK20" s="43">
        <f t="shared" si="86"/>
        <v>0</v>
      </c>
      <c r="DL20" s="43">
        <f t="shared" si="87"/>
        <v>0</v>
      </c>
      <c r="DM20" s="767"/>
      <c r="DN20" s="43">
        <f t="shared" si="206"/>
        <v>0</v>
      </c>
      <c r="DO20" s="43">
        <f t="shared" si="88"/>
        <v>0</v>
      </c>
      <c r="DP20" s="43">
        <f t="shared" si="89"/>
        <v>0</v>
      </c>
      <c r="DQ20" s="43">
        <f t="shared" si="90"/>
        <v>0</v>
      </c>
      <c r="DR20" s="43">
        <f t="shared" si="91"/>
        <v>0</v>
      </c>
      <c r="DS20" s="43">
        <f t="shared" si="92"/>
        <v>0</v>
      </c>
      <c r="DT20" s="43">
        <f t="shared" si="93"/>
        <v>0</v>
      </c>
      <c r="DU20" s="43">
        <f t="shared" si="94"/>
        <v>0</v>
      </c>
      <c r="DV20" s="43">
        <f t="shared" si="95"/>
        <v>0</v>
      </c>
      <c r="DW20" s="43">
        <f t="shared" si="96"/>
        <v>0</v>
      </c>
      <c r="DX20" s="43">
        <f t="shared" si="97"/>
        <v>0</v>
      </c>
      <c r="DY20" s="43">
        <f t="shared" si="98"/>
        <v>0</v>
      </c>
      <c r="DZ20" s="43">
        <f t="shared" si="99"/>
        <v>0</v>
      </c>
      <c r="EA20" s="43">
        <f t="shared" si="100"/>
        <v>0</v>
      </c>
      <c r="EB20" s="43">
        <f t="shared" si="101"/>
        <v>0</v>
      </c>
      <c r="EC20" s="767"/>
      <c r="ED20" s="43">
        <f t="shared" si="207"/>
        <v>0</v>
      </c>
      <c r="EE20" s="43">
        <f t="shared" si="102"/>
        <v>0</v>
      </c>
      <c r="EF20" s="43">
        <f t="shared" si="103"/>
        <v>0</v>
      </c>
      <c r="EG20" s="43">
        <f t="shared" si="104"/>
        <v>0</v>
      </c>
      <c r="EH20" s="43">
        <f t="shared" si="105"/>
        <v>0</v>
      </c>
      <c r="EI20" s="43">
        <f t="shared" si="106"/>
        <v>0</v>
      </c>
      <c r="EJ20" s="43">
        <f t="shared" si="107"/>
        <v>0</v>
      </c>
      <c r="EK20" s="43">
        <f t="shared" si="108"/>
        <v>0</v>
      </c>
      <c r="EL20" s="43">
        <f t="shared" si="109"/>
        <v>0</v>
      </c>
      <c r="EM20" s="43">
        <f t="shared" si="110"/>
        <v>0</v>
      </c>
      <c r="EN20" s="43">
        <f t="shared" si="111"/>
        <v>0</v>
      </c>
      <c r="EO20" s="43">
        <f t="shared" si="112"/>
        <v>0</v>
      </c>
      <c r="EP20" s="43">
        <f t="shared" si="113"/>
        <v>0</v>
      </c>
      <c r="EQ20" s="43">
        <f t="shared" si="114"/>
        <v>0</v>
      </c>
      <c r="ER20" s="43">
        <f t="shared" si="115"/>
        <v>0</v>
      </c>
      <c r="ES20" s="767"/>
      <c r="ET20" s="43">
        <f t="shared" si="208"/>
        <v>0</v>
      </c>
      <c r="EU20" s="43">
        <f t="shared" si="116"/>
        <v>0</v>
      </c>
      <c r="EV20" s="43">
        <f t="shared" si="117"/>
        <v>0</v>
      </c>
      <c r="EW20" s="43">
        <f t="shared" si="118"/>
        <v>0</v>
      </c>
      <c r="EX20" s="43">
        <f t="shared" si="119"/>
        <v>0</v>
      </c>
      <c r="EY20" s="43">
        <f t="shared" si="120"/>
        <v>0</v>
      </c>
      <c r="EZ20" s="43">
        <f t="shared" si="121"/>
        <v>0</v>
      </c>
      <c r="FA20" s="43">
        <f t="shared" si="122"/>
        <v>0</v>
      </c>
      <c r="FB20" s="43">
        <f t="shared" si="123"/>
        <v>0</v>
      </c>
      <c r="FC20" s="43">
        <f t="shared" si="124"/>
        <v>0</v>
      </c>
      <c r="FD20" s="43">
        <f t="shared" si="125"/>
        <v>0</v>
      </c>
      <c r="FE20" s="43">
        <f t="shared" si="126"/>
        <v>0</v>
      </c>
      <c r="FF20" s="43">
        <f t="shared" si="127"/>
        <v>0</v>
      </c>
      <c r="FG20" s="43">
        <f t="shared" si="128"/>
        <v>0</v>
      </c>
      <c r="FH20" s="43">
        <f t="shared" si="129"/>
        <v>0</v>
      </c>
      <c r="FI20" s="767"/>
      <c r="FJ20" s="43">
        <f t="shared" si="209"/>
        <v>0</v>
      </c>
      <c r="FK20" s="43">
        <f t="shared" si="130"/>
        <v>0</v>
      </c>
      <c r="FL20" s="43">
        <f t="shared" si="131"/>
        <v>0</v>
      </c>
      <c r="FM20" s="43">
        <f t="shared" si="132"/>
        <v>0</v>
      </c>
      <c r="FN20" s="43">
        <f t="shared" si="133"/>
        <v>0</v>
      </c>
      <c r="FO20" s="43">
        <f t="shared" si="134"/>
        <v>0</v>
      </c>
      <c r="FP20" s="43">
        <f t="shared" si="135"/>
        <v>0</v>
      </c>
      <c r="FQ20" s="43">
        <f t="shared" si="136"/>
        <v>0</v>
      </c>
      <c r="FR20" s="43">
        <f t="shared" si="137"/>
        <v>0</v>
      </c>
      <c r="FS20" s="43">
        <f t="shared" si="138"/>
        <v>0</v>
      </c>
      <c r="FT20" s="43">
        <f t="shared" si="139"/>
        <v>0</v>
      </c>
      <c r="FU20" s="43">
        <f t="shared" si="140"/>
        <v>0</v>
      </c>
      <c r="FV20" s="43">
        <f t="shared" si="141"/>
        <v>0</v>
      </c>
      <c r="FW20" s="43">
        <f t="shared" si="142"/>
        <v>0</v>
      </c>
      <c r="FX20" s="43">
        <f t="shared" si="143"/>
        <v>0</v>
      </c>
      <c r="FY20" s="767"/>
      <c r="FZ20" s="43">
        <f t="shared" si="210"/>
        <v>0</v>
      </c>
      <c r="GA20" s="43">
        <f t="shared" si="144"/>
        <v>0</v>
      </c>
      <c r="GB20" s="43">
        <f t="shared" si="145"/>
        <v>0</v>
      </c>
      <c r="GC20" s="43">
        <f t="shared" si="146"/>
        <v>0</v>
      </c>
      <c r="GD20" s="43">
        <f t="shared" si="147"/>
        <v>0</v>
      </c>
      <c r="GE20" s="43">
        <f t="shared" si="148"/>
        <v>0</v>
      </c>
      <c r="GF20" s="43">
        <f t="shared" si="149"/>
        <v>0</v>
      </c>
      <c r="GG20" s="43">
        <f t="shared" si="150"/>
        <v>0</v>
      </c>
      <c r="GH20" s="43">
        <f t="shared" si="151"/>
        <v>0</v>
      </c>
      <c r="GI20" s="43">
        <f t="shared" si="152"/>
        <v>0</v>
      </c>
      <c r="GJ20" s="43">
        <f t="shared" si="153"/>
        <v>0</v>
      </c>
      <c r="GK20" s="43">
        <f t="shared" si="154"/>
        <v>0</v>
      </c>
      <c r="GL20" s="43">
        <f t="shared" si="155"/>
        <v>0</v>
      </c>
      <c r="GM20" s="43">
        <f t="shared" si="156"/>
        <v>0</v>
      </c>
      <c r="GN20" s="43">
        <f t="shared" si="157"/>
        <v>0</v>
      </c>
      <c r="GO20" s="767"/>
      <c r="GP20" s="43">
        <f t="shared" si="211"/>
        <v>0</v>
      </c>
      <c r="GQ20" s="43">
        <f t="shared" si="158"/>
        <v>0</v>
      </c>
      <c r="GR20" s="43">
        <f t="shared" si="159"/>
        <v>0</v>
      </c>
      <c r="GS20" s="43">
        <f t="shared" si="160"/>
        <v>0</v>
      </c>
      <c r="GT20" s="43">
        <f t="shared" si="161"/>
        <v>0</v>
      </c>
      <c r="GU20" s="43">
        <f t="shared" si="162"/>
        <v>0</v>
      </c>
      <c r="GV20" s="43">
        <f t="shared" si="163"/>
        <v>0</v>
      </c>
      <c r="GW20" s="43">
        <f t="shared" si="164"/>
        <v>0</v>
      </c>
      <c r="GX20" s="43">
        <f t="shared" si="165"/>
        <v>0</v>
      </c>
      <c r="GY20" s="43">
        <f t="shared" si="166"/>
        <v>0</v>
      </c>
      <c r="GZ20" s="43">
        <f t="shared" si="167"/>
        <v>0</v>
      </c>
      <c r="HA20" s="43">
        <f t="shared" si="168"/>
        <v>0</v>
      </c>
      <c r="HB20" s="43">
        <f t="shared" si="169"/>
        <v>0</v>
      </c>
      <c r="HC20" s="43">
        <f t="shared" si="170"/>
        <v>0</v>
      </c>
      <c r="HD20" s="43">
        <f t="shared" si="171"/>
        <v>0</v>
      </c>
      <c r="HE20" s="767"/>
      <c r="HF20" s="43">
        <f t="shared" si="212"/>
        <v>0</v>
      </c>
      <c r="HG20" s="43">
        <f t="shared" si="172"/>
        <v>0</v>
      </c>
      <c r="HH20" s="43">
        <f t="shared" si="173"/>
        <v>0</v>
      </c>
      <c r="HI20" s="43">
        <f t="shared" si="174"/>
        <v>0</v>
      </c>
      <c r="HJ20" s="43">
        <f t="shared" si="175"/>
        <v>0</v>
      </c>
      <c r="HK20" s="43">
        <f t="shared" si="176"/>
        <v>0</v>
      </c>
      <c r="HL20" s="43">
        <f t="shared" si="177"/>
        <v>0</v>
      </c>
      <c r="HM20" s="43">
        <f t="shared" si="178"/>
        <v>0</v>
      </c>
      <c r="HN20" s="43">
        <f t="shared" si="179"/>
        <v>0</v>
      </c>
      <c r="HO20" s="43">
        <f t="shared" si="180"/>
        <v>0</v>
      </c>
      <c r="HP20" s="43">
        <f t="shared" si="181"/>
        <v>0</v>
      </c>
      <c r="HQ20" s="43">
        <f t="shared" si="182"/>
        <v>0</v>
      </c>
      <c r="HR20" s="43">
        <f t="shared" si="183"/>
        <v>0</v>
      </c>
      <c r="HS20" s="43">
        <f t="shared" si="184"/>
        <v>0</v>
      </c>
      <c r="HT20" s="43">
        <f t="shared" si="185"/>
        <v>0</v>
      </c>
      <c r="HU20" s="767"/>
      <c r="HV20" s="43">
        <f t="shared" si="213"/>
        <v>0</v>
      </c>
      <c r="HW20" s="43">
        <f t="shared" si="186"/>
        <v>0</v>
      </c>
      <c r="HX20" s="43">
        <f t="shared" si="187"/>
        <v>0</v>
      </c>
      <c r="HY20" s="43">
        <f t="shared" si="188"/>
        <v>0</v>
      </c>
      <c r="HZ20" s="43">
        <f t="shared" si="189"/>
        <v>0</v>
      </c>
      <c r="IA20" s="43">
        <f t="shared" si="190"/>
        <v>0</v>
      </c>
      <c r="IB20" s="43">
        <f t="shared" si="191"/>
        <v>0</v>
      </c>
      <c r="IC20" s="43">
        <f t="shared" si="192"/>
        <v>0</v>
      </c>
      <c r="ID20" s="43">
        <f t="shared" si="193"/>
        <v>0</v>
      </c>
      <c r="IE20" s="43">
        <f t="shared" si="194"/>
        <v>0</v>
      </c>
      <c r="IF20" s="43">
        <f t="shared" si="195"/>
        <v>0</v>
      </c>
      <c r="IG20" s="43">
        <f t="shared" si="196"/>
        <v>0</v>
      </c>
      <c r="IH20" s="43">
        <f t="shared" si="197"/>
        <v>0</v>
      </c>
      <c r="II20" s="43">
        <f t="shared" si="198"/>
        <v>0</v>
      </c>
      <c r="IJ20" s="786">
        <f t="shared" si="199"/>
        <v>0</v>
      </c>
      <c r="IK20" s="794"/>
    </row>
    <row r="21" spans="1:245">
      <c r="A21" s="642">
        <f t="shared" si="214"/>
        <v>12</v>
      </c>
      <c r="B21" s="762" t="str">
        <f t="shared" si="15"/>
        <v>System Administrator</v>
      </c>
      <c r="C21" s="775"/>
      <c r="D21" s="769"/>
      <c r="E21" s="52" t="str">
        <f t="shared" si="16"/>
        <v>System AdministratorGovt_Sub</v>
      </c>
      <c r="F21" s="793"/>
      <c r="G21" s="43"/>
      <c r="H21" s="43"/>
      <c r="I21" s="43"/>
      <c r="J21" s="43"/>
      <c r="K21" s="43"/>
      <c r="L21" s="43"/>
      <c r="M21" s="43"/>
      <c r="N21" s="43"/>
      <c r="O21" s="43"/>
      <c r="P21" s="43"/>
      <c r="Q21" s="43"/>
      <c r="R21" s="43"/>
      <c r="S21" s="43"/>
      <c r="T21" s="43"/>
      <c r="U21" s="767"/>
      <c r="V21" s="43">
        <f t="shared" si="200"/>
        <v>0</v>
      </c>
      <c r="W21" s="43">
        <f t="shared" si="17"/>
        <v>0</v>
      </c>
      <c r="X21" s="43">
        <f t="shared" si="17"/>
        <v>0</v>
      </c>
      <c r="Y21" s="43">
        <f t="shared" si="17"/>
        <v>0</v>
      </c>
      <c r="Z21" s="43">
        <f t="shared" si="17"/>
        <v>0</v>
      </c>
      <c r="AA21" s="43">
        <f t="shared" si="17"/>
        <v>0</v>
      </c>
      <c r="AB21" s="43">
        <f t="shared" si="17"/>
        <v>0</v>
      </c>
      <c r="AC21" s="43">
        <f t="shared" si="17"/>
        <v>0</v>
      </c>
      <c r="AD21" s="43">
        <f t="shared" si="17"/>
        <v>0</v>
      </c>
      <c r="AE21" s="43">
        <f t="shared" si="17"/>
        <v>0</v>
      </c>
      <c r="AF21" s="43">
        <f t="shared" si="17"/>
        <v>0</v>
      </c>
      <c r="AG21" s="43">
        <f t="shared" si="17"/>
        <v>0</v>
      </c>
      <c r="AH21" s="43">
        <f t="shared" si="17"/>
        <v>0</v>
      </c>
      <c r="AI21" s="43">
        <f t="shared" si="17"/>
        <v>0</v>
      </c>
      <c r="AJ21" s="43">
        <f t="shared" si="17"/>
        <v>0</v>
      </c>
      <c r="AK21" s="767"/>
      <c r="AL21" s="43">
        <f t="shared" si="201"/>
        <v>0</v>
      </c>
      <c r="AM21" s="43">
        <f t="shared" si="18"/>
        <v>0</v>
      </c>
      <c r="AN21" s="43">
        <f t="shared" si="19"/>
        <v>0</v>
      </c>
      <c r="AO21" s="43">
        <f t="shared" si="20"/>
        <v>0</v>
      </c>
      <c r="AP21" s="43">
        <f t="shared" si="21"/>
        <v>0</v>
      </c>
      <c r="AQ21" s="43">
        <f t="shared" si="22"/>
        <v>0</v>
      </c>
      <c r="AR21" s="43">
        <f t="shared" si="23"/>
        <v>0</v>
      </c>
      <c r="AS21" s="43">
        <f t="shared" si="24"/>
        <v>0</v>
      </c>
      <c r="AT21" s="43">
        <f t="shared" si="25"/>
        <v>0</v>
      </c>
      <c r="AU21" s="43">
        <f t="shared" si="26"/>
        <v>0</v>
      </c>
      <c r="AV21" s="43">
        <f t="shared" si="27"/>
        <v>0</v>
      </c>
      <c r="AW21" s="43">
        <f t="shared" si="28"/>
        <v>0</v>
      </c>
      <c r="AX21" s="43">
        <f t="shared" si="29"/>
        <v>0</v>
      </c>
      <c r="AY21" s="43">
        <f t="shared" si="30"/>
        <v>0</v>
      </c>
      <c r="AZ21" s="43">
        <f t="shared" si="31"/>
        <v>0</v>
      </c>
      <c r="BA21" s="767"/>
      <c r="BB21" s="43">
        <f t="shared" si="202"/>
        <v>0</v>
      </c>
      <c r="BC21" s="43">
        <f t="shared" si="32"/>
        <v>0</v>
      </c>
      <c r="BD21" s="43">
        <f t="shared" si="33"/>
        <v>0</v>
      </c>
      <c r="BE21" s="43">
        <f t="shared" si="34"/>
        <v>0</v>
      </c>
      <c r="BF21" s="43">
        <f t="shared" si="35"/>
        <v>0</v>
      </c>
      <c r="BG21" s="43">
        <f t="shared" si="36"/>
        <v>0</v>
      </c>
      <c r="BH21" s="43">
        <f t="shared" si="37"/>
        <v>0</v>
      </c>
      <c r="BI21" s="43">
        <f t="shared" si="38"/>
        <v>0</v>
      </c>
      <c r="BJ21" s="43">
        <f t="shared" si="39"/>
        <v>0</v>
      </c>
      <c r="BK21" s="43">
        <f t="shared" si="40"/>
        <v>0</v>
      </c>
      <c r="BL21" s="43">
        <f t="shared" si="41"/>
        <v>0</v>
      </c>
      <c r="BM21" s="43">
        <f t="shared" si="42"/>
        <v>0</v>
      </c>
      <c r="BN21" s="43">
        <f t="shared" si="43"/>
        <v>0</v>
      </c>
      <c r="BO21" s="43">
        <f t="shared" si="44"/>
        <v>0</v>
      </c>
      <c r="BP21" s="43">
        <f t="shared" si="45"/>
        <v>0</v>
      </c>
      <c r="BQ21" s="767"/>
      <c r="BR21" s="43">
        <f t="shared" si="203"/>
        <v>0</v>
      </c>
      <c r="BS21" s="43">
        <f t="shared" si="46"/>
        <v>0</v>
      </c>
      <c r="BT21" s="43">
        <f t="shared" si="47"/>
        <v>0</v>
      </c>
      <c r="BU21" s="43">
        <f t="shared" si="48"/>
        <v>0</v>
      </c>
      <c r="BV21" s="43">
        <f t="shared" si="49"/>
        <v>0</v>
      </c>
      <c r="BW21" s="43">
        <f t="shared" si="50"/>
        <v>0</v>
      </c>
      <c r="BX21" s="43">
        <f t="shared" si="51"/>
        <v>0</v>
      </c>
      <c r="BY21" s="43">
        <f t="shared" si="52"/>
        <v>0</v>
      </c>
      <c r="BZ21" s="43">
        <f t="shared" si="53"/>
        <v>0</v>
      </c>
      <c r="CA21" s="43">
        <f t="shared" si="54"/>
        <v>0</v>
      </c>
      <c r="CB21" s="43">
        <f t="shared" si="55"/>
        <v>0</v>
      </c>
      <c r="CC21" s="43">
        <f t="shared" si="56"/>
        <v>0</v>
      </c>
      <c r="CD21" s="43">
        <f t="shared" si="57"/>
        <v>0</v>
      </c>
      <c r="CE21" s="43">
        <f t="shared" si="58"/>
        <v>0</v>
      </c>
      <c r="CF21" s="43">
        <f t="shared" si="59"/>
        <v>0</v>
      </c>
      <c r="CG21" s="767"/>
      <c r="CH21" s="43">
        <f t="shared" si="204"/>
        <v>0</v>
      </c>
      <c r="CI21" s="43">
        <f t="shared" si="60"/>
        <v>0</v>
      </c>
      <c r="CJ21" s="43">
        <f t="shared" si="61"/>
        <v>0</v>
      </c>
      <c r="CK21" s="43">
        <f t="shared" si="62"/>
        <v>0</v>
      </c>
      <c r="CL21" s="43">
        <f t="shared" si="63"/>
        <v>0</v>
      </c>
      <c r="CM21" s="43">
        <f t="shared" si="64"/>
        <v>0</v>
      </c>
      <c r="CN21" s="43">
        <f t="shared" si="65"/>
        <v>0</v>
      </c>
      <c r="CO21" s="43">
        <f t="shared" si="66"/>
        <v>0</v>
      </c>
      <c r="CP21" s="43">
        <f t="shared" si="67"/>
        <v>0</v>
      </c>
      <c r="CQ21" s="43">
        <f t="shared" si="68"/>
        <v>0</v>
      </c>
      <c r="CR21" s="43">
        <f t="shared" si="69"/>
        <v>0</v>
      </c>
      <c r="CS21" s="43">
        <f t="shared" si="70"/>
        <v>0</v>
      </c>
      <c r="CT21" s="43">
        <f t="shared" si="71"/>
        <v>0</v>
      </c>
      <c r="CU21" s="43">
        <f t="shared" si="72"/>
        <v>0</v>
      </c>
      <c r="CV21" s="43">
        <f t="shared" si="73"/>
        <v>0</v>
      </c>
      <c r="CW21" s="767"/>
      <c r="CX21" s="43">
        <f t="shared" si="205"/>
        <v>0</v>
      </c>
      <c r="CY21" s="43">
        <f t="shared" si="74"/>
        <v>0</v>
      </c>
      <c r="CZ21" s="43">
        <f t="shared" si="75"/>
        <v>0</v>
      </c>
      <c r="DA21" s="43">
        <f t="shared" si="76"/>
        <v>0</v>
      </c>
      <c r="DB21" s="43">
        <f t="shared" si="77"/>
        <v>0</v>
      </c>
      <c r="DC21" s="43">
        <f t="shared" si="78"/>
        <v>0</v>
      </c>
      <c r="DD21" s="43">
        <f t="shared" si="79"/>
        <v>0</v>
      </c>
      <c r="DE21" s="43">
        <f t="shared" si="80"/>
        <v>0</v>
      </c>
      <c r="DF21" s="43">
        <f t="shared" si="81"/>
        <v>0</v>
      </c>
      <c r="DG21" s="43">
        <f t="shared" si="82"/>
        <v>0</v>
      </c>
      <c r="DH21" s="43">
        <f t="shared" si="83"/>
        <v>0</v>
      </c>
      <c r="DI21" s="43">
        <f t="shared" si="84"/>
        <v>0</v>
      </c>
      <c r="DJ21" s="43">
        <f t="shared" si="85"/>
        <v>0</v>
      </c>
      <c r="DK21" s="43">
        <f t="shared" si="86"/>
        <v>0</v>
      </c>
      <c r="DL21" s="43">
        <f t="shared" si="87"/>
        <v>0</v>
      </c>
      <c r="DM21" s="767"/>
      <c r="DN21" s="43">
        <f t="shared" si="206"/>
        <v>0</v>
      </c>
      <c r="DO21" s="43">
        <f t="shared" si="88"/>
        <v>0</v>
      </c>
      <c r="DP21" s="43">
        <f t="shared" si="89"/>
        <v>0</v>
      </c>
      <c r="DQ21" s="43">
        <f t="shared" si="90"/>
        <v>0</v>
      </c>
      <c r="DR21" s="43">
        <f t="shared" si="91"/>
        <v>0</v>
      </c>
      <c r="DS21" s="43">
        <f t="shared" si="92"/>
        <v>0</v>
      </c>
      <c r="DT21" s="43">
        <f t="shared" si="93"/>
        <v>0</v>
      </c>
      <c r="DU21" s="43">
        <f t="shared" si="94"/>
        <v>0</v>
      </c>
      <c r="DV21" s="43">
        <f t="shared" si="95"/>
        <v>0</v>
      </c>
      <c r="DW21" s="43">
        <f t="shared" si="96"/>
        <v>0</v>
      </c>
      <c r="DX21" s="43">
        <f t="shared" si="97"/>
        <v>0</v>
      </c>
      <c r="DY21" s="43">
        <f t="shared" si="98"/>
        <v>0</v>
      </c>
      <c r="DZ21" s="43">
        <f t="shared" si="99"/>
        <v>0</v>
      </c>
      <c r="EA21" s="43">
        <f t="shared" si="100"/>
        <v>0</v>
      </c>
      <c r="EB21" s="43">
        <f t="shared" si="101"/>
        <v>0</v>
      </c>
      <c r="EC21" s="767"/>
      <c r="ED21" s="43">
        <f t="shared" si="207"/>
        <v>0</v>
      </c>
      <c r="EE21" s="43">
        <f t="shared" si="102"/>
        <v>0</v>
      </c>
      <c r="EF21" s="43">
        <f t="shared" si="103"/>
        <v>0</v>
      </c>
      <c r="EG21" s="43">
        <f t="shared" si="104"/>
        <v>0</v>
      </c>
      <c r="EH21" s="43">
        <f t="shared" si="105"/>
        <v>0</v>
      </c>
      <c r="EI21" s="43">
        <f t="shared" si="106"/>
        <v>0</v>
      </c>
      <c r="EJ21" s="43">
        <f t="shared" si="107"/>
        <v>0</v>
      </c>
      <c r="EK21" s="43">
        <f t="shared" si="108"/>
        <v>0</v>
      </c>
      <c r="EL21" s="43">
        <f t="shared" si="109"/>
        <v>0</v>
      </c>
      <c r="EM21" s="43">
        <f t="shared" si="110"/>
        <v>0</v>
      </c>
      <c r="EN21" s="43">
        <f t="shared" si="111"/>
        <v>0</v>
      </c>
      <c r="EO21" s="43">
        <f t="shared" si="112"/>
        <v>0</v>
      </c>
      <c r="EP21" s="43">
        <f t="shared" si="113"/>
        <v>0</v>
      </c>
      <c r="EQ21" s="43">
        <f t="shared" si="114"/>
        <v>0</v>
      </c>
      <c r="ER21" s="43">
        <f t="shared" si="115"/>
        <v>0</v>
      </c>
      <c r="ES21" s="767"/>
      <c r="ET21" s="43">
        <f t="shared" si="208"/>
        <v>0</v>
      </c>
      <c r="EU21" s="43">
        <f t="shared" si="116"/>
        <v>0</v>
      </c>
      <c r="EV21" s="43">
        <f t="shared" si="117"/>
        <v>0</v>
      </c>
      <c r="EW21" s="43">
        <f t="shared" si="118"/>
        <v>0</v>
      </c>
      <c r="EX21" s="43">
        <f t="shared" si="119"/>
        <v>0</v>
      </c>
      <c r="EY21" s="43">
        <f t="shared" si="120"/>
        <v>0</v>
      </c>
      <c r="EZ21" s="43">
        <f t="shared" si="121"/>
        <v>0</v>
      </c>
      <c r="FA21" s="43">
        <f t="shared" si="122"/>
        <v>0</v>
      </c>
      <c r="FB21" s="43">
        <f t="shared" si="123"/>
        <v>0</v>
      </c>
      <c r="FC21" s="43">
        <f t="shared" si="124"/>
        <v>0</v>
      </c>
      <c r="FD21" s="43">
        <f t="shared" si="125"/>
        <v>0</v>
      </c>
      <c r="FE21" s="43">
        <f t="shared" si="126"/>
        <v>0</v>
      </c>
      <c r="FF21" s="43">
        <f t="shared" si="127"/>
        <v>0</v>
      </c>
      <c r="FG21" s="43">
        <f t="shared" si="128"/>
        <v>0</v>
      </c>
      <c r="FH21" s="43">
        <f t="shared" si="129"/>
        <v>0</v>
      </c>
      <c r="FI21" s="767"/>
      <c r="FJ21" s="43">
        <f t="shared" si="209"/>
        <v>0</v>
      </c>
      <c r="FK21" s="43">
        <f t="shared" si="130"/>
        <v>0</v>
      </c>
      <c r="FL21" s="43">
        <f t="shared" si="131"/>
        <v>0</v>
      </c>
      <c r="FM21" s="43">
        <f t="shared" si="132"/>
        <v>0</v>
      </c>
      <c r="FN21" s="43">
        <f t="shared" si="133"/>
        <v>0</v>
      </c>
      <c r="FO21" s="43">
        <f t="shared" si="134"/>
        <v>0</v>
      </c>
      <c r="FP21" s="43">
        <f t="shared" si="135"/>
        <v>0</v>
      </c>
      <c r="FQ21" s="43">
        <f t="shared" si="136"/>
        <v>0</v>
      </c>
      <c r="FR21" s="43">
        <f t="shared" si="137"/>
        <v>0</v>
      </c>
      <c r="FS21" s="43">
        <f t="shared" si="138"/>
        <v>0</v>
      </c>
      <c r="FT21" s="43">
        <f t="shared" si="139"/>
        <v>0</v>
      </c>
      <c r="FU21" s="43">
        <f t="shared" si="140"/>
        <v>0</v>
      </c>
      <c r="FV21" s="43">
        <f t="shared" si="141"/>
        <v>0</v>
      </c>
      <c r="FW21" s="43">
        <f t="shared" si="142"/>
        <v>0</v>
      </c>
      <c r="FX21" s="43">
        <f t="shared" si="143"/>
        <v>0</v>
      </c>
      <c r="FY21" s="767"/>
      <c r="FZ21" s="43">
        <f t="shared" si="210"/>
        <v>0</v>
      </c>
      <c r="GA21" s="43">
        <f t="shared" si="144"/>
        <v>0</v>
      </c>
      <c r="GB21" s="43">
        <f t="shared" si="145"/>
        <v>0</v>
      </c>
      <c r="GC21" s="43">
        <f t="shared" si="146"/>
        <v>0</v>
      </c>
      <c r="GD21" s="43">
        <f t="shared" si="147"/>
        <v>0</v>
      </c>
      <c r="GE21" s="43">
        <f t="shared" si="148"/>
        <v>0</v>
      </c>
      <c r="GF21" s="43">
        <f t="shared" si="149"/>
        <v>0</v>
      </c>
      <c r="GG21" s="43">
        <f t="shared" si="150"/>
        <v>0</v>
      </c>
      <c r="GH21" s="43">
        <f t="shared" si="151"/>
        <v>0</v>
      </c>
      <c r="GI21" s="43">
        <f t="shared" si="152"/>
        <v>0</v>
      </c>
      <c r="GJ21" s="43">
        <f t="shared" si="153"/>
        <v>0</v>
      </c>
      <c r="GK21" s="43">
        <f t="shared" si="154"/>
        <v>0</v>
      </c>
      <c r="GL21" s="43">
        <f t="shared" si="155"/>
        <v>0</v>
      </c>
      <c r="GM21" s="43">
        <f t="shared" si="156"/>
        <v>0</v>
      </c>
      <c r="GN21" s="43">
        <f t="shared" si="157"/>
        <v>0</v>
      </c>
      <c r="GO21" s="767"/>
      <c r="GP21" s="43">
        <f t="shared" si="211"/>
        <v>0</v>
      </c>
      <c r="GQ21" s="43">
        <f t="shared" si="158"/>
        <v>0</v>
      </c>
      <c r="GR21" s="43">
        <f t="shared" si="159"/>
        <v>0</v>
      </c>
      <c r="GS21" s="43">
        <f t="shared" si="160"/>
        <v>0</v>
      </c>
      <c r="GT21" s="43">
        <f t="shared" si="161"/>
        <v>0</v>
      </c>
      <c r="GU21" s="43">
        <f t="shared" si="162"/>
        <v>0</v>
      </c>
      <c r="GV21" s="43">
        <f t="shared" si="163"/>
        <v>0</v>
      </c>
      <c r="GW21" s="43">
        <f t="shared" si="164"/>
        <v>0</v>
      </c>
      <c r="GX21" s="43">
        <f t="shared" si="165"/>
        <v>0</v>
      </c>
      <c r="GY21" s="43">
        <f t="shared" si="166"/>
        <v>0</v>
      </c>
      <c r="GZ21" s="43">
        <f t="shared" si="167"/>
        <v>0</v>
      </c>
      <c r="HA21" s="43">
        <f t="shared" si="168"/>
        <v>0</v>
      </c>
      <c r="HB21" s="43">
        <f t="shared" si="169"/>
        <v>0</v>
      </c>
      <c r="HC21" s="43">
        <f t="shared" si="170"/>
        <v>0</v>
      </c>
      <c r="HD21" s="43">
        <f t="shared" si="171"/>
        <v>0</v>
      </c>
      <c r="HE21" s="767"/>
      <c r="HF21" s="43">
        <f t="shared" si="212"/>
        <v>0</v>
      </c>
      <c r="HG21" s="43">
        <f t="shared" si="172"/>
        <v>0</v>
      </c>
      <c r="HH21" s="43">
        <f t="shared" si="173"/>
        <v>0</v>
      </c>
      <c r="HI21" s="43">
        <f t="shared" si="174"/>
        <v>0</v>
      </c>
      <c r="HJ21" s="43">
        <f t="shared" si="175"/>
        <v>0</v>
      </c>
      <c r="HK21" s="43">
        <f t="shared" si="176"/>
        <v>0</v>
      </c>
      <c r="HL21" s="43">
        <f t="shared" si="177"/>
        <v>0</v>
      </c>
      <c r="HM21" s="43">
        <f t="shared" si="178"/>
        <v>0</v>
      </c>
      <c r="HN21" s="43">
        <f t="shared" si="179"/>
        <v>0</v>
      </c>
      <c r="HO21" s="43">
        <f t="shared" si="180"/>
        <v>0</v>
      </c>
      <c r="HP21" s="43">
        <f t="shared" si="181"/>
        <v>0</v>
      </c>
      <c r="HQ21" s="43">
        <f t="shared" si="182"/>
        <v>0</v>
      </c>
      <c r="HR21" s="43">
        <f t="shared" si="183"/>
        <v>0</v>
      </c>
      <c r="HS21" s="43">
        <f t="shared" si="184"/>
        <v>0</v>
      </c>
      <c r="HT21" s="43">
        <f t="shared" si="185"/>
        <v>0</v>
      </c>
      <c r="HU21" s="767"/>
      <c r="HV21" s="43">
        <f t="shared" si="213"/>
        <v>0</v>
      </c>
      <c r="HW21" s="43">
        <f t="shared" si="186"/>
        <v>0</v>
      </c>
      <c r="HX21" s="43">
        <f t="shared" si="187"/>
        <v>0</v>
      </c>
      <c r="HY21" s="43">
        <f t="shared" si="188"/>
        <v>0</v>
      </c>
      <c r="HZ21" s="43">
        <f t="shared" si="189"/>
        <v>0</v>
      </c>
      <c r="IA21" s="43">
        <f t="shared" si="190"/>
        <v>0</v>
      </c>
      <c r="IB21" s="43">
        <f t="shared" si="191"/>
        <v>0</v>
      </c>
      <c r="IC21" s="43">
        <f t="shared" si="192"/>
        <v>0</v>
      </c>
      <c r="ID21" s="43">
        <f t="shared" si="193"/>
        <v>0</v>
      </c>
      <c r="IE21" s="43">
        <f t="shared" si="194"/>
        <v>0</v>
      </c>
      <c r="IF21" s="43">
        <f t="shared" si="195"/>
        <v>0</v>
      </c>
      <c r="IG21" s="43">
        <f t="shared" si="196"/>
        <v>0</v>
      </c>
      <c r="IH21" s="43">
        <f t="shared" si="197"/>
        <v>0</v>
      </c>
      <c r="II21" s="43">
        <f t="shared" si="198"/>
        <v>0</v>
      </c>
      <c r="IJ21" s="786">
        <f t="shared" si="199"/>
        <v>0</v>
      </c>
      <c r="IK21" s="794"/>
    </row>
    <row r="22" spans="1:245">
      <c r="A22" s="642">
        <f t="shared" si="214"/>
        <v>13</v>
      </c>
      <c r="B22" s="762" t="str">
        <f t="shared" si="15"/>
        <v>Configuration Manager</v>
      </c>
      <c r="C22" s="775"/>
      <c r="D22" s="769"/>
      <c r="E22" s="52" t="str">
        <f t="shared" si="16"/>
        <v>Configuration ManagerGovt_Sub</v>
      </c>
      <c r="F22" s="793"/>
      <c r="G22" s="43"/>
      <c r="H22" s="43"/>
      <c r="I22" s="43"/>
      <c r="J22" s="43"/>
      <c r="K22" s="43"/>
      <c r="L22" s="43"/>
      <c r="M22" s="43"/>
      <c r="N22" s="43"/>
      <c r="O22" s="43"/>
      <c r="P22" s="43"/>
      <c r="Q22" s="43"/>
      <c r="R22" s="43"/>
      <c r="S22" s="43"/>
      <c r="T22" s="43"/>
      <c r="U22" s="767"/>
      <c r="V22" s="43">
        <f t="shared" si="200"/>
        <v>0</v>
      </c>
      <c r="W22" s="43">
        <f t="shared" si="17"/>
        <v>0</v>
      </c>
      <c r="X22" s="43">
        <f t="shared" si="17"/>
        <v>0</v>
      </c>
      <c r="Y22" s="43">
        <f t="shared" si="17"/>
        <v>0</v>
      </c>
      <c r="Z22" s="43">
        <f t="shared" si="17"/>
        <v>0</v>
      </c>
      <c r="AA22" s="43">
        <f t="shared" si="17"/>
        <v>0</v>
      </c>
      <c r="AB22" s="43">
        <f t="shared" si="17"/>
        <v>0</v>
      </c>
      <c r="AC22" s="43">
        <f t="shared" si="17"/>
        <v>0</v>
      </c>
      <c r="AD22" s="43">
        <f t="shared" si="17"/>
        <v>0</v>
      </c>
      <c r="AE22" s="43">
        <f t="shared" si="17"/>
        <v>0</v>
      </c>
      <c r="AF22" s="43">
        <f t="shared" si="17"/>
        <v>0</v>
      </c>
      <c r="AG22" s="43">
        <f t="shared" si="17"/>
        <v>0</v>
      </c>
      <c r="AH22" s="43">
        <f t="shared" si="17"/>
        <v>0</v>
      </c>
      <c r="AI22" s="43">
        <f t="shared" si="17"/>
        <v>0</v>
      </c>
      <c r="AJ22" s="43">
        <f t="shared" si="17"/>
        <v>0</v>
      </c>
      <c r="AK22" s="767"/>
      <c r="AL22" s="43">
        <f t="shared" si="201"/>
        <v>0</v>
      </c>
      <c r="AM22" s="43">
        <f t="shared" si="18"/>
        <v>0</v>
      </c>
      <c r="AN22" s="43">
        <f t="shared" si="19"/>
        <v>0</v>
      </c>
      <c r="AO22" s="43">
        <f t="shared" si="20"/>
        <v>0</v>
      </c>
      <c r="AP22" s="43">
        <f t="shared" si="21"/>
        <v>0</v>
      </c>
      <c r="AQ22" s="43">
        <f t="shared" si="22"/>
        <v>0</v>
      </c>
      <c r="AR22" s="43">
        <f t="shared" si="23"/>
        <v>0</v>
      </c>
      <c r="AS22" s="43">
        <f t="shared" si="24"/>
        <v>0</v>
      </c>
      <c r="AT22" s="43">
        <f t="shared" si="25"/>
        <v>0</v>
      </c>
      <c r="AU22" s="43">
        <f t="shared" si="26"/>
        <v>0</v>
      </c>
      <c r="AV22" s="43">
        <f t="shared" si="27"/>
        <v>0</v>
      </c>
      <c r="AW22" s="43">
        <f t="shared" si="28"/>
        <v>0</v>
      </c>
      <c r="AX22" s="43">
        <f t="shared" si="29"/>
        <v>0</v>
      </c>
      <c r="AY22" s="43">
        <f t="shared" si="30"/>
        <v>0</v>
      </c>
      <c r="AZ22" s="43">
        <f t="shared" si="31"/>
        <v>0</v>
      </c>
      <c r="BA22" s="767"/>
      <c r="BB22" s="43">
        <f t="shared" si="202"/>
        <v>0</v>
      </c>
      <c r="BC22" s="43">
        <f t="shared" si="32"/>
        <v>0</v>
      </c>
      <c r="BD22" s="43">
        <f t="shared" si="33"/>
        <v>0</v>
      </c>
      <c r="BE22" s="43">
        <f t="shared" si="34"/>
        <v>0</v>
      </c>
      <c r="BF22" s="43">
        <f t="shared" si="35"/>
        <v>0</v>
      </c>
      <c r="BG22" s="43">
        <f t="shared" si="36"/>
        <v>0</v>
      </c>
      <c r="BH22" s="43">
        <f t="shared" si="37"/>
        <v>0</v>
      </c>
      <c r="BI22" s="43">
        <f t="shared" si="38"/>
        <v>0</v>
      </c>
      <c r="BJ22" s="43">
        <f t="shared" si="39"/>
        <v>0</v>
      </c>
      <c r="BK22" s="43">
        <f t="shared" si="40"/>
        <v>0</v>
      </c>
      <c r="BL22" s="43">
        <f t="shared" si="41"/>
        <v>0</v>
      </c>
      <c r="BM22" s="43">
        <f t="shared" si="42"/>
        <v>0</v>
      </c>
      <c r="BN22" s="43">
        <f t="shared" si="43"/>
        <v>0</v>
      </c>
      <c r="BO22" s="43">
        <f t="shared" si="44"/>
        <v>0</v>
      </c>
      <c r="BP22" s="43">
        <f t="shared" si="45"/>
        <v>0</v>
      </c>
      <c r="BQ22" s="767"/>
      <c r="BR22" s="43">
        <f t="shared" si="203"/>
        <v>0</v>
      </c>
      <c r="BS22" s="43">
        <f t="shared" si="46"/>
        <v>0</v>
      </c>
      <c r="BT22" s="43">
        <f t="shared" si="47"/>
        <v>0</v>
      </c>
      <c r="BU22" s="43">
        <f t="shared" si="48"/>
        <v>0</v>
      </c>
      <c r="BV22" s="43">
        <f t="shared" si="49"/>
        <v>0</v>
      </c>
      <c r="BW22" s="43">
        <f t="shared" si="50"/>
        <v>0</v>
      </c>
      <c r="BX22" s="43">
        <f t="shared" si="51"/>
        <v>0</v>
      </c>
      <c r="BY22" s="43">
        <f t="shared" si="52"/>
        <v>0</v>
      </c>
      <c r="BZ22" s="43">
        <f t="shared" si="53"/>
        <v>0</v>
      </c>
      <c r="CA22" s="43">
        <f t="shared" si="54"/>
        <v>0</v>
      </c>
      <c r="CB22" s="43">
        <f t="shared" si="55"/>
        <v>0</v>
      </c>
      <c r="CC22" s="43">
        <f t="shared" si="56"/>
        <v>0</v>
      </c>
      <c r="CD22" s="43">
        <f t="shared" si="57"/>
        <v>0</v>
      </c>
      <c r="CE22" s="43">
        <f t="shared" si="58"/>
        <v>0</v>
      </c>
      <c r="CF22" s="43">
        <f t="shared" si="59"/>
        <v>0</v>
      </c>
      <c r="CG22" s="767"/>
      <c r="CH22" s="43">
        <f t="shared" si="204"/>
        <v>0</v>
      </c>
      <c r="CI22" s="43">
        <f t="shared" si="60"/>
        <v>0</v>
      </c>
      <c r="CJ22" s="43">
        <f t="shared" si="61"/>
        <v>0</v>
      </c>
      <c r="CK22" s="43">
        <f t="shared" si="62"/>
        <v>0</v>
      </c>
      <c r="CL22" s="43">
        <f t="shared" si="63"/>
        <v>0</v>
      </c>
      <c r="CM22" s="43">
        <f t="shared" si="64"/>
        <v>0</v>
      </c>
      <c r="CN22" s="43">
        <f t="shared" si="65"/>
        <v>0</v>
      </c>
      <c r="CO22" s="43">
        <f t="shared" si="66"/>
        <v>0</v>
      </c>
      <c r="CP22" s="43">
        <f t="shared" si="67"/>
        <v>0</v>
      </c>
      <c r="CQ22" s="43">
        <f t="shared" si="68"/>
        <v>0</v>
      </c>
      <c r="CR22" s="43">
        <f t="shared" si="69"/>
        <v>0</v>
      </c>
      <c r="CS22" s="43">
        <f t="shared" si="70"/>
        <v>0</v>
      </c>
      <c r="CT22" s="43">
        <f t="shared" si="71"/>
        <v>0</v>
      </c>
      <c r="CU22" s="43">
        <f t="shared" si="72"/>
        <v>0</v>
      </c>
      <c r="CV22" s="43">
        <f t="shared" si="73"/>
        <v>0</v>
      </c>
      <c r="CW22" s="767"/>
      <c r="CX22" s="43">
        <f t="shared" si="205"/>
        <v>0</v>
      </c>
      <c r="CY22" s="43">
        <f t="shared" si="74"/>
        <v>0</v>
      </c>
      <c r="CZ22" s="43">
        <f t="shared" si="75"/>
        <v>0</v>
      </c>
      <c r="DA22" s="43">
        <f t="shared" si="76"/>
        <v>0</v>
      </c>
      <c r="DB22" s="43">
        <f t="shared" si="77"/>
        <v>0</v>
      </c>
      <c r="DC22" s="43">
        <f t="shared" si="78"/>
        <v>0</v>
      </c>
      <c r="DD22" s="43">
        <f t="shared" si="79"/>
        <v>0</v>
      </c>
      <c r="DE22" s="43">
        <f t="shared" si="80"/>
        <v>0</v>
      </c>
      <c r="DF22" s="43">
        <f t="shared" si="81"/>
        <v>0</v>
      </c>
      <c r="DG22" s="43">
        <f t="shared" si="82"/>
        <v>0</v>
      </c>
      <c r="DH22" s="43">
        <f t="shared" si="83"/>
        <v>0</v>
      </c>
      <c r="DI22" s="43">
        <f t="shared" si="84"/>
        <v>0</v>
      </c>
      <c r="DJ22" s="43">
        <f t="shared" si="85"/>
        <v>0</v>
      </c>
      <c r="DK22" s="43">
        <f t="shared" si="86"/>
        <v>0</v>
      </c>
      <c r="DL22" s="43">
        <f t="shared" si="87"/>
        <v>0</v>
      </c>
      <c r="DM22" s="767"/>
      <c r="DN22" s="43">
        <f t="shared" si="206"/>
        <v>0</v>
      </c>
      <c r="DO22" s="43">
        <f t="shared" si="88"/>
        <v>0</v>
      </c>
      <c r="DP22" s="43">
        <f t="shared" si="89"/>
        <v>0</v>
      </c>
      <c r="DQ22" s="43">
        <f t="shared" si="90"/>
        <v>0</v>
      </c>
      <c r="DR22" s="43">
        <f t="shared" si="91"/>
        <v>0</v>
      </c>
      <c r="DS22" s="43">
        <f t="shared" si="92"/>
        <v>0</v>
      </c>
      <c r="DT22" s="43">
        <f t="shared" si="93"/>
        <v>0</v>
      </c>
      <c r="DU22" s="43">
        <f t="shared" si="94"/>
        <v>0</v>
      </c>
      <c r="DV22" s="43">
        <f t="shared" si="95"/>
        <v>0</v>
      </c>
      <c r="DW22" s="43">
        <f t="shared" si="96"/>
        <v>0</v>
      </c>
      <c r="DX22" s="43">
        <f t="shared" si="97"/>
        <v>0</v>
      </c>
      <c r="DY22" s="43">
        <f t="shared" si="98"/>
        <v>0</v>
      </c>
      <c r="DZ22" s="43">
        <f t="shared" si="99"/>
        <v>0</v>
      </c>
      <c r="EA22" s="43">
        <f t="shared" si="100"/>
        <v>0</v>
      </c>
      <c r="EB22" s="43">
        <f t="shared" si="101"/>
        <v>0</v>
      </c>
      <c r="EC22" s="767"/>
      <c r="ED22" s="43">
        <f t="shared" si="207"/>
        <v>0</v>
      </c>
      <c r="EE22" s="43">
        <f t="shared" si="102"/>
        <v>0</v>
      </c>
      <c r="EF22" s="43">
        <f t="shared" si="103"/>
        <v>0</v>
      </c>
      <c r="EG22" s="43">
        <f t="shared" si="104"/>
        <v>0</v>
      </c>
      <c r="EH22" s="43">
        <f t="shared" si="105"/>
        <v>0</v>
      </c>
      <c r="EI22" s="43">
        <f t="shared" si="106"/>
        <v>0</v>
      </c>
      <c r="EJ22" s="43">
        <f t="shared" si="107"/>
        <v>0</v>
      </c>
      <c r="EK22" s="43">
        <f t="shared" si="108"/>
        <v>0</v>
      </c>
      <c r="EL22" s="43">
        <f t="shared" si="109"/>
        <v>0</v>
      </c>
      <c r="EM22" s="43">
        <f t="shared" si="110"/>
        <v>0</v>
      </c>
      <c r="EN22" s="43">
        <f t="shared" si="111"/>
        <v>0</v>
      </c>
      <c r="EO22" s="43">
        <f t="shared" si="112"/>
        <v>0</v>
      </c>
      <c r="EP22" s="43">
        <f t="shared" si="113"/>
        <v>0</v>
      </c>
      <c r="EQ22" s="43">
        <f t="shared" si="114"/>
        <v>0</v>
      </c>
      <c r="ER22" s="43">
        <f t="shared" si="115"/>
        <v>0</v>
      </c>
      <c r="ES22" s="767"/>
      <c r="ET22" s="43">
        <f t="shared" si="208"/>
        <v>0</v>
      </c>
      <c r="EU22" s="43">
        <f t="shared" si="116"/>
        <v>0</v>
      </c>
      <c r="EV22" s="43">
        <f t="shared" si="117"/>
        <v>0</v>
      </c>
      <c r="EW22" s="43">
        <f t="shared" si="118"/>
        <v>0</v>
      </c>
      <c r="EX22" s="43">
        <f t="shared" si="119"/>
        <v>0</v>
      </c>
      <c r="EY22" s="43">
        <f t="shared" si="120"/>
        <v>0</v>
      </c>
      <c r="EZ22" s="43">
        <f t="shared" si="121"/>
        <v>0</v>
      </c>
      <c r="FA22" s="43">
        <f t="shared" si="122"/>
        <v>0</v>
      </c>
      <c r="FB22" s="43">
        <f t="shared" si="123"/>
        <v>0</v>
      </c>
      <c r="FC22" s="43">
        <f t="shared" si="124"/>
        <v>0</v>
      </c>
      <c r="FD22" s="43">
        <f t="shared" si="125"/>
        <v>0</v>
      </c>
      <c r="FE22" s="43">
        <f t="shared" si="126"/>
        <v>0</v>
      </c>
      <c r="FF22" s="43">
        <f t="shared" si="127"/>
        <v>0</v>
      </c>
      <c r="FG22" s="43">
        <f t="shared" si="128"/>
        <v>0</v>
      </c>
      <c r="FH22" s="43">
        <f t="shared" si="129"/>
        <v>0</v>
      </c>
      <c r="FI22" s="767"/>
      <c r="FJ22" s="43">
        <f t="shared" si="209"/>
        <v>0</v>
      </c>
      <c r="FK22" s="43">
        <f t="shared" si="130"/>
        <v>0</v>
      </c>
      <c r="FL22" s="43">
        <f t="shared" si="131"/>
        <v>0</v>
      </c>
      <c r="FM22" s="43">
        <f t="shared" si="132"/>
        <v>0</v>
      </c>
      <c r="FN22" s="43">
        <f t="shared" si="133"/>
        <v>0</v>
      </c>
      <c r="FO22" s="43">
        <f t="shared" si="134"/>
        <v>0</v>
      </c>
      <c r="FP22" s="43">
        <f t="shared" si="135"/>
        <v>0</v>
      </c>
      <c r="FQ22" s="43">
        <f t="shared" si="136"/>
        <v>0</v>
      </c>
      <c r="FR22" s="43">
        <f t="shared" si="137"/>
        <v>0</v>
      </c>
      <c r="FS22" s="43">
        <f t="shared" si="138"/>
        <v>0</v>
      </c>
      <c r="FT22" s="43">
        <f t="shared" si="139"/>
        <v>0</v>
      </c>
      <c r="FU22" s="43">
        <f t="shared" si="140"/>
        <v>0</v>
      </c>
      <c r="FV22" s="43">
        <f t="shared" si="141"/>
        <v>0</v>
      </c>
      <c r="FW22" s="43">
        <f t="shared" si="142"/>
        <v>0</v>
      </c>
      <c r="FX22" s="43">
        <f t="shared" si="143"/>
        <v>0</v>
      </c>
      <c r="FY22" s="767"/>
      <c r="FZ22" s="43">
        <f t="shared" si="210"/>
        <v>0</v>
      </c>
      <c r="GA22" s="43">
        <f t="shared" si="144"/>
        <v>0</v>
      </c>
      <c r="GB22" s="43">
        <f t="shared" si="145"/>
        <v>0</v>
      </c>
      <c r="GC22" s="43">
        <f t="shared" si="146"/>
        <v>0</v>
      </c>
      <c r="GD22" s="43">
        <f t="shared" si="147"/>
        <v>0</v>
      </c>
      <c r="GE22" s="43">
        <f t="shared" si="148"/>
        <v>0</v>
      </c>
      <c r="GF22" s="43">
        <f t="shared" si="149"/>
        <v>0</v>
      </c>
      <c r="GG22" s="43">
        <f t="shared" si="150"/>
        <v>0</v>
      </c>
      <c r="GH22" s="43">
        <f t="shared" si="151"/>
        <v>0</v>
      </c>
      <c r="GI22" s="43">
        <f t="shared" si="152"/>
        <v>0</v>
      </c>
      <c r="GJ22" s="43">
        <f t="shared" si="153"/>
        <v>0</v>
      </c>
      <c r="GK22" s="43">
        <f t="shared" si="154"/>
        <v>0</v>
      </c>
      <c r="GL22" s="43">
        <f t="shared" si="155"/>
        <v>0</v>
      </c>
      <c r="GM22" s="43">
        <f t="shared" si="156"/>
        <v>0</v>
      </c>
      <c r="GN22" s="43">
        <f t="shared" si="157"/>
        <v>0</v>
      </c>
      <c r="GO22" s="767"/>
      <c r="GP22" s="43">
        <f t="shared" si="211"/>
        <v>0</v>
      </c>
      <c r="GQ22" s="43">
        <f t="shared" si="158"/>
        <v>0</v>
      </c>
      <c r="GR22" s="43">
        <f t="shared" si="159"/>
        <v>0</v>
      </c>
      <c r="GS22" s="43">
        <f t="shared" si="160"/>
        <v>0</v>
      </c>
      <c r="GT22" s="43">
        <f t="shared" si="161"/>
        <v>0</v>
      </c>
      <c r="GU22" s="43">
        <f t="shared" si="162"/>
        <v>0</v>
      </c>
      <c r="GV22" s="43">
        <f t="shared" si="163"/>
        <v>0</v>
      </c>
      <c r="GW22" s="43">
        <f t="shared" si="164"/>
        <v>0</v>
      </c>
      <c r="GX22" s="43">
        <f t="shared" si="165"/>
        <v>0</v>
      </c>
      <c r="GY22" s="43">
        <f t="shared" si="166"/>
        <v>0</v>
      </c>
      <c r="GZ22" s="43">
        <f t="shared" si="167"/>
        <v>0</v>
      </c>
      <c r="HA22" s="43">
        <f t="shared" si="168"/>
        <v>0</v>
      </c>
      <c r="HB22" s="43">
        <f t="shared" si="169"/>
        <v>0</v>
      </c>
      <c r="HC22" s="43">
        <f t="shared" si="170"/>
        <v>0</v>
      </c>
      <c r="HD22" s="43">
        <f t="shared" si="171"/>
        <v>0</v>
      </c>
      <c r="HE22" s="767"/>
      <c r="HF22" s="43">
        <f t="shared" si="212"/>
        <v>0</v>
      </c>
      <c r="HG22" s="43">
        <f t="shared" si="172"/>
        <v>0</v>
      </c>
      <c r="HH22" s="43">
        <f t="shared" si="173"/>
        <v>0</v>
      </c>
      <c r="HI22" s="43">
        <f t="shared" si="174"/>
        <v>0</v>
      </c>
      <c r="HJ22" s="43">
        <f t="shared" si="175"/>
        <v>0</v>
      </c>
      <c r="HK22" s="43">
        <f t="shared" si="176"/>
        <v>0</v>
      </c>
      <c r="HL22" s="43">
        <f t="shared" si="177"/>
        <v>0</v>
      </c>
      <c r="HM22" s="43">
        <f t="shared" si="178"/>
        <v>0</v>
      </c>
      <c r="HN22" s="43">
        <f t="shared" si="179"/>
        <v>0</v>
      </c>
      <c r="HO22" s="43">
        <f t="shared" si="180"/>
        <v>0</v>
      </c>
      <c r="HP22" s="43">
        <f t="shared" si="181"/>
        <v>0</v>
      </c>
      <c r="HQ22" s="43">
        <f t="shared" si="182"/>
        <v>0</v>
      </c>
      <c r="HR22" s="43">
        <f t="shared" si="183"/>
        <v>0</v>
      </c>
      <c r="HS22" s="43">
        <f t="shared" si="184"/>
        <v>0</v>
      </c>
      <c r="HT22" s="43">
        <f t="shared" si="185"/>
        <v>0</v>
      </c>
      <c r="HU22" s="767"/>
      <c r="HV22" s="43">
        <f t="shared" si="213"/>
        <v>0</v>
      </c>
      <c r="HW22" s="43">
        <f t="shared" si="186"/>
        <v>0</v>
      </c>
      <c r="HX22" s="43">
        <f t="shared" si="187"/>
        <v>0</v>
      </c>
      <c r="HY22" s="43">
        <f t="shared" si="188"/>
        <v>0</v>
      </c>
      <c r="HZ22" s="43">
        <f t="shared" si="189"/>
        <v>0</v>
      </c>
      <c r="IA22" s="43">
        <f t="shared" si="190"/>
        <v>0</v>
      </c>
      <c r="IB22" s="43">
        <f t="shared" si="191"/>
        <v>0</v>
      </c>
      <c r="IC22" s="43">
        <f t="shared" si="192"/>
        <v>0</v>
      </c>
      <c r="ID22" s="43">
        <f t="shared" si="193"/>
        <v>0</v>
      </c>
      <c r="IE22" s="43">
        <f t="shared" si="194"/>
        <v>0</v>
      </c>
      <c r="IF22" s="43">
        <f t="shared" si="195"/>
        <v>0</v>
      </c>
      <c r="IG22" s="43">
        <f t="shared" si="196"/>
        <v>0</v>
      </c>
      <c r="IH22" s="43">
        <f t="shared" si="197"/>
        <v>0</v>
      </c>
      <c r="II22" s="43">
        <f t="shared" si="198"/>
        <v>0</v>
      </c>
      <c r="IJ22" s="786">
        <f t="shared" si="199"/>
        <v>0</v>
      </c>
      <c r="IK22" s="794"/>
    </row>
    <row r="23" spans="1:245">
      <c r="A23" s="642">
        <f t="shared" si="214"/>
        <v>14</v>
      </c>
      <c r="B23" s="762" t="str">
        <f t="shared" si="15"/>
        <v>Hardware Technician</v>
      </c>
      <c r="C23" s="775"/>
      <c r="D23" s="769"/>
      <c r="E23" s="52" t="str">
        <f t="shared" si="16"/>
        <v>Hardware TechnicianGovt_Sub</v>
      </c>
      <c r="F23" s="793"/>
      <c r="G23" s="43"/>
      <c r="H23" s="43"/>
      <c r="I23" s="43"/>
      <c r="J23" s="43"/>
      <c r="K23" s="43"/>
      <c r="L23" s="43"/>
      <c r="M23" s="43"/>
      <c r="N23" s="43"/>
      <c r="O23" s="43"/>
      <c r="P23" s="43"/>
      <c r="Q23" s="43"/>
      <c r="R23" s="43"/>
      <c r="S23" s="43"/>
      <c r="T23" s="43"/>
      <c r="U23" s="767"/>
      <c r="V23" s="43">
        <f t="shared" si="200"/>
        <v>0</v>
      </c>
      <c r="W23" s="43">
        <f t="shared" si="17"/>
        <v>0</v>
      </c>
      <c r="X23" s="43">
        <f t="shared" si="17"/>
        <v>0</v>
      </c>
      <c r="Y23" s="43">
        <f t="shared" si="17"/>
        <v>0</v>
      </c>
      <c r="Z23" s="43">
        <f t="shared" si="17"/>
        <v>0</v>
      </c>
      <c r="AA23" s="43">
        <f t="shared" si="17"/>
        <v>0</v>
      </c>
      <c r="AB23" s="43">
        <f t="shared" si="17"/>
        <v>0</v>
      </c>
      <c r="AC23" s="43">
        <f t="shared" si="17"/>
        <v>0</v>
      </c>
      <c r="AD23" s="43">
        <f t="shared" si="17"/>
        <v>0</v>
      </c>
      <c r="AE23" s="43">
        <f t="shared" si="17"/>
        <v>0</v>
      </c>
      <c r="AF23" s="43">
        <f t="shared" si="17"/>
        <v>0</v>
      </c>
      <c r="AG23" s="43">
        <f t="shared" si="17"/>
        <v>0</v>
      </c>
      <c r="AH23" s="43">
        <f t="shared" si="17"/>
        <v>0</v>
      </c>
      <c r="AI23" s="43">
        <f t="shared" si="17"/>
        <v>0</v>
      </c>
      <c r="AJ23" s="43">
        <f t="shared" si="17"/>
        <v>0</v>
      </c>
      <c r="AK23" s="767"/>
      <c r="AL23" s="43">
        <f t="shared" si="201"/>
        <v>0</v>
      </c>
      <c r="AM23" s="43">
        <f t="shared" si="18"/>
        <v>0</v>
      </c>
      <c r="AN23" s="43">
        <f t="shared" si="19"/>
        <v>0</v>
      </c>
      <c r="AO23" s="43">
        <f t="shared" si="20"/>
        <v>0</v>
      </c>
      <c r="AP23" s="43">
        <f t="shared" si="21"/>
        <v>0</v>
      </c>
      <c r="AQ23" s="43">
        <f t="shared" si="22"/>
        <v>0</v>
      </c>
      <c r="AR23" s="43">
        <f t="shared" si="23"/>
        <v>0</v>
      </c>
      <c r="AS23" s="43">
        <f t="shared" si="24"/>
        <v>0</v>
      </c>
      <c r="AT23" s="43">
        <f t="shared" si="25"/>
        <v>0</v>
      </c>
      <c r="AU23" s="43">
        <f t="shared" si="26"/>
        <v>0</v>
      </c>
      <c r="AV23" s="43">
        <f t="shared" si="27"/>
        <v>0</v>
      </c>
      <c r="AW23" s="43">
        <f t="shared" si="28"/>
        <v>0</v>
      </c>
      <c r="AX23" s="43">
        <f t="shared" si="29"/>
        <v>0</v>
      </c>
      <c r="AY23" s="43">
        <f t="shared" si="30"/>
        <v>0</v>
      </c>
      <c r="AZ23" s="43">
        <f t="shared" si="31"/>
        <v>0</v>
      </c>
      <c r="BA23" s="767"/>
      <c r="BB23" s="43">
        <f t="shared" si="202"/>
        <v>0</v>
      </c>
      <c r="BC23" s="43">
        <f t="shared" si="32"/>
        <v>0</v>
      </c>
      <c r="BD23" s="43">
        <f t="shared" si="33"/>
        <v>0</v>
      </c>
      <c r="BE23" s="43">
        <f t="shared" si="34"/>
        <v>0</v>
      </c>
      <c r="BF23" s="43">
        <f t="shared" si="35"/>
        <v>0</v>
      </c>
      <c r="BG23" s="43">
        <f t="shared" si="36"/>
        <v>0</v>
      </c>
      <c r="BH23" s="43">
        <f t="shared" si="37"/>
        <v>0</v>
      </c>
      <c r="BI23" s="43">
        <f t="shared" si="38"/>
        <v>0</v>
      </c>
      <c r="BJ23" s="43">
        <f t="shared" si="39"/>
        <v>0</v>
      </c>
      <c r="BK23" s="43">
        <f t="shared" si="40"/>
        <v>0</v>
      </c>
      <c r="BL23" s="43">
        <f t="shared" si="41"/>
        <v>0</v>
      </c>
      <c r="BM23" s="43">
        <f t="shared" si="42"/>
        <v>0</v>
      </c>
      <c r="BN23" s="43">
        <f t="shared" si="43"/>
        <v>0</v>
      </c>
      <c r="BO23" s="43">
        <f t="shared" si="44"/>
        <v>0</v>
      </c>
      <c r="BP23" s="43">
        <f t="shared" si="45"/>
        <v>0</v>
      </c>
      <c r="BQ23" s="767"/>
      <c r="BR23" s="43">
        <f t="shared" si="203"/>
        <v>0</v>
      </c>
      <c r="BS23" s="43">
        <f t="shared" si="46"/>
        <v>0</v>
      </c>
      <c r="BT23" s="43">
        <f t="shared" si="47"/>
        <v>0</v>
      </c>
      <c r="BU23" s="43">
        <f t="shared" si="48"/>
        <v>0</v>
      </c>
      <c r="BV23" s="43">
        <f t="shared" si="49"/>
        <v>0</v>
      </c>
      <c r="BW23" s="43">
        <f t="shared" si="50"/>
        <v>0</v>
      </c>
      <c r="BX23" s="43">
        <f t="shared" si="51"/>
        <v>0</v>
      </c>
      <c r="BY23" s="43">
        <f t="shared" si="52"/>
        <v>0</v>
      </c>
      <c r="BZ23" s="43">
        <f t="shared" si="53"/>
        <v>0</v>
      </c>
      <c r="CA23" s="43">
        <f t="shared" si="54"/>
        <v>0</v>
      </c>
      <c r="CB23" s="43">
        <f t="shared" si="55"/>
        <v>0</v>
      </c>
      <c r="CC23" s="43">
        <f t="shared" si="56"/>
        <v>0</v>
      </c>
      <c r="CD23" s="43">
        <f t="shared" si="57"/>
        <v>0</v>
      </c>
      <c r="CE23" s="43">
        <f t="shared" si="58"/>
        <v>0</v>
      </c>
      <c r="CF23" s="43">
        <f t="shared" si="59"/>
        <v>0</v>
      </c>
      <c r="CG23" s="767"/>
      <c r="CH23" s="43">
        <f t="shared" si="204"/>
        <v>0</v>
      </c>
      <c r="CI23" s="43">
        <f t="shared" si="60"/>
        <v>0</v>
      </c>
      <c r="CJ23" s="43">
        <f t="shared" si="61"/>
        <v>0</v>
      </c>
      <c r="CK23" s="43">
        <f t="shared" si="62"/>
        <v>0</v>
      </c>
      <c r="CL23" s="43">
        <f t="shared" si="63"/>
        <v>0</v>
      </c>
      <c r="CM23" s="43">
        <f t="shared" si="64"/>
        <v>0</v>
      </c>
      <c r="CN23" s="43">
        <f t="shared" si="65"/>
        <v>0</v>
      </c>
      <c r="CO23" s="43">
        <f t="shared" si="66"/>
        <v>0</v>
      </c>
      <c r="CP23" s="43">
        <f t="shared" si="67"/>
        <v>0</v>
      </c>
      <c r="CQ23" s="43">
        <f t="shared" si="68"/>
        <v>0</v>
      </c>
      <c r="CR23" s="43">
        <f t="shared" si="69"/>
        <v>0</v>
      </c>
      <c r="CS23" s="43">
        <f t="shared" si="70"/>
        <v>0</v>
      </c>
      <c r="CT23" s="43">
        <f t="shared" si="71"/>
        <v>0</v>
      </c>
      <c r="CU23" s="43">
        <f t="shared" si="72"/>
        <v>0</v>
      </c>
      <c r="CV23" s="43">
        <f t="shared" si="73"/>
        <v>0</v>
      </c>
      <c r="CW23" s="767"/>
      <c r="CX23" s="43">
        <f t="shared" si="205"/>
        <v>0</v>
      </c>
      <c r="CY23" s="43">
        <f t="shared" si="74"/>
        <v>0</v>
      </c>
      <c r="CZ23" s="43">
        <f t="shared" si="75"/>
        <v>0</v>
      </c>
      <c r="DA23" s="43">
        <f t="shared" si="76"/>
        <v>0</v>
      </c>
      <c r="DB23" s="43">
        <f t="shared" si="77"/>
        <v>0</v>
      </c>
      <c r="DC23" s="43">
        <f t="shared" si="78"/>
        <v>0</v>
      </c>
      <c r="DD23" s="43">
        <f t="shared" si="79"/>
        <v>0</v>
      </c>
      <c r="DE23" s="43">
        <f t="shared" si="80"/>
        <v>0</v>
      </c>
      <c r="DF23" s="43">
        <f t="shared" si="81"/>
        <v>0</v>
      </c>
      <c r="DG23" s="43">
        <f t="shared" si="82"/>
        <v>0</v>
      </c>
      <c r="DH23" s="43">
        <f t="shared" si="83"/>
        <v>0</v>
      </c>
      <c r="DI23" s="43">
        <f t="shared" si="84"/>
        <v>0</v>
      </c>
      <c r="DJ23" s="43">
        <f t="shared" si="85"/>
        <v>0</v>
      </c>
      <c r="DK23" s="43">
        <f t="shared" si="86"/>
        <v>0</v>
      </c>
      <c r="DL23" s="43">
        <f t="shared" si="87"/>
        <v>0</v>
      </c>
      <c r="DM23" s="767"/>
      <c r="DN23" s="43">
        <f t="shared" si="206"/>
        <v>0</v>
      </c>
      <c r="DO23" s="43">
        <f t="shared" si="88"/>
        <v>0</v>
      </c>
      <c r="DP23" s="43">
        <f t="shared" si="89"/>
        <v>0</v>
      </c>
      <c r="DQ23" s="43">
        <f t="shared" si="90"/>
        <v>0</v>
      </c>
      <c r="DR23" s="43">
        <f t="shared" si="91"/>
        <v>0</v>
      </c>
      <c r="DS23" s="43">
        <f t="shared" si="92"/>
        <v>0</v>
      </c>
      <c r="DT23" s="43">
        <f t="shared" si="93"/>
        <v>0</v>
      </c>
      <c r="DU23" s="43">
        <f t="shared" si="94"/>
        <v>0</v>
      </c>
      <c r="DV23" s="43">
        <f t="shared" si="95"/>
        <v>0</v>
      </c>
      <c r="DW23" s="43">
        <f t="shared" si="96"/>
        <v>0</v>
      </c>
      <c r="DX23" s="43">
        <f t="shared" si="97"/>
        <v>0</v>
      </c>
      <c r="DY23" s="43">
        <f t="shared" si="98"/>
        <v>0</v>
      </c>
      <c r="DZ23" s="43">
        <f t="shared" si="99"/>
        <v>0</v>
      </c>
      <c r="EA23" s="43">
        <f t="shared" si="100"/>
        <v>0</v>
      </c>
      <c r="EB23" s="43">
        <f t="shared" si="101"/>
        <v>0</v>
      </c>
      <c r="EC23" s="767"/>
      <c r="ED23" s="43">
        <f t="shared" si="207"/>
        <v>0</v>
      </c>
      <c r="EE23" s="43">
        <f t="shared" si="102"/>
        <v>0</v>
      </c>
      <c r="EF23" s="43">
        <f t="shared" si="103"/>
        <v>0</v>
      </c>
      <c r="EG23" s="43">
        <f t="shared" si="104"/>
        <v>0</v>
      </c>
      <c r="EH23" s="43">
        <f t="shared" si="105"/>
        <v>0</v>
      </c>
      <c r="EI23" s="43">
        <f t="shared" si="106"/>
        <v>0</v>
      </c>
      <c r="EJ23" s="43">
        <f t="shared" si="107"/>
        <v>0</v>
      </c>
      <c r="EK23" s="43">
        <f t="shared" si="108"/>
        <v>0</v>
      </c>
      <c r="EL23" s="43">
        <f t="shared" si="109"/>
        <v>0</v>
      </c>
      <c r="EM23" s="43">
        <f t="shared" si="110"/>
        <v>0</v>
      </c>
      <c r="EN23" s="43">
        <f t="shared" si="111"/>
        <v>0</v>
      </c>
      <c r="EO23" s="43">
        <f t="shared" si="112"/>
        <v>0</v>
      </c>
      <c r="EP23" s="43">
        <f t="shared" si="113"/>
        <v>0</v>
      </c>
      <c r="EQ23" s="43">
        <f t="shared" si="114"/>
        <v>0</v>
      </c>
      <c r="ER23" s="43">
        <f t="shared" si="115"/>
        <v>0</v>
      </c>
      <c r="ES23" s="767"/>
      <c r="ET23" s="43">
        <f t="shared" si="208"/>
        <v>0</v>
      </c>
      <c r="EU23" s="43">
        <f t="shared" si="116"/>
        <v>0</v>
      </c>
      <c r="EV23" s="43">
        <f t="shared" si="117"/>
        <v>0</v>
      </c>
      <c r="EW23" s="43">
        <f t="shared" si="118"/>
        <v>0</v>
      </c>
      <c r="EX23" s="43">
        <f t="shared" si="119"/>
        <v>0</v>
      </c>
      <c r="EY23" s="43">
        <f t="shared" si="120"/>
        <v>0</v>
      </c>
      <c r="EZ23" s="43">
        <f t="shared" si="121"/>
        <v>0</v>
      </c>
      <c r="FA23" s="43">
        <f t="shared" si="122"/>
        <v>0</v>
      </c>
      <c r="FB23" s="43">
        <f t="shared" si="123"/>
        <v>0</v>
      </c>
      <c r="FC23" s="43">
        <f t="shared" si="124"/>
        <v>0</v>
      </c>
      <c r="FD23" s="43">
        <f t="shared" si="125"/>
        <v>0</v>
      </c>
      <c r="FE23" s="43">
        <f t="shared" si="126"/>
        <v>0</v>
      </c>
      <c r="FF23" s="43">
        <f t="shared" si="127"/>
        <v>0</v>
      </c>
      <c r="FG23" s="43">
        <f t="shared" si="128"/>
        <v>0</v>
      </c>
      <c r="FH23" s="43">
        <f t="shared" si="129"/>
        <v>0</v>
      </c>
      <c r="FI23" s="767"/>
      <c r="FJ23" s="43">
        <f t="shared" si="209"/>
        <v>0</v>
      </c>
      <c r="FK23" s="43">
        <f t="shared" si="130"/>
        <v>0</v>
      </c>
      <c r="FL23" s="43">
        <f t="shared" si="131"/>
        <v>0</v>
      </c>
      <c r="FM23" s="43">
        <f t="shared" si="132"/>
        <v>0</v>
      </c>
      <c r="FN23" s="43">
        <f t="shared" si="133"/>
        <v>0</v>
      </c>
      <c r="FO23" s="43">
        <f t="shared" si="134"/>
        <v>0</v>
      </c>
      <c r="FP23" s="43">
        <f t="shared" si="135"/>
        <v>0</v>
      </c>
      <c r="FQ23" s="43">
        <f t="shared" si="136"/>
        <v>0</v>
      </c>
      <c r="FR23" s="43">
        <f t="shared" si="137"/>
        <v>0</v>
      </c>
      <c r="FS23" s="43">
        <f t="shared" si="138"/>
        <v>0</v>
      </c>
      <c r="FT23" s="43">
        <f t="shared" si="139"/>
        <v>0</v>
      </c>
      <c r="FU23" s="43">
        <f t="shared" si="140"/>
        <v>0</v>
      </c>
      <c r="FV23" s="43">
        <f t="shared" si="141"/>
        <v>0</v>
      </c>
      <c r="FW23" s="43">
        <f t="shared" si="142"/>
        <v>0</v>
      </c>
      <c r="FX23" s="43">
        <f t="shared" si="143"/>
        <v>0</v>
      </c>
      <c r="FY23" s="767"/>
      <c r="FZ23" s="43">
        <f t="shared" si="210"/>
        <v>0</v>
      </c>
      <c r="GA23" s="43">
        <f t="shared" si="144"/>
        <v>0</v>
      </c>
      <c r="GB23" s="43">
        <f t="shared" si="145"/>
        <v>0</v>
      </c>
      <c r="GC23" s="43">
        <f t="shared" si="146"/>
        <v>0</v>
      </c>
      <c r="GD23" s="43">
        <f t="shared" si="147"/>
        <v>0</v>
      </c>
      <c r="GE23" s="43">
        <f t="shared" si="148"/>
        <v>0</v>
      </c>
      <c r="GF23" s="43">
        <f t="shared" si="149"/>
        <v>0</v>
      </c>
      <c r="GG23" s="43">
        <f t="shared" si="150"/>
        <v>0</v>
      </c>
      <c r="GH23" s="43">
        <f t="shared" si="151"/>
        <v>0</v>
      </c>
      <c r="GI23" s="43">
        <f t="shared" si="152"/>
        <v>0</v>
      </c>
      <c r="GJ23" s="43">
        <f t="shared" si="153"/>
        <v>0</v>
      </c>
      <c r="GK23" s="43">
        <f t="shared" si="154"/>
        <v>0</v>
      </c>
      <c r="GL23" s="43">
        <f t="shared" si="155"/>
        <v>0</v>
      </c>
      <c r="GM23" s="43">
        <f t="shared" si="156"/>
        <v>0</v>
      </c>
      <c r="GN23" s="43">
        <f t="shared" si="157"/>
        <v>0</v>
      </c>
      <c r="GO23" s="767"/>
      <c r="GP23" s="43">
        <f t="shared" si="211"/>
        <v>0</v>
      </c>
      <c r="GQ23" s="43">
        <f t="shared" si="158"/>
        <v>0</v>
      </c>
      <c r="GR23" s="43">
        <f t="shared" si="159"/>
        <v>0</v>
      </c>
      <c r="GS23" s="43">
        <f t="shared" si="160"/>
        <v>0</v>
      </c>
      <c r="GT23" s="43">
        <f t="shared" si="161"/>
        <v>0</v>
      </c>
      <c r="GU23" s="43">
        <f t="shared" si="162"/>
        <v>0</v>
      </c>
      <c r="GV23" s="43">
        <f t="shared" si="163"/>
        <v>0</v>
      </c>
      <c r="GW23" s="43">
        <f t="shared" si="164"/>
        <v>0</v>
      </c>
      <c r="GX23" s="43">
        <f t="shared" si="165"/>
        <v>0</v>
      </c>
      <c r="GY23" s="43">
        <f t="shared" si="166"/>
        <v>0</v>
      </c>
      <c r="GZ23" s="43">
        <f t="shared" si="167"/>
        <v>0</v>
      </c>
      <c r="HA23" s="43">
        <f t="shared" si="168"/>
        <v>0</v>
      </c>
      <c r="HB23" s="43">
        <f t="shared" si="169"/>
        <v>0</v>
      </c>
      <c r="HC23" s="43">
        <f t="shared" si="170"/>
        <v>0</v>
      </c>
      <c r="HD23" s="43">
        <f t="shared" si="171"/>
        <v>0</v>
      </c>
      <c r="HE23" s="767"/>
      <c r="HF23" s="43">
        <f t="shared" si="212"/>
        <v>0</v>
      </c>
      <c r="HG23" s="43">
        <f t="shared" si="172"/>
        <v>0</v>
      </c>
      <c r="HH23" s="43">
        <f t="shared" si="173"/>
        <v>0</v>
      </c>
      <c r="HI23" s="43">
        <f t="shared" si="174"/>
        <v>0</v>
      </c>
      <c r="HJ23" s="43">
        <f t="shared" si="175"/>
        <v>0</v>
      </c>
      <c r="HK23" s="43">
        <f t="shared" si="176"/>
        <v>0</v>
      </c>
      <c r="HL23" s="43">
        <f t="shared" si="177"/>
        <v>0</v>
      </c>
      <c r="HM23" s="43">
        <f t="shared" si="178"/>
        <v>0</v>
      </c>
      <c r="HN23" s="43">
        <f t="shared" si="179"/>
        <v>0</v>
      </c>
      <c r="HO23" s="43">
        <f t="shared" si="180"/>
        <v>0</v>
      </c>
      <c r="HP23" s="43">
        <f t="shared" si="181"/>
        <v>0</v>
      </c>
      <c r="HQ23" s="43">
        <f t="shared" si="182"/>
        <v>0</v>
      </c>
      <c r="HR23" s="43">
        <f t="shared" si="183"/>
        <v>0</v>
      </c>
      <c r="HS23" s="43">
        <f t="shared" si="184"/>
        <v>0</v>
      </c>
      <c r="HT23" s="43">
        <f t="shared" si="185"/>
        <v>0</v>
      </c>
      <c r="HU23" s="767"/>
      <c r="HV23" s="43">
        <f t="shared" si="213"/>
        <v>0</v>
      </c>
      <c r="HW23" s="43">
        <f t="shared" si="186"/>
        <v>0</v>
      </c>
      <c r="HX23" s="43">
        <f t="shared" si="187"/>
        <v>0</v>
      </c>
      <c r="HY23" s="43">
        <f t="shared" si="188"/>
        <v>0</v>
      </c>
      <c r="HZ23" s="43">
        <f t="shared" si="189"/>
        <v>0</v>
      </c>
      <c r="IA23" s="43">
        <f t="shared" si="190"/>
        <v>0</v>
      </c>
      <c r="IB23" s="43">
        <f t="shared" si="191"/>
        <v>0</v>
      </c>
      <c r="IC23" s="43">
        <f t="shared" si="192"/>
        <v>0</v>
      </c>
      <c r="ID23" s="43">
        <f t="shared" si="193"/>
        <v>0</v>
      </c>
      <c r="IE23" s="43">
        <f t="shared" si="194"/>
        <v>0</v>
      </c>
      <c r="IF23" s="43">
        <f t="shared" si="195"/>
        <v>0</v>
      </c>
      <c r="IG23" s="43">
        <f t="shared" si="196"/>
        <v>0</v>
      </c>
      <c r="IH23" s="43">
        <f t="shared" si="197"/>
        <v>0</v>
      </c>
      <c r="II23" s="43">
        <f t="shared" si="198"/>
        <v>0</v>
      </c>
      <c r="IJ23" s="786">
        <f t="shared" si="199"/>
        <v>0</v>
      </c>
      <c r="IK23" s="794"/>
    </row>
    <row r="24" spans="1:245">
      <c r="A24" s="642">
        <f t="shared" si="214"/>
        <v>15</v>
      </c>
      <c r="B24" s="762" t="str">
        <f t="shared" si="15"/>
        <v>Repair/Exchange Specialist</v>
      </c>
      <c r="C24" s="775"/>
      <c r="D24" s="769"/>
      <c r="E24" s="52" t="str">
        <f t="shared" si="16"/>
        <v>Repair/Exchange SpecialistGovt_Sub</v>
      </c>
      <c r="F24" s="793"/>
      <c r="G24" s="43"/>
      <c r="H24" s="43"/>
      <c r="I24" s="43"/>
      <c r="J24" s="43"/>
      <c r="K24" s="43"/>
      <c r="L24" s="43"/>
      <c r="M24" s="43"/>
      <c r="N24" s="43"/>
      <c r="O24" s="43"/>
      <c r="P24" s="43"/>
      <c r="Q24" s="43"/>
      <c r="R24" s="43"/>
      <c r="S24" s="43"/>
      <c r="T24" s="43"/>
      <c r="U24" s="767"/>
      <c r="V24" s="43">
        <f t="shared" ref="V24:AJ25" si="215">F24*(1+V$9)</f>
        <v>0</v>
      </c>
      <c r="W24" s="43">
        <f t="shared" si="215"/>
        <v>0</v>
      </c>
      <c r="X24" s="43">
        <f t="shared" si="215"/>
        <v>0</v>
      </c>
      <c r="Y24" s="43">
        <f t="shared" si="215"/>
        <v>0</v>
      </c>
      <c r="Z24" s="43">
        <f t="shared" si="215"/>
        <v>0</v>
      </c>
      <c r="AA24" s="43">
        <f t="shared" si="215"/>
        <v>0</v>
      </c>
      <c r="AB24" s="43">
        <f t="shared" si="215"/>
        <v>0</v>
      </c>
      <c r="AC24" s="43">
        <f t="shared" si="215"/>
        <v>0</v>
      </c>
      <c r="AD24" s="43">
        <f t="shared" si="215"/>
        <v>0</v>
      </c>
      <c r="AE24" s="43">
        <f t="shared" si="215"/>
        <v>0</v>
      </c>
      <c r="AF24" s="43">
        <f t="shared" si="215"/>
        <v>0</v>
      </c>
      <c r="AG24" s="43">
        <f t="shared" si="215"/>
        <v>0</v>
      </c>
      <c r="AH24" s="43">
        <f t="shared" si="215"/>
        <v>0</v>
      </c>
      <c r="AI24" s="43">
        <f t="shared" si="215"/>
        <v>0</v>
      </c>
      <c r="AJ24" s="43">
        <f t="shared" si="215"/>
        <v>0</v>
      </c>
      <c r="AK24" s="767"/>
      <c r="AL24" s="43">
        <f t="shared" ref="AL24:AZ25" si="216">V24*(1+AL$9)</f>
        <v>0</v>
      </c>
      <c r="AM24" s="43">
        <f t="shared" si="216"/>
        <v>0</v>
      </c>
      <c r="AN24" s="43">
        <f t="shared" si="216"/>
        <v>0</v>
      </c>
      <c r="AO24" s="43">
        <f t="shared" si="216"/>
        <v>0</v>
      </c>
      <c r="AP24" s="43">
        <f t="shared" si="216"/>
        <v>0</v>
      </c>
      <c r="AQ24" s="43">
        <f t="shared" si="216"/>
        <v>0</v>
      </c>
      <c r="AR24" s="43">
        <f t="shared" si="216"/>
        <v>0</v>
      </c>
      <c r="AS24" s="43">
        <f t="shared" si="216"/>
        <v>0</v>
      </c>
      <c r="AT24" s="43">
        <f t="shared" si="216"/>
        <v>0</v>
      </c>
      <c r="AU24" s="43">
        <f t="shared" si="216"/>
        <v>0</v>
      </c>
      <c r="AV24" s="43">
        <f t="shared" si="216"/>
        <v>0</v>
      </c>
      <c r="AW24" s="43">
        <f t="shared" si="216"/>
        <v>0</v>
      </c>
      <c r="AX24" s="43">
        <f t="shared" si="216"/>
        <v>0</v>
      </c>
      <c r="AY24" s="43">
        <f t="shared" si="216"/>
        <v>0</v>
      </c>
      <c r="AZ24" s="43">
        <f t="shared" si="216"/>
        <v>0</v>
      </c>
      <c r="BA24" s="767"/>
      <c r="BB24" s="43">
        <f t="shared" ref="BB24:BP25" si="217">AL24*(1+BB$9)</f>
        <v>0</v>
      </c>
      <c r="BC24" s="43">
        <f t="shared" si="217"/>
        <v>0</v>
      </c>
      <c r="BD24" s="43">
        <f t="shared" si="217"/>
        <v>0</v>
      </c>
      <c r="BE24" s="43">
        <f t="shared" si="217"/>
        <v>0</v>
      </c>
      <c r="BF24" s="43">
        <f t="shared" si="217"/>
        <v>0</v>
      </c>
      <c r="BG24" s="43">
        <f t="shared" si="217"/>
        <v>0</v>
      </c>
      <c r="BH24" s="43">
        <f t="shared" si="217"/>
        <v>0</v>
      </c>
      <c r="BI24" s="43">
        <f t="shared" si="217"/>
        <v>0</v>
      </c>
      <c r="BJ24" s="43">
        <f t="shared" si="217"/>
        <v>0</v>
      </c>
      <c r="BK24" s="43">
        <f t="shared" si="217"/>
        <v>0</v>
      </c>
      <c r="BL24" s="43">
        <f t="shared" si="217"/>
        <v>0</v>
      </c>
      <c r="BM24" s="43">
        <f t="shared" si="217"/>
        <v>0</v>
      </c>
      <c r="BN24" s="43">
        <f t="shared" si="217"/>
        <v>0</v>
      </c>
      <c r="BO24" s="43">
        <f t="shared" si="217"/>
        <v>0</v>
      </c>
      <c r="BP24" s="43">
        <f t="shared" si="217"/>
        <v>0</v>
      </c>
      <c r="BQ24" s="767"/>
      <c r="BR24" s="43">
        <f t="shared" ref="BR24:CF25" si="218">BB24*(1+BR$9)</f>
        <v>0</v>
      </c>
      <c r="BS24" s="43">
        <f t="shared" si="218"/>
        <v>0</v>
      </c>
      <c r="BT24" s="43">
        <f t="shared" si="218"/>
        <v>0</v>
      </c>
      <c r="BU24" s="43">
        <f t="shared" si="218"/>
        <v>0</v>
      </c>
      <c r="BV24" s="43">
        <f t="shared" si="218"/>
        <v>0</v>
      </c>
      <c r="BW24" s="43">
        <f t="shared" si="218"/>
        <v>0</v>
      </c>
      <c r="BX24" s="43">
        <f t="shared" si="218"/>
        <v>0</v>
      </c>
      <c r="BY24" s="43">
        <f t="shared" si="218"/>
        <v>0</v>
      </c>
      <c r="BZ24" s="43">
        <f t="shared" si="218"/>
        <v>0</v>
      </c>
      <c r="CA24" s="43">
        <f t="shared" si="218"/>
        <v>0</v>
      </c>
      <c r="CB24" s="43">
        <f t="shared" si="218"/>
        <v>0</v>
      </c>
      <c r="CC24" s="43">
        <f t="shared" si="218"/>
        <v>0</v>
      </c>
      <c r="CD24" s="43">
        <f t="shared" si="218"/>
        <v>0</v>
      </c>
      <c r="CE24" s="43">
        <f t="shared" si="218"/>
        <v>0</v>
      </c>
      <c r="CF24" s="43">
        <f t="shared" si="218"/>
        <v>0</v>
      </c>
      <c r="CG24" s="767"/>
      <c r="CH24" s="43">
        <f t="shared" ref="CH24:CV26" si="219">BR24*(1+CH$9)</f>
        <v>0</v>
      </c>
      <c r="CI24" s="43">
        <f t="shared" si="219"/>
        <v>0</v>
      </c>
      <c r="CJ24" s="43">
        <f t="shared" si="219"/>
        <v>0</v>
      </c>
      <c r="CK24" s="43">
        <f t="shared" si="219"/>
        <v>0</v>
      </c>
      <c r="CL24" s="43">
        <f t="shared" si="219"/>
        <v>0</v>
      </c>
      <c r="CM24" s="43">
        <f t="shared" si="219"/>
        <v>0</v>
      </c>
      <c r="CN24" s="43">
        <f t="shared" si="219"/>
        <v>0</v>
      </c>
      <c r="CO24" s="43">
        <f t="shared" si="219"/>
        <v>0</v>
      </c>
      <c r="CP24" s="43">
        <f t="shared" si="219"/>
        <v>0</v>
      </c>
      <c r="CQ24" s="43">
        <f t="shared" si="219"/>
        <v>0</v>
      </c>
      <c r="CR24" s="43">
        <f t="shared" si="219"/>
        <v>0</v>
      </c>
      <c r="CS24" s="43">
        <f t="shared" si="219"/>
        <v>0</v>
      </c>
      <c r="CT24" s="43">
        <f t="shared" si="219"/>
        <v>0</v>
      </c>
      <c r="CU24" s="43">
        <f t="shared" si="219"/>
        <v>0</v>
      </c>
      <c r="CV24" s="43">
        <f t="shared" si="219"/>
        <v>0</v>
      </c>
      <c r="CW24" s="767"/>
      <c r="CX24" s="43">
        <f t="shared" ref="CX24:DL26" si="220">CH24*(1+CX$9)</f>
        <v>0</v>
      </c>
      <c r="CY24" s="43">
        <f t="shared" si="220"/>
        <v>0</v>
      </c>
      <c r="CZ24" s="43">
        <f t="shared" si="220"/>
        <v>0</v>
      </c>
      <c r="DA24" s="43">
        <f t="shared" si="220"/>
        <v>0</v>
      </c>
      <c r="DB24" s="43">
        <f t="shared" si="220"/>
        <v>0</v>
      </c>
      <c r="DC24" s="43">
        <f t="shared" si="220"/>
        <v>0</v>
      </c>
      <c r="DD24" s="43">
        <f t="shared" si="220"/>
        <v>0</v>
      </c>
      <c r="DE24" s="43">
        <f t="shared" si="220"/>
        <v>0</v>
      </c>
      <c r="DF24" s="43">
        <f t="shared" si="220"/>
        <v>0</v>
      </c>
      <c r="DG24" s="43">
        <f t="shared" si="220"/>
        <v>0</v>
      </c>
      <c r="DH24" s="43">
        <f t="shared" si="220"/>
        <v>0</v>
      </c>
      <c r="DI24" s="43">
        <f t="shared" si="220"/>
        <v>0</v>
      </c>
      <c r="DJ24" s="43">
        <f t="shared" si="220"/>
        <v>0</v>
      </c>
      <c r="DK24" s="43">
        <f t="shared" si="220"/>
        <v>0</v>
      </c>
      <c r="DL24" s="43">
        <f t="shared" si="220"/>
        <v>0</v>
      </c>
      <c r="DM24" s="767"/>
      <c r="DN24" s="43">
        <f t="shared" ref="DN24:EB26" si="221">CX24*(1+DN$9)</f>
        <v>0</v>
      </c>
      <c r="DO24" s="43">
        <f t="shared" si="221"/>
        <v>0</v>
      </c>
      <c r="DP24" s="43">
        <f t="shared" si="221"/>
        <v>0</v>
      </c>
      <c r="DQ24" s="43">
        <f t="shared" si="221"/>
        <v>0</v>
      </c>
      <c r="DR24" s="43">
        <f t="shared" si="221"/>
        <v>0</v>
      </c>
      <c r="DS24" s="43">
        <f t="shared" si="221"/>
        <v>0</v>
      </c>
      <c r="DT24" s="43">
        <f t="shared" si="221"/>
        <v>0</v>
      </c>
      <c r="DU24" s="43">
        <f t="shared" si="221"/>
        <v>0</v>
      </c>
      <c r="DV24" s="43">
        <f t="shared" si="221"/>
        <v>0</v>
      </c>
      <c r="DW24" s="43">
        <f t="shared" si="221"/>
        <v>0</v>
      </c>
      <c r="DX24" s="43">
        <f t="shared" si="221"/>
        <v>0</v>
      </c>
      <c r="DY24" s="43">
        <f t="shared" si="221"/>
        <v>0</v>
      </c>
      <c r="DZ24" s="43">
        <f t="shared" si="221"/>
        <v>0</v>
      </c>
      <c r="EA24" s="43">
        <f t="shared" si="221"/>
        <v>0</v>
      </c>
      <c r="EB24" s="43">
        <f t="shared" si="221"/>
        <v>0</v>
      </c>
      <c r="EC24" s="767"/>
      <c r="ED24" s="43">
        <f t="shared" ref="ED24:ER26" si="222">DN24*(1+ED$9)</f>
        <v>0</v>
      </c>
      <c r="EE24" s="43">
        <f t="shared" si="222"/>
        <v>0</v>
      </c>
      <c r="EF24" s="43">
        <f t="shared" si="222"/>
        <v>0</v>
      </c>
      <c r="EG24" s="43">
        <f t="shared" si="222"/>
        <v>0</v>
      </c>
      <c r="EH24" s="43">
        <f t="shared" si="222"/>
        <v>0</v>
      </c>
      <c r="EI24" s="43">
        <f t="shared" si="222"/>
        <v>0</v>
      </c>
      <c r="EJ24" s="43">
        <f t="shared" si="222"/>
        <v>0</v>
      </c>
      <c r="EK24" s="43">
        <f t="shared" si="222"/>
        <v>0</v>
      </c>
      <c r="EL24" s="43">
        <f t="shared" si="222"/>
        <v>0</v>
      </c>
      <c r="EM24" s="43">
        <f t="shared" si="222"/>
        <v>0</v>
      </c>
      <c r="EN24" s="43">
        <f t="shared" si="222"/>
        <v>0</v>
      </c>
      <c r="EO24" s="43">
        <f t="shared" si="222"/>
        <v>0</v>
      </c>
      <c r="EP24" s="43">
        <f t="shared" si="222"/>
        <v>0</v>
      </c>
      <c r="EQ24" s="43">
        <f t="shared" si="222"/>
        <v>0</v>
      </c>
      <c r="ER24" s="43">
        <f t="shared" si="222"/>
        <v>0</v>
      </c>
      <c r="ES24" s="767"/>
      <c r="ET24" s="43">
        <f t="shared" ref="ET24:FH26" si="223">ED24*(1+ET$9)</f>
        <v>0</v>
      </c>
      <c r="EU24" s="43">
        <f t="shared" si="223"/>
        <v>0</v>
      </c>
      <c r="EV24" s="43">
        <f t="shared" si="223"/>
        <v>0</v>
      </c>
      <c r="EW24" s="43">
        <f t="shared" si="223"/>
        <v>0</v>
      </c>
      <c r="EX24" s="43">
        <f t="shared" si="223"/>
        <v>0</v>
      </c>
      <c r="EY24" s="43">
        <f t="shared" si="223"/>
        <v>0</v>
      </c>
      <c r="EZ24" s="43">
        <f t="shared" si="223"/>
        <v>0</v>
      </c>
      <c r="FA24" s="43">
        <f t="shared" si="223"/>
        <v>0</v>
      </c>
      <c r="FB24" s="43">
        <f t="shared" si="223"/>
        <v>0</v>
      </c>
      <c r="FC24" s="43">
        <f t="shared" si="223"/>
        <v>0</v>
      </c>
      <c r="FD24" s="43">
        <f t="shared" si="223"/>
        <v>0</v>
      </c>
      <c r="FE24" s="43">
        <f t="shared" si="223"/>
        <v>0</v>
      </c>
      <c r="FF24" s="43">
        <f t="shared" si="223"/>
        <v>0</v>
      </c>
      <c r="FG24" s="43">
        <f t="shared" si="223"/>
        <v>0</v>
      </c>
      <c r="FH24" s="43">
        <f t="shared" si="223"/>
        <v>0</v>
      </c>
      <c r="FI24" s="767"/>
      <c r="FJ24" s="43">
        <f t="shared" ref="FJ24:FX26" si="224">ET24*(1+FJ$9)</f>
        <v>0</v>
      </c>
      <c r="FK24" s="43">
        <f t="shared" si="224"/>
        <v>0</v>
      </c>
      <c r="FL24" s="43">
        <f t="shared" si="224"/>
        <v>0</v>
      </c>
      <c r="FM24" s="43">
        <f t="shared" si="224"/>
        <v>0</v>
      </c>
      <c r="FN24" s="43">
        <f t="shared" si="224"/>
        <v>0</v>
      </c>
      <c r="FO24" s="43">
        <f t="shared" si="224"/>
        <v>0</v>
      </c>
      <c r="FP24" s="43">
        <f t="shared" si="224"/>
        <v>0</v>
      </c>
      <c r="FQ24" s="43">
        <f t="shared" si="224"/>
        <v>0</v>
      </c>
      <c r="FR24" s="43">
        <f t="shared" si="224"/>
        <v>0</v>
      </c>
      <c r="FS24" s="43">
        <f t="shared" si="224"/>
        <v>0</v>
      </c>
      <c r="FT24" s="43">
        <f t="shared" si="224"/>
        <v>0</v>
      </c>
      <c r="FU24" s="43">
        <f t="shared" si="224"/>
        <v>0</v>
      </c>
      <c r="FV24" s="43">
        <f t="shared" si="224"/>
        <v>0</v>
      </c>
      <c r="FW24" s="43">
        <f t="shared" si="224"/>
        <v>0</v>
      </c>
      <c r="FX24" s="43">
        <f t="shared" si="224"/>
        <v>0</v>
      </c>
      <c r="FY24" s="767"/>
      <c r="FZ24" s="43">
        <f t="shared" ref="FZ24:GN26" si="225">FJ24*(1+FZ$9)</f>
        <v>0</v>
      </c>
      <c r="GA24" s="43">
        <f t="shared" si="225"/>
        <v>0</v>
      </c>
      <c r="GB24" s="43">
        <f t="shared" si="225"/>
        <v>0</v>
      </c>
      <c r="GC24" s="43">
        <f t="shared" si="225"/>
        <v>0</v>
      </c>
      <c r="GD24" s="43">
        <f t="shared" si="225"/>
        <v>0</v>
      </c>
      <c r="GE24" s="43">
        <f t="shared" si="225"/>
        <v>0</v>
      </c>
      <c r="GF24" s="43">
        <f t="shared" si="225"/>
        <v>0</v>
      </c>
      <c r="GG24" s="43">
        <f t="shared" si="225"/>
        <v>0</v>
      </c>
      <c r="GH24" s="43">
        <f t="shared" si="225"/>
        <v>0</v>
      </c>
      <c r="GI24" s="43">
        <f t="shared" si="225"/>
        <v>0</v>
      </c>
      <c r="GJ24" s="43">
        <f t="shared" si="225"/>
        <v>0</v>
      </c>
      <c r="GK24" s="43">
        <f t="shared" si="225"/>
        <v>0</v>
      </c>
      <c r="GL24" s="43">
        <f t="shared" si="225"/>
        <v>0</v>
      </c>
      <c r="GM24" s="43">
        <f t="shared" si="225"/>
        <v>0</v>
      </c>
      <c r="GN24" s="43">
        <f t="shared" si="225"/>
        <v>0</v>
      </c>
      <c r="GO24" s="767"/>
      <c r="GP24" s="43">
        <f t="shared" ref="GP24:HD26" si="226">FZ24*(1+GP$9)</f>
        <v>0</v>
      </c>
      <c r="GQ24" s="43">
        <f t="shared" si="226"/>
        <v>0</v>
      </c>
      <c r="GR24" s="43">
        <f t="shared" si="226"/>
        <v>0</v>
      </c>
      <c r="GS24" s="43">
        <f t="shared" si="226"/>
        <v>0</v>
      </c>
      <c r="GT24" s="43">
        <f t="shared" si="226"/>
        <v>0</v>
      </c>
      <c r="GU24" s="43">
        <f t="shared" si="226"/>
        <v>0</v>
      </c>
      <c r="GV24" s="43">
        <f t="shared" si="226"/>
        <v>0</v>
      </c>
      <c r="GW24" s="43">
        <f t="shared" si="226"/>
        <v>0</v>
      </c>
      <c r="GX24" s="43">
        <f t="shared" si="226"/>
        <v>0</v>
      </c>
      <c r="GY24" s="43">
        <f t="shared" si="226"/>
        <v>0</v>
      </c>
      <c r="GZ24" s="43">
        <f t="shared" si="226"/>
        <v>0</v>
      </c>
      <c r="HA24" s="43">
        <f t="shared" si="226"/>
        <v>0</v>
      </c>
      <c r="HB24" s="43">
        <f t="shared" si="226"/>
        <v>0</v>
      </c>
      <c r="HC24" s="43">
        <f t="shared" si="226"/>
        <v>0</v>
      </c>
      <c r="HD24" s="43">
        <f t="shared" si="226"/>
        <v>0</v>
      </c>
      <c r="HE24" s="767"/>
      <c r="HF24" s="43">
        <f t="shared" ref="HF24:HT26" si="227">GP24*(1+HF$9)</f>
        <v>0</v>
      </c>
      <c r="HG24" s="43">
        <f t="shared" si="227"/>
        <v>0</v>
      </c>
      <c r="HH24" s="43">
        <f t="shared" si="227"/>
        <v>0</v>
      </c>
      <c r="HI24" s="43">
        <f t="shared" si="227"/>
        <v>0</v>
      </c>
      <c r="HJ24" s="43">
        <f t="shared" si="227"/>
        <v>0</v>
      </c>
      <c r="HK24" s="43">
        <f t="shared" si="227"/>
        <v>0</v>
      </c>
      <c r="HL24" s="43">
        <f t="shared" si="227"/>
        <v>0</v>
      </c>
      <c r="HM24" s="43">
        <f t="shared" si="227"/>
        <v>0</v>
      </c>
      <c r="HN24" s="43">
        <f t="shared" si="227"/>
        <v>0</v>
      </c>
      <c r="HO24" s="43">
        <f t="shared" si="227"/>
        <v>0</v>
      </c>
      <c r="HP24" s="43">
        <f t="shared" si="227"/>
        <v>0</v>
      </c>
      <c r="HQ24" s="43">
        <f t="shared" si="227"/>
        <v>0</v>
      </c>
      <c r="HR24" s="43">
        <f t="shared" si="227"/>
        <v>0</v>
      </c>
      <c r="HS24" s="43">
        <f t="shared" si="227"/>
        <v>0</v>
      </c>
      <c r="HT24" s="43">
        <f t="shared" si="227"/>
        <v>0</v>
      </c>
      <c r="HU24" s="767"/>
      <c r="HV24" s="43">
        <f t="shared" ref="HV24:IJ26" si="228">HF24*(1+HV$9)</f>
        <v>0</v>
      </c>
      <c r="HW24" s="43">
        <f t="shared" si="228"/>
        <v>0</v>
      </c>
      <c r="HX24" s="43">
        <f t="shared" si="228"/>
        <v>0</v>
      </c>
      <c r="HY24" s="43">
        <f t="shared" si="228"/>
        <v>0</v>
      </c>
      <c r="HZ24" s="43">
        <f t="shared" si="228"/>
        <v>0</v>
      </c>
      <c r="IA24" s="43">
        <f t="shared" si="228"/>
        <v>0</v>
      </c>
      <c r="IB24" s="43">
        <f t="shared" si="228"/>
        <v>0</v>
      </c>
      <c r="IC24" s="43">
        <f t="shared" si="228"/>
        <v>0</v>
      </c>
      <c r="ID24" s="43">
        <f t="shared" si="228"/>
        <v>0</v>
      </c>
      <c r="IE24" s="43">
        <f t="shared" si="228"/>
        <v>0</v>
      </c>
      <c r="IF24" s="43">
        <f t="shared" si="228"/>
        <v>0</v>
      </c>
      <c r="IG24" s="43">
        <f t="shared" si="228"/>
        <v>0</v>
      </c>
      <c r="IH24" s="43">
        <f t="shared" si="228"/>
        <v>0</v>
      </c>
      <c r="II24" s="43">
        <f t="shared" si="228"/>
        <v>0</v>
      </c>
      <c r="IJ24" s="786">
        <f t="shared" si="228"/>
        <v>0</v>
      </c>
      <c r="IK24" s="794"/>
    </row>
    <row r="25" spans="1:245">
      <c r="A25" s="642">
        <f t="shared" si="214"/>
        <v>16</v>
      </c>
      <c r="B25" s="762" t="str">
        <f t="shared" si="15"/>
        <v>PMO Cost</v>
      </c>
      <c r="C25" s="775"/>
      <c r="D25" s="769"/>
      <c r="E25" s="52" t="str">
        <f t="shared" si="16"/>
        <v>PMO CostGovt_Sub</v>
      </c>
      <c r="F25" s="793"/>
      <c r="G25" s="43"/>
      <c r="H25" s="43"/>
      <c r="I25" s="43"/>
      <c r="J25" s="43"/>
      <c r="K25" s="43"/>
      <c r="L25" s="43"/>
      <c r="M25" s="43"/>
      <c r="N25" s="43"/>
      <c r="O25" s="43"/>
      <c r="P25" s="43"/>
      <c r="Q25" s="43"/>
      <c r="R25" s="43"/>
      <c r="S25" s="43"/>
      <c r="T25" s="43"/>
      <c r="U25" s="767"/>
      <c r="V25" s="43">
        <f t="shared" si="215"/>
        <v>0</v>
      </c>
      <c r="W25" s="43">
        <f t="shared" si="215"/>
        <v>0</v>
      </c>
      <c r="X25" s="43">
        <f t="shared" si="215"/>
        <v>0</v>
      </c>
      <c r="Y25" s="43">
        <f t="shared" si="215"/>
        <v>0</v>
      </c>
      <c r="Z25" s="43">
        <f t="shared" si="215"/>
        <v>0</v>
      </c>
      <c r="AA25" s="43">
        <f t="shared" si="215"/>
        <v>0</v>
      </c>
      <c r="AB25" s="43">
        <f t="shared" si="215"/>
        <v>0</v>
      </c>
      <c r="AC25" s="43">
        <f t="shared" si="215"/>
        <v>0</v>
      </c>
      <c r="AD25" s="43">
        <f t="shared" si="215"/>
        <v>0</v>
      </c>
      <c r="AE25" s="43">
        <f t="shared" si="215"/>
        <v>0</v>
      </c>
      <c r="AF25" s="43">
        <f t="shared" si="215"/>
        <v>0</v>
      </c>
      <c r="AG25" s="43">
        <f t="shared" si="215"/>
        <v>0</v>
      </c>
      <c r="AH25" s="43">
        <f t="shared" si="215"/>
        <v>0</v>
      </c>
      <c r="AI25" s="43">
        <f t="shared" si="215"/>
        <v>0</v>
      </c>
      <c r="AJ25" s="43">
        <f t="shared" si="215"/>
        <v>0</v>
      </c>
      <c r="AK25" s="767"/>
      <c r="AL25" s="43">
        <f t="shared" si="216"/>
        <v>0</v>
      </c>
      <c r="AM25" s="43">
        <f t="shared" si="216"/>
        <v>0</v>
      </c>
      <c r="AN25" s="43">
        <f t="shared" si="216"/>
        <v>0</v>
      </c>
      <c r="AO25" s="43">
        <f t="shared" si="216"/>
        <v>0</v>
      </c>
      <c r="AP25" s="43">
        <f t="shared" si="216"/>
        <v>0</v>
      </c>
      <c r="AQ25" s="43">
        <f t="shared" si="216"/>
        <v>0</v>
      </c>
      <c r="AR25" s="43">
        <f t="shared" si="216"/>
        <v>0</v>
      </c>
      <c r="AS25" s="43">
        <f t="shared" si="216"/>
        <v>0</v>
      </c>
      <c r="AT25" s="43">
        <f t="shared" si="216"/>
        <v>0</v>
      </c>
      <c r="AU25" s="43">
        <f t="shared" si="216"/>
        <v>0</v>
      </c>
      <c r="AV25" s="43">
        <f t="shared" si="216"/>
        <v>0</v>
      </c>
      <c r="AW25" s="43">
        <f t="shared" si="216"/>
        <v>0</v>
      </c>
      <c r="AX25" s="43">
        <f t="shared" si="216"/>
        <v>0</v>
      </c>
      <c r="AY25" s="43">
        <f t="shared" si="216"/>
        <v>0</v>
      </c>
      <c r="AZ25" s="43">
        <f t="shared" si="216"/>
        <v>0</v>
      </c>
      <c r="BA25" s="767"/>
      <c r="BB25" s="43">
        <f t="shared" si="217"/>
        <v>0</v>
      </c>
      <c r="BC25" s="43">
        <f t="shared" si="217"/>
        <v>0</v>
      </c>
      <c r="BD25" s="43">
        <f t="shared" si="217"/>
        <v>0</v>
      </c>
      <c r="BE25" s="43">
        <f t="shared" si="217"/>
        <v>0</v>
      </c>
      <c r="BF25" s="43">
        <f t="shared" si="217"/>
        <v>0</v>
      </c>
      <c r="BG25" s="43">
        <f t="shared" si="217"/>
        <v>0</v>
      </c>
      <c r="BH25" s="43">
        <f t="shared" si="217"/>
        <v>0</v>
      </c>
      <c r="BI25" s="43">
        <f t="shared" si="217"/>
        <v>0</v>
      </c>
      <c r="BJ25" s="43">
        <f t="shared" si="217"/>
        <v>0</v>
      </c>
      <c r="BK25" s="43">
        <f t="shared" si="217"/>
        <v>0</v>
      </c>
      <c r="BL25" s="43">
        <f t="shared" si="217"/>
        <v>0</v>
      </c>
      <c r="BM25" s="43">
        <f t="shared" si="217"/>
        <v>0</v>
      </c>
      <c r="BN25" s="43">
        <f t="shared" si="217"/>
        <v>0</v>
      </c>
      <c r="BO25" s="43">
        <f t="shared" si="217"/>
        <v>0</v>
      </c>
      <c r="BP25" s="43">
        <f t="shared" si="217"/>
        <v>0</v>
      </c>
      <c r="BQ25" s="767"/>
      <c r="BR25" s="43">
        <f t="shared" si="218"/>
        <v>0</v>
      </c>
      <c r="BS25" s="43">
        <f t="shared" si="218"/>
        <v>0</v>
      </c>
      <c r="BT25" s="43">
        <f t="shared" si="218"/>
        <v>0</v>
      </c>
      <c r="BU25" s="43">
        <f t="shared" si="218"/>
        <v>0</v>
      </c>
      <c r="BV25" s="43">
        <f t="shared" si="218"/>
        <v>0</v>
      </c>
      <c r="BW25" s="43">
        <f t="shared" si="218"/>
        <v>0</v>
      </c>
      <c r="BX25" s="43">
        <f t="shared" si="218"/>
        <v>0</v>
      </c>
      <c r="BY25" s="43">
        <f t="shared" si="218"/>
        <v>0</v>
      </c>
      <c r="BZ25" s="43">
        <f t="shared" si="218"/>
        <v>0</v>
      </c>
      <c r="CA25" s="43">
        <f t="shared" si="218"/>
        <v>0</v>
      </c>
      <c r="CB25" s="43">
        <f t="shared" si="218"/>
        <v>0</v>
      </c>
      <c r="CC25" s="43">
        <f t="shared" si="218"/>
        <v>0</v>
      </c>
      <c r="CD25" s="43">
        <f t="shared" si="218"/>
        <v>0</v>
      </c>
      <c r="CE25" s="43">
        <f t="shared" si="218"/>
        <v>0</v>
      </c>
      <c r="CF25" s="43">
        <f t="shared" si="218"/>
        <v>0</v>
      </c>
      <c r="CG25" s="767"/>
      <c r="CH25" s="43">
        <f t="shared" si="219"/>
        <v>0</v>
      </c>
      <c r="CI25" s="43">
        <f t="shared" si="219"/>
        <v>0</v>
      </c>
      <c r="CJ25" s="43">
        <f t="shared" si="219"/>
        <v>0</v>
      </c>
      <c r="CK25" s="43">
        <f t="shared" si="219"/>
        <v>0</v>
      </c>
      <c r="CL25" s="43">
        <f t="shared" si="219"/>
        <v>0</v>
      </c>
      <c r="CM25" s="43">
        <f t="shared" si="219"/>
        <v>0</v>
      </c>
      <c r="CN25" s="43">
        <f t="shared" si="219"/>
        <v>0</v>
      </c>
      <c r="CO25" s="43">
        <f t="shared" si="219"/>
        <v>0</v>
      </c>
      <c r="CP25" s="43">
        <f t="shared" si="219"/>
        <v>0</v>
      </c>
      <c r="CQ25" s="43">
        <f t="shared" si="219"/>
        <v>0</v>
      </c>
      <c r="CR25" s="43">
        <f t="shared" si="219"/>
        <v>0</v>
      </c>
      <c r="CS25" s="43">
        <f t="shared" si="219"/>
        <v>0</v>
      </c>
      <c r="CT25" s="43">
        <f t="shared" si="219"/>
        <v>0</v>
      </c>
      <c r="CU25" s="43">
        <f t="shared" si="219"/>
        <v>0</v>
      </c>
      <c r="CV25" s="43">
        <f t="shared" si="219"/>
        <v>0</v>
      </c>
      <c r="CW25" s="767"/>
      <c r="CX25" s="43">
        <f t="shared" si="220"/>
        <v>0</v>
      </c>
      <c r="CY25" s="43">
        <f t="shared" si="220"/>
        <v>0</v>
      </c>
      <c r="CZ25" s="43">
        <f t="shared" si="220"/>
        <v>0</v>
      </c>
      <c r="DA25" s="43">
        <f t="shared" si="220"/>
        <v>0</v>
      </c>
      <c r="DB25" s="43">
        <f t="shared" si="220"/>
        <v>0</v>
      </c>
      <c r="DC25" s="43">
        <f t="shared" si="220"/>
        <v>0</v>
      </c>
      <c r="DD25" s="43">
        <f t="shared" si="220"/>
        <v>0</v>
      </c>
      <c r="DE25" s="43">
        <f t="shared" si="220"/>
        <v>0</v>
      </c>
      <c r="DF25" s="43">
        <f t="shared" si="220"/>
        <v>0</v>
      </c>
      <c r="DG25" s="43">
        <f t="shared" si="220"/>
        <v>0</v>
      </c>
      <c r="DH25" s="43">
        <f t="shared" si="220"/>
        <v>0</v>
      </c>
      <c r="DI25" s="43">
        <f t="shared" si="220"/>
        <v>0</v>
      </c>
      <c r="DJ25" s="43">
        <f t="shared" si="220"/>
        <v>0</v>
      </c>
      <c r="DK25" s="43">
        <f t="shared" si="220"/>
        <v>0</v>
      </c>
      <c r="DL25" s="43">
        <f t="shared" si="220"/>
        <v>0</v>
      </c>
      <c r="DM25" s="767"/>
      <c r="DN25" s="43">
        <f t="shared" si="221"/>
        <v>0</v>
      </c>
      <c r="DO25" s="43">
        <f t="shared" si="221"/>
        <v>0</v>
      </c>
      <c r="DP25" s="43">
        <f t="shared" si="221"/>
        <v>0</v>
      </c>
      <c r="DQ25" s="43">
        <f t="shared" si="221"/>
        <v>0</v>
      </c>
      <c r="DR25" s="43">
        <f t="shared" si="221"/>
        <v>0</v>
      </c>
      <c r="DS25" s="43">
        <f t="shared" si="221"/>
        <v>0</v>
      </c>
      <c r="DT25" s="43">
        <f t="shared" si="221"/>
        <v>0</v>
      </c>
      <c r="DU25" s="43">
        <f t="shared" si="221"/>
        <v>0</v>
      </c>
      <c r="DV25" s="43">
        <f t="shared" si="221"/>
        <v>0</v>
      </c>
      <c r="DW25" s="43">
        <f t="shared" si="221"/>
        <v>0</v>
      </c>
      <c r="DX25" s="43">
        <f t="shared" si="221"/>
        <v>0</v>
      </c>
      <c r="DY25" s="43">
        <f t="shared" si="221"/>
        <v>0</v>
      </c>
      <c r="DZ25" s="43">
        <f t="shared" si="221"/>
        <v>0</v>
      </c>
      <c r="EA25" s="43">
        <f t="shared" si="221"/>
        <v>0</v>
      </c>
      <c r="EB25" s="43">
        <f t="shared" si="221"/>
        <v>0</v>
      </c>
      <c r="EC25" s="767"/>
      <c r="ED25" s="43">
        <f t="shared" si="222"/>
        <v>0</v>
      </c>
      <c r="EE25" s="43">
        <f t="shared" si="222"/>
        <v>0</v>
      </c>
      <c r="EF25" s="43">
        <f t="shared" si="222"/>
        <v>0</v>
      </c>
      <c r="EG25" s="43">
        <f t="shared" si="222"/>
        <v>0</v>
      </c>
      <c r="EH25" s="43">
        <f t="shared" si="222"/>
        <v>0</v>
      </c>
      <c r="EI25" s="43">
        <f t="shared" si="222"/>
        <v>0</v>
      </c>
      <c r="EJ25" s="43">
        <f t="shared" si="222"/>
        <v>0</v>
      </c>
      <c r="EK25" s="43">
        <f t="shared" si="222"/>
        <v>0</v>
      </c>
      <c r="EL25" s="43">
        <f t="shared" si="222"/>
        <v>0</v>
      </c>
      <c r="EM25" s="43">
        <f t="shared" si="222"/>
        <v>0</v>
      </c>
      <c r="EN25" s="43">
        <f t="shared" si="222"/>
        <v>0</v>
      </c>
      <c r="EO25" s="43">
        <f t="shared" si="222"/>
        <v>0</v>
      </c>
      <c r="EP25" s="43">
        <f t="shared" si="222"/>
        <v>0</v>
      </c>
      <c r="EQ25" s="43">
        <f t="shared" si="222"/>
        <v>0</v>
      </c>
      <c r="ER25" s="43">
        <f t="shared" si="222"/>
        <v>0</v>
      </c>
      <c r="ES25" s="767"/>
      <c r="ET25" s="43">
        <f t="shared" si="223"/>
        <v>0</v>
      </c>
      <c r="EU25" s="43">
        <f t="shared" si="223"/>
        <v>0</v>
      </c>
      <c r="EV25" s="43">
        <f t="shared" si="223"/>
        <v>0</v>
      </c>
      <c r="EW25" s="43">
        <f t="shared" si="223"/>
        <v>0</v>
      </c>
      <c r="EX25" s="43">
        <f t="shared" si="223"/>
        <v>0</v>
      </c>
      <c r="EY25" s="43">
        <f t="shared" si="223"/>
        <v>0</v>
      </c>
      <c r="EZ25" s="43">
        <f t="shared" si="223"/>
        <v>0</v>
      </c>
      <c r="FA25" s="43">
        <f t="shared" si="223"/>
        <v>0</v>
      </c>
      <c r="FB25" s="43">
        <f t="shared" si="223"/>
        <v>0</v>
      </c>
      <c r="FC25" s="43">
        <f t="shared" si="223"/>
        <v>0</v>
      </c>
      <c r="FD25" s="43">
        <f t="shared" si="223"/>
        <v>0</v>
      </c>
      <c r="FE25" s="43">
        <f t="shared" si="223"/>
        <v>0</v>
      </c>
      <c r="FF25" s="43">
        <f t="shared" si="223"/>
        <v>0</v>
      </c>
      <c r="FG25" s="43">
        <f t="shared" si="223"/>
        <v>0</v>
      </c>
      <c r="FH25" s="43">
        <f t="shared" si="223"/>
        <v>0</v>
      </c>
      <c r="FI25" s="767"/>
      <c r="FJ25" s="43">
        <f t="shared" si="224"/>
        <v>0</v>
      </c>
      <c r="FK25" s="43">
        <f t="shared" si="224"/>
        <v>0</v>
      </c>
      <c r="FL25" s="43">
        <f t="shared" si="224"/>
        <v>0</v>
      </c>
      <c r="FM25" s="43">
        <f t="shared" si="224"/>
        <v>0</v>
      </c>
      <c r="FN25" s="43">
        <f t="shared" si="224"/>
        <v>0</v>
      </c>
      <c r="FO25" s="43">
        <f t="shared" si="224"/>
        <v>0</v>
      </c>
      <c r="FP25" s="43">
        <f t="shared" si="224"/>
        <v>0</v>
      </c>
      <c r="FQ25" s="43">
        <f t="shared" si="224"/>
        <v>0</v>
      </c>
      <c r="FR25" s="43">
        <f t="shared" si="224"/>
        <v>0</v>
      </c>
      <c r="FS25" s="43">
        <f t="shared" si="224"/>
        <v>0</v>
      </c>
      <c r="FT25" s="43">
        <f t="shared" si="224"/>
        <v>0</v>
      </c>
      <c r="FU25" s="43">
        <f t="shared" si="224"/>
        <v>0</v>
      </c>
      <c r="FV25" s="43">
        <f t="shared" si="224"/>
        <v>0</v>
      </c>
      <c r="FW25" s="43">
        <f t="shared" si="224"/>
        <v>0</v>
      </c>
      <c r="FX25" s="43">
        <f t="shared" si="224"/>
        <v>0</v>
      </c>
      <c r="FY25" s="767"/>
      <c r="FZ25" s="43">
        <f t="shared" si="225"/>
        <v>0</v>
      </c>
      <c r="GA25" s="43">
        <f t="shared" si="225"/>
        <v>0</v>
      </c>
      <c r="GB25" s="43">
        <f t="shared" si="225"/>
        <v>0</v>
      </c>
      <c r="GC25" s="43">
        <f t="shared" si="225"/>
        <v>0</v>
      </c>
      <c r="GD25" s="43">
        <f t="shared" si="225"/>
        <v>0</v>
      </c>
      <c r="GE25" s="43">
        <f t="shared" si="225"/>
        <v>0</v>
      </c>
      <c r="GF25" s="43">
        <f t="shared" si="225"/>
        <v>0</v>
      </c>
      <c r="GG25" s="43">
        <f t="shared" si="225"/>
        <v>0</v>
      </c>
      <c r="GH25" s="43">
        <f t="shared" si="225"/>
        <v>0</v>
      </c>
      <c r="GI25" s="43">
        <f t="shared" si="225"/>
        <v>0</v>
      </c>
      <c r="GJ25" s="43">
        <f t="shared" si="225"/>
        <v>0</v>
      </c>
      <c r="GK25" s="43">
        <f t="shared" si="225"/>
        <v>0</v>
      </c>
      <c r="GL25" s="43">
        <f t="shared" si="225"/>
        <v>0</v>
      </c>
      <c r="GM25" s="43">
        <f t="shared" si="225"/>
        <v>0</v>
      </c>
      <c r="GN25" s="43">
        <f t="shared" si="225"/>
        <v>0</v>
      </c>
      <c r="GO25" s="767"/>
      <c r="GP25" s="43">
        <f t="shared" si="226"/>
        <v>0</v>
      </c>
      <c r="GQ25" s="43">
        <f t="shared" si="226"/>
        <v>0</v>
      </c>
      <c r="GR25" s="43">
        <f t="shared" si="226"/>
        <v>0</v>
      </c>
      <c r="GS25" s="43">
        <f t="shared" si="226"/>
        <v>0</v>
      </c>
      <c r="GT25" s="43">
        <f t="shared" si="226"/>
        <v>0</v>
      </c>
      <c r="GU25" s="43">
        <f t="shared" si="226"/>
        <v>0</v>
      </c>
      <c r="GV25" s="43">
        <f t="shared" si="226"/>
        <v>0</v>
      </c>
      <c r="GW25" s="43">
        <f t="shared" si="226"/>
        <v>0</v>
      </c>
      <c r="GX25" s="43">
        <f t="shared" si="226"/>
        <v>0</v>
      </c>
      <c r="GY25" s="43">
        <f t="shared" si="226"/>
        <v>0</v>
      </c>
      <c r="GZ25" s="43">
        <f t="shared" si="226"/>
        <v>0</v>
      </c>
      <c r="HA25" s="43">
        <f t="shared" si="226"/>
        <v>0</v>
      </c>
      <c r="HB25" s="43">
        <f t="shared" si="226"/>
        <v>0</v>
      </c>
      <c r="HC25" s="43">
        <f t="shared" si="226"/>
        <v>0</v>
      </c>
      <c r="HD25" s="43">
        <f t="shared" si="226"/>
        <v>0</v>
      </c>
      <c r="HE25" s="767"/>
      <c r="HF25" s="43">
        <f t="shared" si="227"/>
        <v>0</v>
      </c>
      <c r="HG25" s="43">
        <f t="shared" si="227"/>
        <v>0</v>
      </c>
      <c r="HH25" s="43">
        <f t="shared" si="227"/>
        <v>0</v>
      </c>
      <c r="HI25" s="43">
        <f t="shared" si="227"/>
        <v>0</v>
      </c>
      <c r="HJ25" s="43">
        <f t="shared" si="227"/>
        <v>0</v>
      </c>
      <c r="HK25" s="43">
        <f t="shared" si="227"/>
        <v>0</v>
      </c>
      <c r="HL25" s="43">
        <f t="shared" si="227"/>
        <v>0</v>
      </c>
      <c r="HM25" s="43">
        <f t="shared" si="227"/>
        <v>0</v>
      </c>
      <c r="HN25" s="43">
        <f t="shared" si="227"/>
        <v>0</v>
      </c>
      <c r="HO25" s="43">
        <f t="shared" si="227"/>
        <v>0</v>
      </c>
      <c r="HP25" s="43">
        <f t="shared" si="227"/>
        <v>0</v>
      </c>
      <c r="HQ25" s="43">
        <f t="shared" si="227"/>
        <v>0</v>
      </c>
      <c r="HR25" s="43">
        <f t="shared" si="227"/>
        <v>0</v>
      </c>
      <c r="HS25" s="43">
        <f t="shared" si="227"/>
        <v>0</v>
      </c>
      <c r="HT25" s="43">
        <f t="shared" si="227"/>
        <v>0</v>
      </c>
      <c r="HU25" s="767"/>
      <c r="HV25" s="43">
        <f t="shared" si="228"/>
        <v>0</v>
      </c>
      <c r="HW25" s="43">
        <f t="shared" si="228"/>
        <v>0</v>
      </c>
      <c r="HX25" s="43">
        <f t="shared" si="228"/>
        <v>0</v>
      </c>
      <c r="HY25" s="43">
        <f t="shared" si="228"/>
        <v>0</v>
      </c>
      <c r="HZ25" s="43">
        <f t="shared" si="228"/>
        <v>0</v>
      </c>
      <c r="IA25" s="43">
        <f t="shared" si="228"/>
        <v>0</v>
      </c>
      <c r="IB25" s="43">
        <f t="shared" si="228"/>
        <v>0</v>
      </c>
      <c r="IC25" s="43">
        <f t="shared" si="228"/>
        <v>0</v>
      </c>
      <c r="ID25" s="43">
        <f t="shared" si="228"/>
        <v>0</v>
      </c>
      <c r="IE25" s="43">
        <f t="shared" si="228"/>
        <v>0</v>
      </c>
      <c r="IF25" s="43">
        <f t="shared" si="228"/>
        <v>0</v>
      </c>
      <c r="IG25" s="43">
        <f t="shared" si="228"/>
        <v>0</v>
      </c>
      <c r="IH25" s="43">
        <f t="shared" si="228"/>
        <v>0</v>
      </c>
      <c r="II25" s="43">
        <f t="shared" si="228"/>
        <v>0</v>
      </c>
      <c r="IJ25" s="786">
        <f t="shared" si="228"/>
        <v>0</v>
      </c>
      <c r="IK25" s="794"/>
    </row>
    <row r="26" spans="1:245">
      <c r="A26" s="642">
        <f t="shared" si="214"/>
        <v>17</v>
      </c>
      <c r="B26" s="762" t="str">
        <f t="shared" si="15"/>
        <v>Project Controller Cost</v>
      </c>
      <c r="C26" s="775"/>
      <c r="D26" s="769"/>
      <c r="E26" s="52" t="str">
        <f t="shared" si="16"/>
        <v>Project Controller CostGovt_Sub</v>
      </c>
      <c r="F26" s="793"/>
      <c r="G26" s="43"/>
      <c r="H26" s="1162">
        <v>139.63999999999999</v>
      </c>
      <c r="I26" s="43"/>
      <c r="J26" s="43"/>
      <c r="K26" s="43"/>
      <c r="L26" s="43"/>
      <c r="M26" s="43"/>
      <c r="N26" s="43"/>
      <c r="O26" s="43"/>
      <c r="P26" s="43"/>
      <c r="Q26" s="43"/>
      <c r="R26" s="43"/>
      <c r="S26" s="43"/>
      <c r="T26" s="43"/>
      <c r="U26" s="767"/>
      <c r="V26" s="43">
        <f>F26*(1+V$9)</f>
        <v>0</v>
      </c>
      <c r="W26" s="43">
        <f>G26*(1+W$9)</f>
        <v>0</v>
      </c>
      <c r="X26" s="43">
        <f>H26*1.03</f>
        <v>143.82919999999999</v>
      </c>
      <c r="Y26" s="43">
        <f t="shared" ref="Y26:AJ26" si="229">I26*(1+Y$9)</f>
        <v>0</v>
      </c>
      <c r="Z26" s="43">
        <f t="shared" si="229"/>
        <v>0</v>
      </c>
      <c r="AA26" s="43">
        <f t="shared" si="229"/>
        <v>0</v>
      </c>
      <c r="AB26" s="43">
        <f t="shared" si="229"/>
        <v>0</v>
      </c>
      <c r="AC26" s="43">
        <f t="shared" si="229"/>
        <v>0</v>
      </c>
      <c r="AD26" s="43">
        <f t="shared" si="229"/>
        <v>0</v>
      </c>
      <c r="AE26" s="43">
        <f t="shared" si="229"/>
        <v>0</v>
      </c>
      <c r="AF26" s="43">
        <f t="shared" si="229"/>
        <v>0</v>
      </c>
      <c r="AG26" s="43">
        <f t="shared" si="229"/>
        <v>0</v>
      </c>
      <c r="AH26" s="43">
        <f t="shared" si="229"/>
        <v>0</v>
      </c>
      <c r="AI26" s="43">
        <f t="shared" si="229"/>
        <v>0</v>
      </c>
      <c r="AJ26" s="43">
        <f t="shared" si="229"/>
        <v>0</v>
      </c>
      <c r="AK26" s="767"/>
      <c r="AL26" s="43">
        <f>V26*(1+AL$9)</f>
        <v>0</v>
      </c>
      <c r="AM26" s="43">
        <f>W26*(1+AM$9)</f>
        <v>0</v>
      </c>
      <c r="AN26" s="43">
        <f>X26*1.03</f>
        <v>148.14407599999998</v>
      </c>
      <c r="AO26" s="43">
        <f t="shared" ref="AO26:AZ26" si="230">Y26*(1+AO$9)</f>
        <v>0</v>
      </c>
      <c r="AP26" s="43">
        <f t="shared" si="230"/>
        <v>0</v>
      </c>
      <c r="AQ26" s="43">
        <f t="shared" si="230"/>
        <v>0</v>
      </c>
      <c r="AR26" s="43">
        <f t="shared" si="230"/>
        <v>0</v>
      </c>
      <c r="AS26" s="43">
        <f t="shared" si="230"/>
        <v>0</v>
      </c>
      <c r="AT26" s="43">
        <f t="shared" si="230"/>
        <v>0</v>
      </c>
      <c r="AU26" s="43">
        <f t="shared" si="230"/>
        <v>0</v>
      </c>
      <c r="AV26" s="43">
        <f t="shared" si="230"/>
        <v>0</v>
      </c>
      <c r="AW26" s="43">
        <f t="shared" si="230"/>
        <v>0</v>
      </c>
      <c r="AX26" s="43">
        <f t="shared" si="230"/>
        <v>0</v>
      </c>
      <c r="AY26" s="43">
        <f t="shared" si="230"/>
        <v>0</v>
      </c>
      <c r="AZ26" s="43">
        <f t="shared" si="230"/>
        <v>0</v>
      </c>
      <c r="BA26" s="767"/>
      <c r="BB26" s="43">
        <f>AL26*(1+BB$9)</f>
        <v>0</v>
      </c>
      <c r="BC26" s="43">
        <f>AM26*(1+BC$9)</f>
        <v>0</v>
      </c>
      <c r="BD26" s="43">
        <f>+AN26</f>
        <v>148.14407599999998</v>
      </c>
      <c r="BE26" s="43">
        <f t="shared" ref="BE26:BP26" si="231">AO26*(1+BE$9)</f>
        <v>0</v>
      </c>
      <c r="BF26" s="43">
        <f t="shared" si="231"/>
        <v>0</v>
      </c>
      <c r="BG26" s="43">
        <f t="shared" si="231"/>
        <v>0</v>
      </c>
      <c r="BH26" s="43">
        <f t="shared" si="231"/>
        <v>0</v>
      </c>
      <c r="BI26" s="43">
        <f t="shared" si="231"/>
        <v>0</v>
      </c>
      <c r="BJ26" s="43">
        <f t="shared" si="231"/>
        <v>0</v>
      </c>
      <c r="BK26" s="43">
        <f t="shared" si="231"/>
        <v>0</v>
      </c>
      <c r="BL26" s="43">
        <f t="shared" si="231"/>
        <v>0</v>
      </c>
      <c r="BM26" s="43">
        <f t="shared" si="231"/>
        <v>0</v>
      </c>
      <c r="BN26" s="43">
        <f t="shared" si="231"/>
        <v>0</v>
      </c>
      <c r="BO26" s="43">
        <f t="shared" si="231"/>
        <v>0</v>
      </c>
      <c r="BP26" s="43">
        <f t="shared" si="231"/>
        <v>0</v>
      </c>
      <c r="BQ26" s="767"/>
      <c r="BR26" s="43">
        <f>BB26*(1+BR$9)</f>
        <v>0</v>
      </c>
      <c r="BS26" s="43">
        <f>BC26*(1+BS$9)</f>
        <v>0</v>
      </c>
      <c r="BT26" s="43">
        <f>+BD26</f>
        <v>148.14407599999998</v>
      </c>
      <c r="BU26" s="43">
        <f t="shared" ref="BU26:CF26" si="232">BE26*(1+BU$9)</f>
        <v>0</v>
      </c>
      <c r="BV26" s="43">
        <f t="shared" si="232"/>
        <v>0</v>
      </c>
      <c r="BW26" s="43">
        <f t="shared" si="232"/>
        <v>0</v>
      </c>
      <c r="BX26" s="43">
        <f t="shared" si="232"/>
        <v>0</v>
      </c>
      <c r="BY26" s="43">
        <f t="shared" si="232"/>
        <v>0</v>
      </c>
      <c r="BZ26" s="43">
        <f t="shared" si="232"/>
        <v>0</v>
      </c>
      <c r="CA26" s="43">
        <f t="shared" si="232"/>
        <v>0</v>
      </c>
      <c r="CB26" s="43">
        <f t="shared" si="232"/>
        <v>0</v>
      </c>
      <c r="CC26" s="43">
        <f t="shared" si="232"/>
        <v>0</v>
      </c>
      <c r="CD26" s="43">
        <f t="shared" si="232"/>
        <v>0</v>
      </c>
      <c r="CE26" s="43">
        <f t="shared" si="232"/>
        <v>0</v>
      </c>
      <c r="CF26" s="43">
        <f t="shared" si="232"/>
        <v>0</v>
      </c>
      <c r="CG26" s="767"/>
      <c r="CH26" s="43">
        <f t="shared" si="219"/>
        <v>0</v>
      </c>
      <c r="CI26" s="43">
        <f t="shared" si="219"/>
        <v>0</v>
      </c>
      <c r="CJ26" s="43">
        <f t="shared" si="219"/>
        <v>148.14407599999998</v>
      </c>
      <c r="CK26" s="43">
        <f t="shared" si="219"/>
        <v>0</v>
      </c>
      <c r="CL26" s="43">
        <f t="shared" si="219"/>
        <v>0</v>
      </c>
      <c r="CM26" s="43">
        <f t="shared" si="219"/>
        <v>0</v>
      </c>
      <c r="CN26" s="43">
        <f t="shared" si="219"/>
        <v>0</v>
      </c>
      <c r="CO26" s="43">
        <f t="shared" si="219"/>
        <v>0</v>
      </c>
      <c r="CP26" s="43">
        <f t="shared" si="219"/>
        <v>0</v>
      </c>
      <c r="CQ26" s="43">
        <f t="shared" si="219"/>
        <v>0</v>
      </c>
      <c r="CR26" s="43">
        <f t="shared" si="219"/>
        <v>0</v>
      </c>
      <c r="CS26" s="43">
        <f t="shared" si="219"/>
        <v>0</v>
      </c>
      <c r="CT26" s="43">
        <f t="shared" si="219"/>
        <v>0</v>
      </c>
      <c r="CU26" s="43">
        <f t="shared" si="219"/>
        <v>0</v>
      </c>
      <c r="CV26" s="43">
        <f t="shared" si="219"/>
        <v>0</v>
      </c>
      <c r="CW26" s="767"/>
      <c r="CX26" s="43">
        <f t="shared" si="220"/>
        <v>0</v>
      </c>
      <c r="CY26" s="43">
        <f t="shared" si="220"/>
        <v>0</v>
      </c>
      <c r="CZ26" s="43">
        <f t="shared" si="220"/>
        <v>148.14407599999998</v>
      </c>
      <c r="DA26" s="43">
        <f t="shared" si="220"/>
        <v>0</v>
      </c>
      <c r="DB26" s="43">
        <f t="shared" si="220"/>
        <v>0</v>
      </c>
      <c r="DC26" s="43">
        <f t="shared" si="220"/>
        <v>0</v>
      </c>
      <c r="DD26" s="43">
        <f t="shared" si="220"/>
        <v>0</v>
      </c>
      <c r="DE26" s="43">
        <f t="shared" si="220"/>
        <v>0</v>
      </c>
      <c r="DF26" s="43">
        <f t="shared" si="220"/>
        <v>0</v>
      </c>
      <c r="DG26" s="43">
        <f t="shared" si="220"/>
        <v>0</v>
      </c>
      <c r="DH26" s="43">
        <f t="shared" si="220"/>
        <v>0</v>
      </c>
      <c r="DI26" s="43">
        <f t="shared" si="220"/>
        <v>0</v>
      </c>
      <c r="DJ26" s="43">
        <f t="shared" si="220"/>
        <v>0</v>
      </c>
      <c r="DK26" s="43">
        <f t="shared" si="220"/>
        <v>0</v>
      </c>
      <c r="DL26" s="43">
        <f t="shared" si="220"/>
        <v>0</v>
      </c>
      <c r="DM26" s="767"/>
      <c r="DN26" s="43">
        <f t="shared" si="221"/>
        <v>0</v>
      </c>
      <c r="DO26" s="43">
        <f t="shared" si="221"/>
        <v>0</v>
      </c>
      <c r="DP26" s="43">
        <f t="shared" si="221"/>
        <v>148.14407599999998</v>
      </c>
      <c r="DQ26" s="43">
        <f t="shared" si="221"/>
        <v>0</v>
      </c>
      <c r="DR26" s="43">
        <f t="shared" si="221"/>
        <v>0</v>
      </c>
      <c r="DS26" s="43">
        <f t="shared" si="221"/>
        <v>0</v>
      </c>
      <c r="DT26" s="43">
        <f t="shared" si="221"/>
        <v>0</v>
      </c>
      <c r="DU26" s="43">
        <f t="shared" si="221"/>
        <v>0</v>
      </c>
      <c r="DV26" s="43">
        <f t="shared" si="221"/>
        <v>0</v>
      </c>
      <c r="DW26" s="43">
        <f t="shared" si="221"/>
        <v>0</v>
      </c>
      <c r="DX26" s="43">
        <f t="shared" si="221"/>
        <v>0</v>
      </c>
      <c r="DY26" s="43">
        <f t="shared" si="221"/>
        <v>0</v>
      </c>
      <c r="DZ26" s="43">
        <f t="shared" si="221"/>
        <v>0</v>
      </c>
      <c r="EA26" s="43">
        <f t="shared" si="221"/>
        <v>0</v>
      </c>
      <c r="EB26" s="43">
        <f t="shared" si="221"/>
        <v>0</v>
      </c>
      <c r="EC26" s="767"/>
      <c r="ED26" s="43">
        <f t="shared" si="222"/>
        <v>0</v>
      </c>
      <c r="EE26" s="43">
        <f t="shared" si="222"/>
        <v>0</v>
      </c>
      <c r="EF26" s="43">
        <f t="shared" si="222"/>
        <v>148.14407599999998</v>
      </c>
      <c r="EG26" s="43">
        <f t="shared" si="222"/>
        <v>0</v>
      </c>
      <c r="EH26" s="43">
        <f t="shared" si="222"/>
        <v>0</v>
      </c>
      <c r="EI26" s="43">
        <f t="shared" si="222"/>
        <v>0</v>
      </c>
      <c r="EJ26" s="43">
        <f t="shared" si="222"/>
        <v>0</v>
      </c>
      <c r="EK26" s="43">
        <f t="shared" si="222"/>
        <v>0</v>
      </c>
      <c r="EL26" s="43">
        <f t="shared" si="222"/>
        <v>0</v>
      </c>
      <c r="EM26" s="43">
        <f t="shared" si="222"/>
        <v>0</v>
      </c>
      <c r="EN26" s="43">
        <f t="shared" si="222"/>
        <v>0</v>
      </c>
      <c r="EO26" s="43">
        <f t="shared" si="222"/>
        <v>0</v>
      </c>
      <c r="EP26" s="43">
        <f t="shared" si="222"/>
        <v>0</v>
      </c>
      <c r="EQ26" s="43">
        <f t="shared" si="222"/>
        <v>0</v>
      </c>
      <c r="ER26" s="43">
        <f t="shared" si="222"/>
        <v>0</v>
      </c>
      <c r="ES26" s="767"/>
      <c r="ET26" s="43">
        <f t="shared" si="223"/>
        <v>0</v>
      </c>
      <c r="EU26" s="43">
        <f t="shared" si="223"/>
        <v>0</v>
      </c>
      <c r="EV26" s="43">
        <f t="shared" si="223"/>
        <v>148.14407599999998</v>
      </c>
      <c r="EW26" s="43">
        <f t="shared" si="223"/>
        <v>0</v>
      </c>
      <c r="EX26" s="43">
        <f t="shared" si="223"/>
        <v>0</v>
      </c>
      <c r="EY26" s="43">
        <f t="shared" si="223"/>
        <v>0</v>
      </c>
      <c r="EZ26" s="43">
        <f t="shared" si="223"/>
        <v>0</v>
      </c>
      <c r="FA26" s="43">
        <f t="shared" si="223"/>
        <v>0</v>
      </c>
      <c r="FB26" s="43">
        <f t="shared" si="223"/>
        <v>0</v>
      </c>
      <c r="FC26" s="43">
        <f t="shared" si="223"/>
        <v>0</v>
      </c>
      <c r="FD26" s="43">
        <f t="shared" si="223"/>
        <v>0</v>
      </c>
      <c r="FE26" s="43">
        <f t="shared" si="223"/>
        <v>0</v>
      </c>
      <c r="FF26" s="43">
        <f t="shared" si="223"/>
        <v>0</v>
      </c>
      <c r="FG26" s="43">
        <f t="shared" si="223"/>
        <v>0</v>
      </c>
      <c r="FH26" s="43">
        <f t="shared" si="223"/>
        <v>0</v>
      </c>
      <c r="FI26" s="767"/>
      <c r="FJ26" s="43">
        <f t="shared" si="224"/>
        <v>0</v>
      </c>
      <c r="FK26" s="43">
        <f t="shared" si="224"/>
        <v>0</v>
      </c>
      <c r="FL26" s="43">
        <f t="shared" si="224"/>
        <v>148.14407599999998</v>
      </c>
      <c r="FM26" s="43">
        <f t="shared" si="224"/>
        <v>0</v>
      </c>
      <c r="FN26" s="43">
        <f t="shared" si="224"/>
        <v>0</v>
      </c>
      <c r="FO26" s="43">
        <f t="shared" si="224"/>
        <v>0</v>
      </c>
      <c r="FP26" s="43">
        <f t="shared" si="224"/>
        <v>0</v>
      </c>
      <c r="FQ26" s="43">
        <f t="shared" si="224"/>
        <v>0</v>
      </c>
      <c r="FR26" s="43">
        <f t="shared" si="224"/>
        <v>0</v>
      </c>
      <c r="FS26" s="43">
        <f t="shared" si="224"/>
        <v>0</v>
      </c>
      <c r="FT26" s="43">
        <f t="shared" si="224"/>
        <v>0</v>
      </c>
      <c r="FU26" s="43">
        <f t="shared" si="224"/>
        <v>0</v>
      </c>
      <c r="FV26" s="43">
        <f t="shared" si="224"/>
        <v>0</v>
      </c>
      <c r="FW26" s="43">
        <f t="shared" si="224"/>
        <v>0</v>
      </c>
      <c r="FX26" s="43">
        <f t="shared" si="224"/>
        <v>0</v>
      </c>
      <c r="FY26" s="767"/>
      <c r="FZ26" s="43">
        <f t="shared" si="225"/>
        <v>0</v>
      </c>
      <c r="GA26" s="43">
        <f t="shared" si="225"/>
        <v>0</v>
      </c>
      <c r="GB26" s="43">
        <f t="shared" si="225"/>
        <v>148.14407599999998</v>
      </c>
      <c r="GC26" s="43">
        <f t="shared" si="225"/>
        <v>0</v>
      </c>
      <c r="GD26" s="43">
        <f t="shared" si="225"/>
        <v>0</v>
      </c>
      <c r="GE26" s="43">
        <f t="shared" si="225"/>
        <v>0</v>
      </c>
      <c r="GF26" s="43">
        <f t="shared" si="225"/>
        <v>0</v>
      </c>
      <c r="GG26" s="43">
        <f t="shared" si="225"/>
        <v>0</v>
      </c>
      <c r="GH26" s="43">
        <f t="shared" si="225"/>
        <v>0</v>
      </c>
      <c r="GI26" s="43">
        <f t="shared" si="225"/>
        <v>0</v>
      </c>
      <c r="GJ26" s="43">
        <f t="shared" si="225"/>
        <v>0</v>
      </c>
      <c r="GK26" s="43">
        <f t="shared" si="225"/>
        <v>0</v>
      </c>
      <c r="GL26" s="43">
        <f t="shared" si="225"/>
        <v>0</v>
      </c>
      <c r="GM26" s="43">
        <f t="shared" si="225"/>
        <v>0</v>
      </c>
      <c r="GN26" s="43">
        <f t="shared" si="225"/>
        <v>0</v>
      </c>
      <c r="GO26" s="767"/>
      <c r="GP26" s="43">
        <f t="shared" si="226"/>
        <v>0</v>
      </c>
      <c r="GQ26" s="43">
        <f t="shared" si="226"/>
        <v>0</v>
      </c>
      <c r="GR26" s="43">
        <f t="shared" si="226"/>
        <v>148.14407599999998</v>
      </c>
      <c r="GS26" s="43">
        <f t="shared" si="226"/>
        <v>0</v>
      </c>
      <c r="GT26" s="43">
        <f t="shared" si="226"/>
        <v>0</v>
      </c>
      <c r="GU26" s="43">
        <f t="shared" si="226"/>
        <v>0</v>
      </c>
      <c r="GV26" s="43">
        <f t="shared" si="226"/>
        <v>0</v>
      </c>
      <c r="GW26" s="43">
        <f t="shared" si="226"/>
        <v>0</v>
      </c>
      <c r="GX26" s="43">
        <f t="shared" si="226"/>
        <v>0</v>
      </c>
      <c r="GY26" s="43">
        <f t="shared" si="226"/>
        <v>0</v>
      </c>
      <c r="GZ26" s="43">
        <f t="shared" si="226"/>
        <v>0</v>
      </c>
      <c r="HA26" s="43">
        <f t="shared" si="226"/>
        <v>0</v>
      </c>
      <c r="HB26" s="43">
        <f t="shared" si="226"/>
        <v>0</v>
      </c>
      <c r="HC26" s="43">
        <f t="shared" si="226"/>
        <v>0</v>
      </c>
      <c r="HD26" s="43">
        <f t="shared" si="226"/>
        <v>0</v>
      </c>
      <c r="HE26" s="767"/>
      <c r="HF26" s="43">
        <f t="shared" si="227"/>
        <v>0</v>
      </c>
      <c r="HG26" s="43">
        <f t="shared" si="227"/>
        <v>0</v>
      </c>
      <c r="HH26" s="43">
        <f t="shared" si="227"/>
        <v>148.14407599999998</v>
      </c>
      <c r="HI26" s="43">
        <f t="shared" si="227"/>
        <v>0</v>
      </c>
      <c r="HJ26" s="43">
        <f t="shared" si="227"/>
        <v>0</v>
      </c>
      <c r="HK26" s="43">
        <f t="shared" si="227"/>
        <v>0</v>
      </c>
      <c r="HL26" s="43">
        <f t="shared" si="227"/>
        <v>0</v>
      </c>
      <c r="HM26" s="43">
        <f t="shared" si="227"/>
        <v>0</v>
      </c>
      <c r="HN26" s="43">
        <f t="shared" si="227"/>
        <v>0</v>
      </c>
      <c r="HO26" s="43">
        <f t="shared" si="227"/>
        <v>0</v>
      </c>
      <c r="HP26" s="43">
        <f t="shared" si="227"/>
        <v>0</v>
      </c>
      <c r="HQ26" s="43">
        <f t="shared" si="227"/>
        <v>0</v>
      </c>
      <c r="HR26" s="43">
        <f t="shared" si="227"/>
        <v>0</v>
      </c>
      <c r="HS26" s="43">
        <f t="shared" si="227"/>
        <v>0</v>
      </c>
      <c r="HT26" s="43">
        <f t="shared" si="227"/>
        <v>0</v>
      </c>
      <c r="HU26" s="767"/>
      <c r="HV26" s="43">
        <f t="shared" si="228"/>
        <v>0</v>
      </c>
      <c r="HW26" s="43">
        <f t="shared" si="228"/>
        <v>0</v>
      </c>
      <c r="HX26" s="43">
        <f t="shared" si="228"/>
        <v>148.14407599999998</v>
      </c>
      <c r="HY26" s="43">
        <f t="shared" si="228"/>
        <v>0</v>
      </c>
      <c r="HZ26" s="43">
        <f t="shared" si="228"/>
        <v>0</v>
      </c>
      <c r="IA26" s="43">
        <f t="shared" si="228"/>
        <v>0</v>
      </c>
      <c r="IB26" s="43">
        <f t="shared" si="228"/>
        <v>0</v>
      </c>
      <c r="IC26" s="43">
        <f t="shared" si="228"/>
        <v>0</v>
      </c>
      <c r="ID26" s="43">
        <f t="shared" si="228"/>
        <v>0</v>
      </c>
      <c r="IE26" s="43">
        <f t="shared" si="228"/>
        <v>0</v>
      </c>
      <c r="IF26" s="43">
        <f t="shared" si="228"/>
        <v>0</v>
      </c>
      <c r="IG26" s="43">
        <f t="shared" si="228"/>
        <v>0</v>
      </c>
      <c r="IH26" s="43">
        <f t="shared" si="228"/>
        <v>0</v>
      </c>
      <c r="II26" s="43">
        <f t="shared" si="228"/>
        <v>0</v>
      </c>
      <c r="IJ26" s="786">
        <f t="shared" si="228"/>
        <v>0</v>
      </c>
      <c r="IK26" s="794"/>
    </row>
    <row r="27" spans="1:245">
      <c r="A27" s="647"/>
      <c r="B27" s="763"/>
      <c r="C27" s="776"/>
      <c r="D27" s="763"/>
      <c r="E27" s="770"/>
      <c r="F27" s="794"/>
      <c r="G27" s="767"/>
      <c r="H27" s="767"/>
      <c r="I27" s="767"/>
      <c r="J27" s="767"/>
      <c r="K27" s="767"/>
      <c r="L27" s="767"/>
      <c r="M27" s="767"/>
      <c r="N27" s="767"/>
      <c r="O27" s="767"/>
      <c r="P27" s="767"/>
      <c r="Q27" s="767"/>
      <c r="R27" s="767"/>
      <c r="S27" s="767"/>
      <c r="T27" s="767"/>
      <c r="U27" s="767"/>
      <c r="V27" s="767"/>
      <c r="W27" s="767"/>
      <c r="X27" s="767"/>
      <c r="Y27" s="767"/>
      <c r="Z27" s="767"/>
      <c r="AA27" s="767"/>
      <c r="AB27" s="767"/>
      <c r="AC27" s="767"/>
      <c r="AD27" s="767"/>
      <c r="AE27" s="767"/>
      <c r="AF27" s="767"/>
      <c r="AG27" s="767"/>
      <c r="AH27" s="767"/>
      <c r="AI27" s="767"/>
      <c r="AJ27" s="767"/>
      <c r="AK27" s="767"/>
      <c r="AL27" s="767"/>
      <c r="AM27" s="767"/>
      <c r="AN27" s="767"/>
      <c r="AO27" s="767"/>
      <c r="AP27" s="767"/>
      <c r="AQ27" s="767"/>
      <c r="AR27" s="767"/>
      <c r="AS27" s="767"/>
      <c r="AT27" s="767"/>
      <c r="AU27" s="767"/>
      <c r="AV27" s="767"/>
      <c r="AW27" s="767"/>
      <c r="AX27" s="767"/>
      <c r="AY27" s="767"/>
      <c r="AZ27" s="767"/>
      <c r="BA27" s="767"/>
      <c r="BB27" s="767"/>
      <c r="BC27" s="767"/>
      <c r="BD27" s="767"/>
      <c r="BE27" s="767"/>
      <c r="BF27" s="767"/>
      <c r="BG27" s="767"/>
      <c r="BH27" s="767"/>
      <c r="BI27" s="767"/>
      <c r="BJ27" s="767"/>
      <c r="BK27" s="767"/>
      <c r="BL27" s="767"/>
      <c r="BM27" s="767"/>
      <c r="BN27" s="767"/>
      <c r="BO27" s="767"/>
      <c r="BP27" s="767"/>
      <c r="BQ27" s="767"/>
      <c r="BR27" s="767"/>
      <c r="BS27" s="767"/>
      <c r="BT27" s="767"/>
      <c r="BU27" s="767"/>
      <c r="BV27" s="767"/>
      <c r="BW27" s="767"/>
      <c r="BX27" s="767"/>
      <c r="BY27" s="767"/>
      <c r="BZ27" s="767"/>
      <c r="CA27" s="767"/>
      <c r="CB27" s="767"/>
      <c r="CC27" s="767"/>
      <c r="CD27" s="767"/>
      <c r="CE27" s="767"/>
      <c r="CF27" s="767"/>
      <c r="CG27" s="767"/>
      <c r="CH27" s="767"/>
      <c r="CI27" s="767"/>
      <c r="CJ27" s="767"/>
      <c r="CK27" s="767"/>
      <c r="CL27" s="767"/>
      <c r="CM27" s="767"/>
      <c r="CN27" s="767"/>
      <c r="CO27" s="767"/>
      <c r="CP27" s="767"/>
      <c r="CQ27" s="767"/>
      <c r="CR27" s="767"/>
      <c r="CS27" s="767"/>
      <c r="CT27" s="767"/>
      <c r="CU27" s="767"/>
      <c r="CV27" s="767"/>
      <c r="CW27" s="767"/>
      <c r="CX27" s="767"/>
      <c r="CY27" s="767"/>
      <c r="CZ27" s="767"/>
      <c r="DA27" s="767"/>
      <c r="DB27" s="767"/>
      <c r="DC27" s="767"/>
      <c r="DD27" s="767"/>
      <c r="DE27" s="767"/>
      <c r="DF27" s="767"/>
      <c r="DG27" s="767"/>
      <c r="DH27" s="767"/>
      <c r="DI27" s="767"/>
      <c r="DJ27" s="767"/>
      <c r="DK27" s="767"/>
      <c r="DL27" s="767"/>
      <c r="DM27" s="767"/>
      <c r="DN27" s="767"/>
      <c r="DO27" s="767"/>
      <c r="DP27" s="767"/>
      <c r="DQ27" s="767"/>
      <c r="DR27" s="767"/>
      <c r="DS27" s="767"/>
      <c r="DT27" s="767"/>
      <c r="DU27" s="767"/>
      <c r="DV27" s="767"/>
      <c r="DW27" s="767"/>
      <c r="DX27" s="767"/>
      <c r="DY27" s="767"/>
      <c r="DZ27" s="767"/>
      <c r="EA27" s="767"/>
      <c r="EB27" s="767"/>
      <c r="EC27" s="767"/>
      <c r="ED27" s="767"/>
      <c r="EE27" s="767"/>
      <c r="EF27" s="767"/>
      <c r="EG27" s="767"/>
      <c r="EH27" s="767"/>
      <c r="EI27" s="767"/>
      <c r="EJ27" s="767"/>
      <c r="EK27" s="767"/>
      <c r="EL27" s="767"/>
      <c r="EM27" s="767"/>
      <c r="EN27" s="767"/>
      <c r="EO27" s="767"/>
      <c r="EP27" s="767"/>
      <c r="EQ27" s="767"/>
      <c r="ER27" s="767"/>
      <c r="ES27" s="767"/>
      <c r="ET27" s="767"/>
      <c r="EU27" s="767"/>
      <c r="EV27" s="767"/>
      <c r="EW27" s="767"/>
      <c r="EX27" s="767"/>
      <c r="EY27" s="767"/>
      <c r="EZ27" s="767"/>
      <c r="FA27" s="767"/>
      <c r="FB27" s="767"/>
      <c r="FC27" s="767"/>
      <c r="FD27" s="767"/>
      <c r="FE27" s="767"/>
      <c r="FF27" s="767"/>
      <c r="FG27" s="767"/>
      <c r="FH27" s="767"/>
      <c r="FI27" s="767"/>
      <c r="FJ27" s="767"/>
      <c r="FK27" s="767"/>
      <c r="FL27" s="767"/>
      <c r="FM27" s="767"/>
      <c r="FN27" s="767"/>
      <c r="FO27" s="767"/>
      <c r="FP27" s="767"/>
      <c r="FQ27" s="767"/>
      <c r="FR27" s="767"/>
      <c r="FS27" s="767"/>
      <c r="FT27" s="767"/>
      <c r="FU27" s="767"/>
      <c r="FV27" s="767"/>
      <c r="FW27" s="767"/>
      <c r="FX27" s="767"/>
      <c r="FY27" s="767"/>
      <c r="FZ27" s="767"/>
      <c r="GA27" s="767"/>
      <c r="GB27" s="767"/>
      <c r="GC27" s="767"/>
      <c r="GD27" s="767"/>
      <c r="GE27" s="767"/>
      <c r="GF27" s="767"/>
      <c r="GG27" s="767"/>
      <c r="GH27" s="767"/>
      <c r="GI27" s="767"/>
      <c r="GJ27" s="767"/>
      <c r="GK27" s="767"/>
      <c r="GL27" s="767"/>
      <c r="GM27" s="767"/>
      <c r="GN27" s="767"/>
      <c r="GO27" s="767"/>
      <c r="GP27" s="767"/>
      <c r="GQ27" s="767"/>
      <c r="GR27" s="767"/>
      <c r="GS27" s="767"/>
      <c r="GT27" s="767"/>
      <c r="GU27" s="767"/>
      <c r="GV27" s="767"/>
      <c r="GW27" s="767"/>
      <c r="GX27" s="767"/>
      <c r="GY27" s="767"/>
      <c r="GZ27" s="767"/>
      <c r="HA27" s="767"/>
      <c r="HB27" s="767"/>
      <c r="HC27" s="767"/>
      <c r="HD27" s="767"/>
      <c r="HE27" s="767"/>
      <c r="HF27" s="767"/>
      <c r="HG27" s="767"/>
      <c r="HH27" s="767"/>
      <c r="HI27" s="767"/>
      <c r="HJ27" s="767"/>
      <c r="HK27" s="767"/>
      <c r="HL27" s="767"/>
      <c r="HM27" s="767"/>
      <c r="HN27" s="767"/>
      <c r="HO27" s="767"/>
      <c r="HP27" s="767"/>
      <c r="HQ27" s="767"/>
      <c r="HR27" s="767"/>
      <c r="HS27" s="767"/>
      <c r="HT27" s="767"/>
      <c r="HU27" s="767"/>
      <c r="HV27" s="767"/>
      <c r="HW27" s="767"/>
      <c r="HX27" s="767"/>
      <c r="HY27" s="767"/>
      <c r="HZ27" s="767"/>
      <c r="IA27" s="767"/>
      <c r="IB27" s="767"/>
      <c r="IC27" s="767"/>
      <c r="ID27" s="767"/>
      <c r="IE27" s="767"/>
      <c r="IF27" s="767"/>
      <c r="IG27" s="767"/>
      <c r="IH27" s="767"/>
      <c r="II27" s="767"/>
      <c r="IJ27" s="768"/>
      <c r="IK27" s="794"/>
    </row>
    <row r="28" spans="1:245" s="740" customFormat="1" hidden="1">
      <c r="A28" s="647"/>
      <c r="B28" s="763"/>
      <c r="C28" s="776"/>
      <c r="D28" s="763"/>
      <c r="E28" s="770"/>
      <c r="F28" s="795" t="str">
        <f t="shared" ref="F28:T28" si="233">F7</f>
        <v>Segovia, Inc.</v>
      </c>
      <c r="G28" s="745" t="str">
        <f t="shared" si="233"/>
        <v>Briggs and Sons</v>
      </c>
      <c r="H28" s="745" t="str">
        <f t="shared" si="233"/>
        <v>Yvan</v>
      </c>
      <c r="I28" s="745" t="str">
        <f t="shared" si="233"/>
        <v>Sub 4</v>
      </c>
      <c r="J28" s="745" t="str">
        <f t="shared" si="233"/>
        <v>Sub 5</v>
      </c>
      <c r="K28" s="745" t="str">
        <f t="shared" si="233"/>
        <v>Sub 6</v>
      </c>
      <c r="L28" s="745" t="str">
        <f t="shared" si="233"/>
        <v>Sub 7</v>
      </c>
      <c r="M28" s="745" t="str">
        <f t="shared" si="233"/>
        <v>Sub 8</v>
      </c>
      <c r="N28" s="745" t="str">
        <f t="shared" si="233"/>
        <v>Sub 9</v>
      </c>
      <c r="O28" s="745" t="str">
        <f t="shared" si="233"/>
        <v>Sub 10</v>
      </c>
      <c r="P28" s="745" t="str">
        <f t="shared" si="233"/>
        <v>Sub 11</v>
      </c>
      <c r="Q28" s="745" t="str">
        <f t="shared" si="233"/>
        <v>Sub 12</v>
      </c>
      <c r="R28" s="745" t="str">
        <f t="shared" si="233"/>
        <v>Sub 13</v>
      </c>
      <c r="S28" s="745" t="str">
        <f t="shared" si="233"/>
        <v>Sub 14</v>
      </c>
      <c r="T28" s="745" t="str">
        <f t="shared" si="233"/>
        <v>Sub 15</v>
      </c>
      <c r="U28" s="771"/>
      <c r="V28" s="745" t="str">
        <f t="shared" ref="V28:AJ28" si="234">V7</f>
        <v>Segovia, Inc.</v>
      </c>
      <c r="W28" s="745" t="str">
        <f t="shared" si="234"/>
        <v>Briggs and Sons</v>
      </c>
      <c r="X28" s="745" t="str">
        <f t="shared" si="234"/>
        <v>Yvan</v>
      </c>
      <c r="Y28" s="745" t="str">
        <f t="shared" si="234"/>
        <v>Sub 4</v>
      </c>
      <c r="Z28" s="745" t="str">
        <f t="shared" si="234"/>
        <v>Sub 5</v>
      </c>
      <c r="AA28" s="745" t="str">
        <f t="shared" si="234"/>
        <v>Sub 6</v>
      </c>
      <c r="AB28" s="745" t="str">
        <f t="shared" si="234"/>
        <v>Sub 7</v>
      </c>
      <c r="AC28" s="745" t="str">
        <f t="shared" si="234"/>
        <v>Sub 8</v>
      </c>
      <c r="AD28" s="745" t="str">
        <f t="shared" si="234"/>
        <v>Sub 9</v>
      </c>
      <c r="AE28" s="745" t="str">
        <f t="shared" si="234"/>
        <v>Sub 10</v>
      </c>
      <c r="AF28" s="745" t="str">
        <f t="shared" si="234"/>
        <v>Sub 11</v>
      </c>
      <c r="AG28" s="745" t="str">
        <f t="shared" si="234"/>
        <v>Sub 12</v>
      </c>
      <c r="AH28" s="745" t="str">
        <f t="shared" si="234"/>
        <v>Sub 13</v>
      </c>
      <c r="AI28" s="745" t="str">
        <f t="shared" si="234"/>
        <v>Sub 14</v>
      </c>
      <c r="AJ28" s="745" t="str">
        <f t="shared" si="234"/>
        <v>Sub 15</v>
      </c>
      <c r="AK28" s="771"/>
      <c r="AL28" s="745" t="str">
        <f t="shared" ref="AL28:AZ28" si="235">AL7</f>
        <v>Segovia, Inc.</v>
      </c>
      <c r="AM28" s="745" t="str">
        <f t="shared" si="235"/>
        <v>Briggs and Sons</v>
      </c>
      <c r="AN28" s="745" t="str">
        <f t="shared" si="235"/>
        <v>Yvan</v>
      </c>
      <c r="AO28" s="745" t="str">
        <f t="shared" si="235"/>
        <v>Sub 4</v>
      </c>
      <c r="AP28" s="745" t="str">
        <f t="shared" si="235"/>
        <v>Sub 5</v>
      </c>
      <c r="AQ28" s="745" t="str">
        <f t="shared" si="235"/>
        <v>Sub 6</v>
      </c>
      <c r="AR28" s="745" t="str">
        <f t="shared" si="235"/>
        <v>Sub 7</v>
      </c>
      <c r="AS28" s="745" t="str">
        <f t="shared" si="235"/>
        <v>Sub 8</v>
      </c>
      <c r="AT28" s="745" t="str">
        <f t="shared" si="235"/>
        <v>Sub 9</v>
      </c>
      <c r="AU28" s="745" t="str">
        <f t="shared" si="235"/>
        <v>Sub 10</v>
      </c>
      <c r="AV28" s="745" t="str">
        <f t="shared" si="235"/>
        <v>Sub 11</v>
      </c>
      <c r="AW28" s="745" t="str">
        <f t="shared" si="235"/>
        <v>Sub 12</v>
      </c>
      <c r="AX28" s="745" t="str">
        <f t="shared" si="235"/>
        <v>Sub 13</v>
      </c>
      <c r="AY28" s="745" t="str">
        <f t="shared" si="235"/>
        <v>Sub 14</v>
      </c>
      <c r="AZ28" s="745" t="str">
        <f t="shared" si="235"/>
        <v>Sub 15</v>
      </c>
      <c r="BA28" s="771"/>
      <c r="BB28" s="745" t="str">
        <f t="shared" ref="BB28:BP28" si="236">BB7</f>
        <v>Segovia, Inc.</v>
      </c>
      <c r="BC28" s="745" t="str">
        <f t="shared" si="236"/>
        <v>Briggs and Sons</v>
      </c>
      <c r="BD28" s="745" t="str">
        <f t="shared" si="236"/>
        <v>Yvan</v>
      </c>
      <c r="BE28" s="745" t="str">
        <f t="shared" si="236"/>
        <v>Sub 4</v>
      </c>
      <c r="BF28" s="745" t="str">
        <f t="shared" si="236"/>
        <v>Sub 5</v>
      </c>
      <c r="BG28" s="745" t="str">
        <f t="shared" si="236"/>
        <v>Sub 6</v>
      </c>
      <c r="BH28" s="745" t="str">
        <f t="shared" si="236"/>
        <v>Sub 7</v>
      </c>
      <c r="BI28" s="745" t="str">
        <f t="shared" si="236"/>
        <v>Sub 8</v>
      </c>
      <c r="BJ28" s="745" t="str">
        <f t="shared" si="236"/>
        <v>Sub 9</v>
      </c>
      <c r="BK28" s="745" t="str">
        <f t="shared" si="236"/>
        <v>Sub 10</v>
      </c>
      <c r="BL28" s="745" t="str">
        <f t="shared" si="236"/>
        <v>Sub 11</v>
      </c>
      <c r="BM28" s="745" t="str">
        <f t="shared" si="236"/>
        <v>Sub 12</v>
      </c>
      <c r="BN28" s="745" t="str">
        <f t="shared" si="236"/>
        <v>Sub 13</v>
      </c>
      <c r="BO28" s="745" t="str">
        <f t="shared" si="236"/>
        <v>Sub 14</v>
      </c>
      <c r="BP28" s="745" t="str">
        <f t="shared" si="236"/>
        <v>Sub 15</v>
      </c>
      <c r="BQ28" s="771"/>
      <c r="BR28" s="745" t="str">
        <f t="shared" ref="BR28:CF29" si="237">BR7</f>
        <v>Segovia, Inc.</v>
      </c>
      <c r="BS28" s="745" t="str">
        <f t="shared" si="237"/>
        <v>Briggs and Sons</v>
      </c>
      <c r="BT28" s="745" t="str">
        <f t="shared" si="237"/>
        <v>Yvan</v>
      </c>
      <c r="BU28" s="745" t="str">
        <f t="shared" si="237"/>
        <v>Sub 4</v>
      </c>
      <c r="BV28" s="745" t="str">
        <f t="shared" si="237"/>
        <v>Sub 5</v>
      </c>
      <c r="BW28" s="745" t="str">
        <f t="shared" si="237"/>
        <v>Sub 6</v>
      </c>
      <c r="BX28" s="745" t="str">
        <f t="shared" si="237"/>
        <v>Sub 7</v>
      </c>
      <c r="BY28" s="745" t="str">
        <f t="shared" si="237"/>
        <v>Sub 8</v>
      </c>
      <c r="BZ28" s="745" t="str">
        <f t="shared" si="237"/>
        <v>Sub 9</v>
      </c>
      <c r="CA28" s="745" t="str">
        <f t="shared" si="237"/>
        <v>Sub 10</v>
      </c>
      <c r="CB28" s="745" t="str">
        <f t="shared" si="237"/>
        <v>Sub 11</v>
      </c>
      <c r="CC28" s="745" t="str">
        <f t="shared" si="237"/>
        <v>Sub 12</v>
      </c>
      <c r="CD28" s="745" t="str">
        <f t="shared" si="237"/>
        <v>Sub 13</v>
      </c>
      <c r="CE28" s="745" t="str">
        <f t="shared" si="237"/>
        <v>Sub 14</v>
      </c>
      <c r="CF28" s="745" t="str">
        <f t="shared" si="237"/>
        <v>Sub 15</v>
      </c>
      <c r="CG28" s="771"/>
      <c r="CH28" s="745" t="str">
        <f t="shared" ref="CH28:CV29" si="238">CH7</f>
        <v>Segovia, Inc.</v>
      </c>
      <c r="CI28" s="745" t="str">
        <f t="shared" si="238"/>
        <v>Briggs and Sons</v>
      </c>
      <c r="CJ28" s="745" t="str">
        <f t="shared" si="238"/>
        <v>Yvan</v>
      </c>
      <c r="CK28" s="745" t="str">
        <f t="shared" si="238"/>
        <v>Sub 4</v>
      </c>
      <c r="CL28" s="745" t="str">
        <f t="shared" si="238"/>
        <v>Sub 5</v>
      </c>
      <c r="CM28" s="745" t="str">
        <f t="shared" si="238"/>
        <v>Sub 6</v>
      </c>
      <c r="CN28" s="745" t="str">
        <f t="shared" si="238"/>
        <v>Sub 7</v>
      </c>
      <c r="CO28" s="745" t="str">
        <f t="shared" si="238"/>
        <v>Sub 8</v>
      </c>
      <c r="CP28" s="745" t="str">
        <f t="shared" si="238"/>
        <v>Sub 9</v>
      </c>
      <c r="CQ28" s="745" t="str">
        <f t="shared" si="238"/>
        <v>Sub 10</v>
      </c>
      <c r="CR28" s="745" t="str">
        <f t="shared" si="238"/>
        <v>Sub 11</v>
      </c>
      <c r="CS28" s="745" t="str">
        <f t="shared" si="238"/>
        <v>Sub 12</v>
      </c>
      <c r="CT28" s="745" t="str">
        <f t="shared" si="238"/>
        <v>Sub 13</v>
      </c>
      <c r="CU28" s="745" t="str">
        <f t="shared" si="238"/>
        <v>Sub 14</v>
      </c>
      <c r="CV28" s="745" t="str">
        <f t="shared" si="238"/>
        <v>Sub 15</v>
      </c>
      <c r="CW28" s="771"/>
      <c r="CX28" s="745" t="str">
        <f t="shared" ref="CX28:DL29" si="239">CX7</f>
        <v>Segovia, Inc.</v>
      </c>
      <c r="CY28" s="745" t="str">
        <f t="shared" si="239"/>
        <v>Briggs and Sons</v>
      </c>
      <c r="CZ28" s="745" t="str">
        <f t="shared" si="239"/>
        <v>Yvan</v>
      </c>
      <c r="DA28" s="745" t="str">
        <f t="shared" si="239"/>
        <v>Sub 4</v>
      </c>
      <c r="DB28" s="745" t="str">
        <f t="shared" si="239"/>
        <v>Sub 5</v>
      </c>
      <c r="DC28" s="745" t="str">
        <f t="shared" si="239"/>
        <v>Sub 6</v>
      </c>
      <c r="DD28" s="745" t="str">
        <f t="shared" si="239"/>
        <v>Sub 7</v>
      </c>
      <c r="DE28" s="745" t="str">
        <f t="shared" si="239"/>
        <v>Sub 8</v>
      </c>
      <c r="DF28" s="745" t="str">
        <f t="shared" si="239"/>
        <v>Sub 9</v>
      </c>
      <c r="DG28" s="745" t="str">
        <f t="shared" si="239"/>
        <v>Sub 10</v>
      </c>
      <c r="DH28" s="745" t="str">
        <f t="shared" si="239"/>
        <v>Sub 11</v>
      </c>
      <c r="DI28" s="745" t="str">
        <f t="shared" si="239"/>
        <v>Sub 12</v>
      </c>
      <c r="DJ28" s="745" t="str">
        <f t="shared" si="239"/>
        <v>Sub 13</v>
      </c>
      <c r="DK28" s="745" t="str">
        <f t="shared" si="239"/>
        <v>Sub 14</v>
      </c>
      <c r="DL28" s="745" t="str">
        <f t="shared" si="239"/>
        <v>Sub 15</v>
      </c>
      <c r="DM28" s="771"/>
      <c r="DN28" s="745" t="str">
        <f t="shared" ref="DN28:EB29" si="240">DN7</f>
        <v>Segovia, Inc.</v>
      </c>
      <c r="DO28" s="745" t="str">
        <f t="shared" si="240"/>
        <v>Briggs and Sons</v>
      </c>
      <c r="DP28" s="745" t="str">
        <f t="shared" si="240"/>
        <v>Yvan</v>
      </c>
      <c r="DQ28" s="745" t="str">
        <f t="shared" si="240"/>
        <v>Sub 4</v>
      </c>
      <c r="DR28" s="745" t="str">
        <f t="shared" si="240"/>
        <v>Sub 5</v>
      </c>
      <c r="DS28" s="745" t="str">
        <f t="shared" si="240"/>
        <v>Sub 6</v>
      </c>
      <c r="DT28" s="745" t="str">
        <f t="shared" si="240"/>
        <v>Sub 7</v>
      </c>
      <c r="DU28" s="745" t="str">
        <f t="shared" si="240"/>
        <v>Sub 8</v>
      </c>
      <c r="DV28" s="745" t="str">
        <f t="shared" si="240"/>
        <v>Sub 9</v>
      </c>
      <c r="DW28" s="745" t="str">
        <f t="shared" si="240"/>
        <v>Sub 10</v>
      </c>
      <c r="DX28" s="745" t="str">
        <f t="shared" si="240"/>
        <v>Sub 11</v>
      </c>
      <c r="DY28" s="745" t="str">
        <f t="shared" si="240"/>
        <v>Sub 12</v>
      </c>
      <c r="DZ28" s="745" t="str">
        <f t="shared" si="240"/>
        <v>Sub 13</v>
      </c>
      <c r="EA28" s="745" t="str">
        <f t="shared" si="240"/>
        <v>Sub 14</v>
      </c>
      <c r="EB28" s="745" t="str">
        <f t="shared" si="240"/>
        <v>Sub 15</v>
      </c>
      <c r="EC28" s="771"/>
      <c r="ED28" s="745" t="str">
        <f t="shared" ref="ED28:ER29" si="241">ED7</f>
        <v>Segovia, Inc.</v>
      </c>
      <c r="EE28" s="745" t="str">
        <f t="shared" si="241"/>
        <v>Briggs and Sons</v>
      </c>
      <c r="EF28" s="745" t="str">
        <f t="shared" si="241"/>
        <v>Yvan</v>
      </c>
      <c r="EG28" s="745" t="str">
        <f t="shared" si="241"/>
        <v>Sub 4</v>
      </c>
      <c r="EH28" s="745" t="str">
        <f t="shared" si="241"/>
        <v>Sub 5</v>
      </c>
      <c r="EI28" s="745" t="str">
        <f t="shared" si="241"/>
        <v>Sub 6</v>
      </c>
      <c r="EJ28" s="745" t="str">
        <f t="shared" si="241"/>
        <v>Sub 7</v>
      </c>
      <c r="EK28" s="745" t="str">
        <f t="shared" si="241"/>
        <v>Sub 8</v>
      </c>
      <c r="EL28" s="745" t="str">
        <f t="shared" si="241"/>
        <v>Sub 9</v>
      </c>
      <c r="EM28" s="745" t="str">
        <f t="shared" si="241"/>
        <v>Sub 10</v>
      </c>
      <c r="EN28" s="745" t="str">
        <f t="shared" si="241"/>
        <v>Sub 11</v>
      </c>
      <c r="EO28" s="745" t="str">
        <f t="shared" si="241"/>
        <v>Sub 12</v>
      </c>
      <c r="EP28" s="745" t="str">
        <f t="shared" si="241"/>
        <v>Sub 13</v>
      </c>
      <c r="EQ28" s="745" t="str">
        <f t="shared" si="241"/>
        <v>Sub 14</v>
      </c>
      <c r="ER28" s="745" t="str">
        <f t="shared" si="241"/>
        <v>Sub 15</v>
      </c>
      <c r="ES28" s="771"/>
      <c r="ET28" s="745" t="str">
        <f t="shared" ref="ET28:FH29" si="242">ET7</f>
        <v>Segovia, Inc.</v>
      </c>
      <c r="EU28" s="745" t="str">
        <f t="shared" si="242"/>
        <v>Briggs and Sons</v>
      </c>
      <c r="EV28" s="745" t="str">
        <f t="shared" si="242"/>
        <v>Yvan</v>
      </c>
      <c r="EW28" s="745" t="str">
        <f t="shared" si="242"/>
        <v>Sub 4</v>
      </c>
      <c r="EX28" s="745" t="str">
        <f t="shared" si="242"/>
        <v>Sub 5</v>
      </c>
      <c r="EY28" s="745" t="str">
        <f t="shared" si="242"/>
        <v>Sub 6</v>
      </c>
      <c r="EZ28" s="745" t="str">
        <f t="shared" si="242"/>
        <v>Sub 7</v>
      </c>
      <c r="FA28" s="745" t="str">
        <f t="shared" si="242"/>
        <v>Sub 8</v>
      </c>
      <c r="FB28" s="745" t="str">
        <f t="shared" si="242"/>
        <v>Sub 9</v>
      </c>
      <c r="FC28" s="745" t="str">
        <f t="shared" si="242"/>
        <v>Sub 10</v>
      </c>
      <c r="FD28" s="745" t="str">
        <f t="shared" si="242"/>
        <v>Sub 11</v>
      </c>
      <c r="FE28" s="745" t="str">
        <f t="shared" si="242"/>
        <v>Sub 12</v>
      </c>
      <c r="FF28" s="745" t="str">
        <f t="shared" si="242"/>
        <v>Sub 13</v>
      </c>
      <c r="FG28" s="745" t="str">
        <f t="shared" si="242"/>
        <v>Sub 14</v>
      </c>
      <c r="FH28" s="745" t="str">
        <f t="shared" si="242"/>
        <v>Sub 15</v>
      </c>
      <c r="FI28" s="771"/>
      <c r="FJ28" s="745" t="str">
        <f t="shared" ref="FJ28:FX29" si="243">FJ7</f>
        <v>Segovia, Inc.</v>
      </c>
      <c r="FK28" s="745" t="str">
        <f t="shared" si="243"/>
        <v>Briggs and Sons</v>
      </c>
      <c r="FL28" s="745" t="str">
        <f t="shared" si="243"/>
        <v>Yvan</v>
      </c>
      <c r="FM28" s="745" t="str">
        <f t="shared" si="243"/>
        <v>Sub 4</v>
      </c>
      <c r="FN28" s="745" t="str">
        <f t="shared" si="243"/>
        <v>Sub 5</v>
      </c>
      <c r="FO28" s="745" t="str">
        <f t="shared" si="243"/>
        <v>Sub 6</v>
      </c>
      <c r="FP28" s="745" t="str">
        <f t="shared" si="243"/>
        <v>Sub 7</v>
      </c>
      <c r="FQ28" s="745" t="str">
        <f t="shared" si="243"/>
        <v>Sub 8</v>
      </c>
      <c r="FR28" s="745" t="str">
        <f t="shared" si="243"/>
        <v>Sub 9</v>
      </c>
      <c r="FS28" s="745" t="str">
        <f t="shared" si="243"/>
        <v>Sub 10</v>
      </c>
      <c r="FT28" s="745" t="str">
        <f t="shared" si="243"/>
        <v>Sub 11</v>
      </c>
      <c r="FU28" s="745" t="str">
        <f t="shared" si="243"/>
        <v>Sub 12</v>
      </c>
      <c r="FV28" s="745" t="str">
        <f t="shared" si="243"/>
        <v>Sub 13</v>
      </c>
      <c r="FW28" s="745" t="str">
        <f t="shared" si="243"/>
        <v>Sub 14</v>
      </c>
      <c r="FX28" s="745" t="str">
        <f t="shared" si="243"/>
        <v>Sub 15</v>
      </c>
      <c r="FY28" s="771"/>
      <c r="FZ28" s="745" t="str">
        <f t="shared" ref="FZ28:GN29" si="244">FZ7</f>
        <v>Segovia, Inc.</v>
      </c>
      <c r="GA28" s="745" t="str">
        <f t="shared" si="244"/>
        <v>Briggs and Sons</v>
      </c>
      <c r="GB28" s="745" t="str">
        <f t="shared" si="244"/>
        <v>Yvan</v>
      </c>
      <c r="GC28" s="745" t="str">
        <f t="shared" si="244"/>
        <v>Sub 4</v>
      </c>
      <c r="GD28" s="745" t="str">
        <f t="shared" si="244"/>
        <v>Sub 5</v>
      </c>
      <c r="GE28" s="745" t="str">
        <f t="shared" si="244"/>
        <v>Sub 6</v>
      </c>
      <c r="GF28" s="745" t="str">
        <f t="shared" si="244"/>
        <v>Sub 7</v>
      </c>
      <c r="GG28" s="745" t="str">
        <f t="shared" si="244"/>
        <v>Sub 8</v>
      </c>
      <c r="GH28" s="745" t="str">
        <f t="shared" si="244"/>
        <v>Sub 9</v>
      </c>
      <c r="GI28" s="745" t="str">
        <f t="shared" si="244"/>
        <v>Sub 10</v>
      </c>
      <c r="GJ28" s="745" t="str">
        <f t="shared" si="244"/>
        <v>Sub 11</v>
      </c>
      <c r="GK28" s="745" t="str">
        <f t="shared" si="244"/>
        <v>Sub 12</v>
      </c>
      <c r="GL28" s="745" t="str">
        <f t="shared" si="244"/>
        <v>Sub 13</v>
      </c>
      <c r="GM28" s="745" t="str">
        <f t="shared" si="244"/>
        <v>Sub 14</v>
      </c>
      <c r="GN28" s="745" t="str">
        <f t="shared" si="244"/>
        <v>Sub 15</v>
      </c>
      <c r="GO28" s="771"/>
      <c r="GP28" s="745" t="str">
        <f t="shared" ref="GP28:HD29" si="245">GP7</f>
        <v>Segovia, Inc.</v>
      </c>
      <c r="GQ28" s="745" t="str">
        <f t="shared" si="245"/>
        <v>Briggs and Sons</v>
      </c>
      <c r="GR28" s="745" t="str">
        <f t="shared" si="245"/>
        <v>Yvan</v>
      </c>
      <c r="GS28" s="745" t="str">
        <f t="shared" si="245"/>
        <v>Sub 4</v>
      </c>
      <c r="GT28" s="745" t="str">
        <f t="shared" si="245"/>
        <v>Sub 5</v>
      </c>
      <c r="GU28" s="745" t="str">
        <f t="shared" si="245"/>
        <v>Sub 6</v>
      </c>
      <c r="GV28" s="745" t="str">
        <f t="shared" si="245"/>
        <v>Sub 7</v>
      </c>
      <c r="GW28" s="745" t="str">
        <f t="shared" si="245"/>
        <v>Sub 8</v>
      </c>
      <c r="GX28" s="745" t="str">
        <f t="shared" si="245"/>
        <v>Sub 9</v>
      </c>
      <c r="GY28" s="745" t="str">
        <f t="shared" si="245"/>
        <v>Sub 10</v>
      </c>
      <c r="GZ28" s="745" t="str">
        <f t="shared" si="245"/>
        <v>Sub 11</v>
      </c>
      <c r="HA28" s="745" t="str">
        <f t="shared" si="245"/>
        <v>Sub 12</v>
      </c>
      <c r="HB28" s="745" t="str">
        <f t="shared" si="245"/>
        <v>Sub 13</v>
      </c>
      <c r="HC28" s="745" t="str">
        <f t="shared" si="245"/>
        <v>Sub 14</v>
      </c>
      <c r="HD28" s="745" t="str">
        <f t="shared" si="245"/>
        <v>Sub 15</v>
      </c>
      <c r="HE28" s="771"/>
      <c r="HF28" s="745" t="str">
        <f t="shared" ref="HF28:HT29" si="246">HF7</f>
        <v>Segovia, Inc.</v>
      </c>
      <c r="HG28" s="745" t="str">
        <f t="shared" si="246"/>
        <v>Briggs and Sons</v>
      </c>
      <c r="HH28" s="745" t="str">
        <f t="shared" si="246"/>
        <v>Yvan</v>
      </c>
      <c r="HI28" s="745" t="str">
        <f t="shared" si="246"/>
        <v>Sub 4</v>
      </c>
      <c r="HJ28" s="745" t="str">
        <f t="shared" si="246"/>
        <v>Sub 5</v>
      </c>
      <c r="HK28" s="745" t="str">
        <f t="shared" si="246"/>
        <v>Sub 6</v>
      </c>
      <c r="HL28" s="745" t="str">
        <f t="shared" si="246"/>
        <v>Sub 7</v>
      </c>
      <c r="HM28" s="745" t="str">
        <f t="shared" si="246"/>
        <v>Sub 8</v>
      </c>
      <c r="HN28" s="745" t="str">
        <f t="shared" si="246"/>
        <v>Sub 9</v>
      </c>
      <c r="HO28" s="745" t="str">
        <f t="shared" si="246"/>
        <v>Sub 10</v>
      </c>
      <c r="HP28" s="745" t="str">
        <f t="shared" si="246"/>
        <v>Sub 11</v>
      </c>
      <c r="HQ28" s="745" t="str">
        <f t="shared" si="246"/>
        <v>Sub 12</v>
      </c>
      <c r="HR28" s="745" t="str">
        <f t="shared" si="246"/>
        <v>Sub 13</v>
      </c>
      <c r="HS28" s="745" t="str">
        <f t="shared" si="246"/>
        <v>Sub 14</v>
      </c>
      <c r="HT28" s="745" t="str">
        <f t="shared" si="246"/>
        <v>Sub 15</v>
      </c>
      <c r="HU28" s="771"/>
      <c r="HV28" s="745" t="str">
        <f t="shared" ref="HV28:IJ29" si="247">HV7</f>
        <v>Segovia, Inc.</v>
      </c>
      <c r="HW28" s="745" t="str">
        <f t="shared" si="247"/>
        <v>Briggs and Sons</v>
      </c>
      <c r="HX28" s="745" t="str">
        <f t="shared" si="247"/>
        <v>Yvan</v>
      </c>
      <c r="HY28" s="745" t="str">
        <f t="shared" si="247"/>
        <v>Sub 4</v>
      </c>
      <c r="HZ28" s="745" t="str">
        <f t="shared" si="247"/>
        <v>Sub 5</v>
      </c>
      <c r="IA28" s="745" t="str">
        <f t="shared" si="247"/>
        <v>Sub 6</v>
      </c>
      <c r="IB28" s="745" t="str">
        <f t="shared" si="247"/>
        <v>Sub 7</v>
      </c>
      <c r="IC28" s="745" t="str">
        <f t="shared" si="247"/>
        <v>Sub 8</v>
      </c>
      <c r="ID28" s="745" t="str">
        <f t="shared" si="247"/>
        <v>Sub 9</v>
      </c>
      <c r="IE28" s="745" t="str">
        <f t="shared" si="247"/>
        <v>Sub 10</v>
      </c>
      <c r="IF28" s="745" t="str">
        <f t="shared" si="247"/>
        <v>Sub 11</v>
      </c>
      <c r="IG28" s="745" t="str">
        <f t="shared" si="247"/>
        <v>Sub 12</v>
      </c>
      <c r="IH28" s="745" t="str">
        <f t="shared" si="247"/>
        <v>Sub 13</v>
      </c>
      <c r="II28" s="745" t="str">
        <f t="shared" si="247"/>
        <v>Sub 14</v>
      </c>
      <c r="IJ28" s="787" t="str">
        <f t="shared" si="247"/>
        <v>Sub 15</v>
      </c>
      <c r="IK28" s="798"/>
    </row>
    <row r="29" spans="1:245">
      <c r="A29" s="743"/>
      <c r="B29" s="764" t="s">
        <v>710</v>
      </c>
      <c r="C29" s="777" t="s">
        <v>685</v>
      </c>
      <c r="D29" s="765"/>
      <c r="E29" s="746"/>
      <c r="F29" s="796" t="str">
        <f t="shared" ref="F29:BR29" si="248">F8</f>
        <v>Base YearSegovia, Inc.</v>
      </c>
      <c r="G29" s="752" t="str">
        <f t="shared" si="248"/>
        <v>Base YearBriggs and Sons</v>
      </c>
      <c r="H29" s="752" t="str">
        <f t="shared" si="248"/>
        <v>Base YearYvan</v>
      </c>
      <c r="I29" s="752" t="str">
        <f t="shared" si="248"/>
        <v>Base YearSub 4</v>
      </c>
      <c r="J29" s="752" t="str">
        <f t="shared" si="248"/>
        <v>Base YearSub 5</v>
      </c>
      <c r="K29" s="752" t="str">
        <f t="shared" si="248"/>
        <v>Base YearSub 6</v>
      </c>
      <c r="L29" s="752" t="str">
        <f t="shared" si="248"/>
        <v>Base YearSub 7</v>
      </c>
      <c r="M29" s="752" t="str">
        <f t="shared" si="248"/>
        <v>Base YearSub 8</v>
      </c>
      <c r="N29" s="752" t="str">
        <f t="shared" si="248"/>
        <v>Base YearSub 9</v>
      </c>
      <c r="O29" s="752" t="str">
        <f t="shared" si="248"/>
        <v>Base YearSub 10</v>
      </c>
      <c r="P29" s="752" t="str">
        <f t="shared" si="248"/>
        <v>Base YearSub 11</v>
      </c>
      <c r="Q29" s="752" t="str">
        <f t="shared" si="248"/>
        <v>Base YearSub 12</v>
      </c>
      <c r="R29" s="752" t="str">
        <f t="shared" si="248"/>
        <v>Base YearSub 13</v>
      </c>
      <c r="S29" s="752" t="str">
        <f t="shared" si="248"/>
        <v>Base YearSub 14</v>
      </c>
      <c r="T29" s="752" t="str">
        <f t="shared" si="248"/>
        <v>Base YearSub 15</v>
      </c>
      <c r="U29" s="767"/>
      <c r="V29" s="752" t="str">
        <f t="shared" si="248"/>
        <v>Option Year 1Segovia, Inc.</v>
      </c>
      <c r="W29" s="752" t="str">
        <f t="shared" si="248"/>
        <v>Option Year 1Briggs and Sons</v>
      </c>
      <c r="X29" s="752" t="str">
        <f t="shared" si="248"/>
        <v>Option Year 1Yvan</v>
      </c>
      <c r="Y29" s="752" t="str">
        <f t="shared" si="248"/>
        <v>Option Year 1Sub 4</v>
      </c>
      <c r="Z29" s="752" t="str">
        <f t="shared" si="248"/>
        <v>Option Year 1Sub 5</v>
      </c>
      <c r="AA29" s="752" t="str">
        <f t="shared" si="248"/>
        <v>Option Year 1Sub 6</v>
      </c>
      <c r="AB29" s="752" t="str">
        <f t="shared" si="248"/>
        <v>Option Year 1Sub 7</v>
      </c>
      <c r="AC29" s="752" t="str">
        <f t="shared" si="248"/>
        <v>Option Year 1Sub 8</v>
      </c>
      <c r="AD29" s="752" t="str">
        <f t="shared" si="248"/>
        <v>Option Year 1Sub 9</v>
      </c>
      <c r="AE29" s="752" t="str">
        <f t="shared" si="248"/>
        <v>Option Year 1Sub 10</v>
      </c>
      <c r="AF29" s="752" t="str">
        <f t="shared" si="248"/>
        <v>Option Year 1Sub 11</v>
      </c>
      <c r="AG29" s="752" t="str">
        <f t="shared" si="248"/>
        <v>Option Year 1Sub 12</v>
      </c>
      <c r="AH29" s="752" t="str">
        <f t="shared" si="248"/>
        <v>Option Year 1Sub 13</v>
      </c>
      <c r="AI29" s="752" t="str">
        <f t="shared" si="248"/>
        <v>Option Year 1Sub 14</v>
      </c>
      <c r="AJ29" s="752" t="str">
        <f t="shared" si="248"/>
        <v>Option Year 1Sub 15</v>
      </c>
      <c r="AK29" s="767"/>
      <c r="AL29" s="752" t="str">
        <f t="shared" si="248"/>
        <v>Option Year 2Segovia, Inc.</v>
      </c>
      <c r="AM29" s="752" t="str">
        <f t="shared" si="248"/>
        <v>Option Year 2Briggs and Sons</v>
      </c>
      <c r="AN29" s="752" t="str">
        <f t="shared" si="248"/>
        <v>Option Year 2Yvan</v>
      </c>
      <c r="AO29" s="752" t="str">
        <f t="shared" si="248"/>
        <v>Option Year 2Sub 4</v>
      </c>
      <c r="AP29" s="752" t="str">
        <f t="shared" si="248"/>
        <v>Option Year 2Sub 5</v>
      </c>
      <c r="AQ29" s="752" t="str">
        <f t="shared" si="248"/>
        <v>Option Year 2Sub 6</v>
      </c>
      <c r="AR29" s="752" t="str">
        <f t="shared" si="248"/>
        <v>Option Year 2Sub 7</v>
      </c>
      <c r="AS29" s="752" t="str">
        <f t="shared" si="248"/>
        <v>Option Year 2Sub 8</v>
      </c>
      <c r="AT29" s="752" t="str">
        <f t="shared" si="248"/>
        <v>Option Year 2Sub 9</v>
      </c>
      <c r="AU29" s="752" t="str">
        <f t="shared" si="248"/>
        <v>Option Year 2Sub 10</v>
      </c>
      <c r="AV29" s="752" t="str">
        <f t="shared" si="248"/>
        <v>Option Year 2Sub 11</v>
      </c>
      <c r="AW29" s="752" t="str">
        <f t="shared" si="248"/>
        <v>Option Year 2Sub 12</v>
      </c>
      <c r="AX29" s="752" t="str">
        <f t="shared" si="248"/>
        <v>Option Year 2Sub 13</v>
      </c>
      <c r="AY29" s="752" t="str">
        <f t="shared" si="248"/>
        <v>Option Year 2Sub 14</v>
      </c>
      <c r="AZ29" s="752" t="str">
        <f t="shared" si="248"/>
        <v>Option Year 2Sub 15</v>
      </c>
      <c r="BA29" s="767"/>
      <c r="BB29" s="752" t="str">
        <f t="shared" si="248"/>
        <v>Training and ProcessingSegovia, Inc.</v>
      </c>
      <c r="BC29" s="752" t="str">
        <f t="shared" si="248"/>
        <v>Training and ProcessingBriggs and Sons</v>
      </c>
      <c r="BD29" s="752" t="str">
        <f t="shared" si="248"/>
        <v>Training and ProcessingYvan</v>
      </c>
      <c r="BE29" s="752" t="str">
        <f t="shared" si="248"/>
        <v>Training and ProcessingSub 4</v>
      </c>
      <c r="BF29" s="752" t="str">
        <f t="shared" si="248"/>
        <v>Training and ProcessingSub 5</v>
      </c>
      <c r="BG29" s="752" t="str">
        <f t="shared" si="248"/>
        <v>Training and ProcessingSub 6</v>
      </c>
      <c r="BH29" s="752" t="str">
        <f t="shared" si="248"/>
        <v>Training and ProcessingSub 7</v>
      </c>
      <c r="BI29" s="752" t="str">
        <f t="shared" si="248"/>
        <v>Training and ProcessingSub 8</v>
      </c>
      <c r="BJ29" s="752" t="str">
        <f t="shared" si="248"/>
        <v>Training and ProcessingSub 9</v>
      </c>
      <c r="BK29" s="752" t="str">
        <f t="shared" si="248"/>
        <v>Training and ProcessingSub 10</v>
      </c>
      <c r="BL29" s="752" t="str">
        <f t="shared" si="248"/>
        <v>Training and ProcessingSub 11</v>
      </c>
      <c r="BM29" s="752" t="str">
        <f t="shared" si="248"/>
        <v>Training and ProcessingSub 12</v>
      </c>
      <c r="BN29" s="752" t="str">
        <f t="shared" si="248"/>
        <v>Training and ProcessingSub 13</v>
      </c>
      <c r="BO29" s="752" t="str">
        <f t="shared" si="248"/>
        <v>Training and ProcessingSub 14</v>
      </c>
      <c r="BP29" s="752" t="str">
        <f t="shared" si="248"/>
        <v>Training and ProcessingSub 15</v>
      </c>
      <c r="BQ29" s="767"/>
      <c r="BR29" s="752" t="str">
        <f t="shared" si="248"/>
        <v>0Segovia, Inc.</v>
      </c>
      <c r="BS29" s="752" t="str">
        <f t="shared" si="237"/>
        <v>0Briggs and Sons</v>
      </c>
      <c r="BT29" s="752" t="str">
        <f t="shared" si="237"/>
        <v>0Yvan</v>
      </c>
      <c r="BU29" s="752" t="str">
        <f t="shared" si="237"/>
        <v>0Sub 4</v>
      </c>
      <c r="BV29" s="752" t="str">
        <f t="shared" si="237"/>
        <v>0Sub 5</v>
      </c>
      <c r="BW29" s="752" t="str">
        <f t="shared" si="237"/>
        <v>0Sub 6</v>
      </c>
      <c r="BX29" s="752" t="str">
        <f t="shared" si="237"/>
        <v>0Sub 7</v>
      </c>
      <c r="BY29" s="752" t="str">
        <f t="shared" si="237"/>
        <v>0Sub 8</v>
      </c>
      <c r="BZ29" s="752" t="str">
        <f t="shared" si="237"/>
        <v>0Sub 9</v>
      </c>
      <c r="CA29" s="752" t="str">
        <f t="shared" si="237"/>
        <v>0Sub 10</v>
      </c>
      <c r="CB29" s="752" t="str">
        <f t="shared" si="237"/>
        <v>0Sub 11</v>
      </c>
      <c r="CC29" s="752" t="str">
        <f t="shared" si="237"/>
        <v>0Sub 12</v>
      </c>
      <c r="CD29" s="752" t="str">
        <f t="shared" si="237"/>
        <v>0Sub 13</v>
      </c>
      <c r="CE29" s="752" t="str">
        <f t="shared" si="237"/>
        <v>0Sub 14</v>
      </c>
      <c r="CF29" s="752" t="str">
        <f t="shared" si="237"/>
        <v>0Sub 15</v>
      </c>
      <c r="CG29" s="767"/>
      <c r="CH29" s="752" t="str">
        <f t="shared" si="238"/>
        <v>Option Year 5Segovia, Inc.</v>
      </c>
      <c r="CI29" s="752" t="str">
        <f t="shared" si="238"/>
        <v>Option Year 5Briggs and Sons</v>
      </c>
      <c r="CJ29" s="752" t="str">
        <f t="shared" si="238"/>
        <v>Option Year 5Yvan</v>
      </c>
      <c r="CK29" s="752" t="str">
        <f t="shared" si="238"/>
        <v>Option Year 5Sub 4</v>
      </c>
      <c r="CL29" s="752" t="str">
        <f t="shared" si="238"/>
        <v>Option Year 5Sub 5</v>
      </c>
      <c r="CM29" s="752" t="str">
        <f t="shared" si="238"/>
        <v>Option Year 5Sub 6</v>
      </c>
      <c r="CN29" s="752" t="str">
        <f t="shared" si="238"/>
        <v>Option Year 5Sub 7</v>
      </c>
      <c r="CO29" s="752" t="str">
        <f t="shared" si="238"/>
        <v>Option Year 5Sub 8</v>
      </c>
      <c r="CP29" s="752" t="str">
        <f t="shared" si="238"/>
        <v>Option Year 5Sub 9</v>
      </c>
      <c r="CQ29" s="752" t="str">
        <f t="shared" si="238"/>
        <v>Option Year 5Sub 10</v>
      </c>
      <c r="CR29" s="752" t="str">
        <f t="shared" si="238"/>
        <v>Option Year 5Sub 11</v>
      </c>
      <c r="CS29" s="752" t="str">
        <f t="shared" si="238"/>
        <v>Option Year 5Sub 12</v>
      </c>
      <c r="CT29" s="752" t="str">
        <f t="shared" si="238"/>
        <v>Option Year 5Sub 13</v>
      </c>
      <c r="CU29" s="752" t="str">
        <f t="shared" si="238"/>
        <v>Option Year 5Sub 14</v>
      </c>
      <c r="CV29" s="752" t="str">
        <f t="shared" si="238"/>
        <v>Option Year 5Sub 15</v>
      </c>
      <c r="CW29" s="767"/>
      <c r="CX29" s="752" t="str">
        <f t="shared" si="239"/>
        <v>Option Year 6Segovia, Inc.</v>
      </c>
      <c r="CY29" s="752" t="str">
        <f t="shared" si="239"/>
        <v>Option Year 6Briggs and Sons</v>
      </c>
      <c r="CZ29" s="752" t="str">
        <f t="shared" si="239"/>
        <v>Option Year 6Yvan</v>
      </c>
      <c r="DA29" s="752" t="str">
        <f t="shared" si="239"/>
        <v>Option Year 6Sub 4</v>
      </c>
      <c r="DB29" s="752" t="str">
        <f t="shared" si="239"/>
        <v>Option Year 6Sub 5</v>
      </c>
      <c r="DC29" s="752" t="str">
        <f t="shared" si="239"/>
        <v>Option Year 6Sub 6</v>
      </c>
      <c r="DD29" s="752" t="str">
        <f t="shared" si="239"/>
        <v>Option Year 6Sub 7</v>
      </c>
      <c r="DE29" s="752" t="str">
        <f t="shared" si="239"/>
        <v>Option Year 6Sub 8</v>
      </c>
      <c r="DF29" s="752" t="str">
        <f t="shared" si="239"/>
        <v>Option Year 6Sub 9</v>
      </c>
      <c r="DG29" s="752" t="str">
        <f t="shared" si="239"/>
        <v>Option Year 6Sub 10</v>
      </c>
      <c r="DH29" s="752" t="str">
        <f t="shared" si="239"/>
        <v>Option Year 6Sub 11</v>
      </c>
      <c r="DI29" s="752" t="str">
        <f t="shared" si="239"/>
        <v>Option Year 6Sub 12</v>
      </c>
      <c r="DJ29" s="752" t="str">
        <f t="shared" si="239"/>
        <v>Option Year 6Sub 13</v>
      </c>
      <c r="DK29" s="752" t="str">
        <f t="shared" si="239"/>
        <v>Option Year 6Sub 14</v>
      </c>
      <c r="DL29" s="752" t="str">
        <f t="shared" si="239"/>
        <v>Option Year 6Sub 15</v>
      </c>
      <c r="DM29" s="767"/>
      <c r="DN29" s="752" t="str">
        <f t="shared" si="240"/>
        <v>Option Year 7Segovia, Inc.</v>
      </c>
      <c r="DO29" s="752" t="str">
        <f t="shared" si="240"/>
        <v>Option Year 7Briggs and Sons</v>
      </c>
      <c r="DP29" s="752" t="str">
        <f t="shared" si="240"/>
        <v>Option Year 7Yvan</v>
      </c>
      <c r="DQ29" s="752" t="str">
        <f t="shared" si="240"/>
        <v>Option Year 7Sub 4</v>
      </c>
      <c r="DR29" s="752" t="str">
        <f t="shared" si="240"/>
        <v>Option Year 7Sub 5</v>
      </c>
      <c r="DS29" s="752" t="str">
        <f t="shared" si="240"/>
        <v>Option Year 7Sub 6</v>
      </c>
      <c r="DT29" s="752" t="str">
        <f t="shared" si="240"/>
        <v>Option Year 7Sub 7</v>
      </c>
      <c r="DU29" s="752" t="str">
        <f t="shared" si="240"/>
        <v>Option Year 7Sub 8</v>
      </c>
      <c r="DV29" s="752" t="str">
        <f t="shared" si="240"/>
        <v>Option Year 7Sub 9</v>
      </c>
      <c r="DW29" s="752" t="str">
        <f t="shared" si="240"/>
        <v>Option Year 7Sub 10</v>
      </c>
      <c r="DX29" s="752" t="str">
        <f t="shared" si="240"/>
        <v>Option Year 7Sub 11</v>
      </c>
      <c r="DY29" s="752" t="str">
        <f t="shared" si="240"/>
        <v>Option Year 7Sub 12</v>
      </c>
      <c r="DZ29" s="752" t="str">
        <f t="shared" si="240"/>
        <v>Option Year 7Sub 13</v>
      </c>
      <c r="EA29" s="752" t="str">
        <f t="shared" si="240"/>
        <v>Option Year 7Sub 14</v>
      </c>
      <c r="EB29" s="752" t="str">
        <f t="shared" si="240"/>
        <v>Option Year 7Sub 15</v>
      </c>
      <c r="EC29" s="767"/>
      <c r="ED29" s="752" t="str">
        <f t="shared" si="241"/>
        <v>Option Year 8Segovia, Inc.</v>
      </c>
      <c r="EE29" s="752" t="str">
        <f t="shared" si="241"/>
        <v>Option Year 8Briggs and Sons</v>
      </c>
      <c r="EF29" s="752" t="str">
        <f t="shared" si="241"/>
        <v>Option Year 8Yvan</v>
      </c>
      <c r="EG29" s="752" t="str">
        <f t="shared" si="241"/>
        <v>Option Year 8Sub 4</v>
      </c>
      <c r="EH29" s="752" t="str">
        <f t="shared" si="241"/>
        <v>Option Year 8Sub 5</v>
      </c>
      <c r="EI29" s="752" t="str">
        <f t="shared" si="241"/>
        <v>Option Year 8Sub 6</v>
      </c>
      <c r="EJ29" s="752" t="str">
        <f t="shared" si="241"/>
        <v>Option Year 8Sub 7</v>
      </c>
      <c r="EK29" s="752" t="str">
        <f t="shared" si="241"/>
        <v>Option Year 8Sub 8</v>
      </c>
      <c r="EL29" s="752" t="str">
        <f t="shared" si="241"/>
        <v>Option Year 8Sub 9</v>
      </c>
      <c r="EM29" s="752" t="str">
        <f t="shared" si="241"/>
        <v>Option Year 8Sub 10</v>
      </c>
      <c r="EN29" s="752" t="str">
        <f t="shared" si="241"/>
        <v>Option Year 8Sub 11</v>
      </c>
      <c r="EO29" s="752" t="str">
        <f t="shared" si="241"/>
        <v>Option Year 8Sub 12</v>
      </c>
      <c r="EP29" s="752" t="str">
        <f t="shared" si="241"/>
        <v>Option Year 8Sub 13</v>
      </c>
      <c r="EQ29" s="752" t="str">
        <f t="shared" si="241"/>
        <v>Option Year 8Sub 14</v>
      </c>
      <c r="ER29" s="752" t="str">
        <f t="shared" si="241"/>
        <v>Option Year 8Sub 15</v>
      </c>
      <c r="ES29" s="767"/>
      <c r="ET29" s="752" t="str">
        <f t="shared" si="242"/>
        <v>Option Year 9Segovia, Inc.</v>
      </c>
      <c r="EU29" s="752" t="str">
        <f t="shared" si="242"/>
        <v>Option Year 9Briggs and Sons</v>
      </c>
      <c r="EV29" s="752" t="str">
        <f t="shared" si="242"/>
        <v>Option Year 9Yvan</v>
      </c>
      <c r="EW29" s="752" t="str">
        <f t="shared" si="242"/>
        <v>Option Year 9Sub 4</v>
      </c>
      <c r="EX29" s="752" t="str">
        <f t="shared" si="242"/>
        <v>Option Year 9Sub 5</v>
      </c>
      <c r="EY29" s="752" t="str">
        <f t="shared" si="242"/>
        <v>Option Year 9Sub 6</v>
      </c>
      <c r="EZ29" s="752" t="str">
        <f t="shared" si="242"/>
        <v>Option Year 9Sub 7</v>
      </c>
      <c r="FA29" s="752" t="str">
        <f t="shared" si="242"/>
        <v>Option Year 9Sub 8</v>
      </c>
      <c r="FB29" s="752" t="str">
        <f t="shared" si="242"/>
        <v>Option Year 9Sub 9</v>
      </c>
      <c r="FC29" s="752" t="str">
        <f t="shared" si="242"/>
        <v>Option Year 9Sub 10</v>
      </c>
      <c r="FD29" s="752" t="str">
        <f t="shared" si="242"/>
        <v>Option Year 9Sub 11</v>
      </c>
      <c r="FE29" s="752" t="str">
        <f t="shared" si="242"/>
        <v>Option Year 9Sub 12</v>
      </c>
      <c r="FF29" s="752" t="str">
        <f t="shared" si="242"/>
        <v>Option Year 9Sub 13</v>
      </c>
      <c r="FG29" s="752" t="str">
        <f t="shared" si="242"/>
        <v>Option Year 9Sub 14</v>
      </c>
      <c r="FH29" s="752" t="str">
        <f t="shared" si="242"/>
        <v>Option Year 9Sub 15</v>
      </c>
      <c r="FI29" s="767"/>
      <c r="FJ29" s="752" t="str">
        <f t="shared" si="243"/>
        <v>Option Year 10Segovia, Inc.</v>
      </c>
      <c r="FK29" s="752" t="str">
        <f t="shared" si="243"/>
        <v>Option Year 10Briggs and Sons</v>
      </c>
      <c r="FL29" s="752" t="str">
        <f t="shared" si="243"/>
        <v>Option Year 10Yvan</v>
      </c>
      <c r="FM29" s="752" t="str">
        <f t="shared" si="243"/>
        <v>Option Year 10Sub 4</v>
      </c>
      <c r="FN29" s="752" t="str">
        <f t="shared" si="243"/>
        <v>Option Year 10Sub 5</v>
      </c>
      <c r="FO29" s="752" t="str">
        <f t="shared" si="243"/>
        <v>Option Year 10Sub 6</v>
      </c>
      <c r="FP29" s="752" t="str">
        <f t="shared" si="243"/>
        <v>Option Year 10Sub 7</v>
      </c>
      <c r="FQ29" s="752" t="str">
        <f t="shared" si="243"/>
        <v>Option Year 10Sub 8</v>
      </c>
      <c r="FR29" s="752" t="str">
        <f t="shared" si="243"/>
        <v>Option Year 10Sub 9</v>
      </c>
      <c r="FS29" s="752" t="str">
        <f t="shared" si="243"/>
        <v>Option Year 10Sub 10</v>
      </c>
      <c r="FT29" s="752" t="str">
        <f t="shared" si="243"/>
        <v>Option Year 10Sub 11</v>
      </c>
      <c r="FU29" s="752" t="str">
        <f t="shared" si="243"/>
        <v>Option Year 10Sub 12</v>
      </c>
      <c r="FV29" s="752" t="str">
        <f t="shared" si="243"/>
        <v>Option Year 10Sub 13</v>
      </c>
      <c r="FW29" s="752" t="str">
        <f t="shared" si="243"/>
        <v>Option Year 10Sub 14</v>
      </c>
      <c r="FX29" s="752" t="str">
        <f t="shared" si="243"/>
        <v>Option Year 10Sub 15</v>
      </c>
      <c r="FY29" s="767"/>
      <c r="FZ29" s="752" t="str">
        <f t="shared" si="244"/>
        <v>Option Year 11Segovia, Inc.</v>
      </c>
      <c r="GA29" s="752" t="str">
        <f t="shared" si="244"/>
        <v>Option Year 11Briggs and Sons</v>
      </c>
      <c r="GB29" s="752" t="str">
        <f t="shared" si="244"/>
        <v>Option Year 11Yvan</v>
      </c>
      <c r="GC29" s="752" t="str">
        <f t="shared" si="244"/>
        <v>Option Year 11Sub 4</v>
      </c>
      <c r="GD29" s="752" t="str">
        <f t="shared" si="244"/>
        <v>Option Year 11Sub 5</v>
      </c>
      <c r="GE29" s="752" t="str">
        <f t="shared" si="244"/>
        <v>Option Year 11Sub 6</v>
      </c>
      <c r="GF29" s="752" t="str">
        <f t="shared" si="244"/>
        <v>Option Year 11Sub 7</v>
      </c>
      <c r="GG29" s="752" t="str">
        <f t="shared" si="244"/>
        <v>Option Year 11Sub 8</v>
      </c>
      <c r="GH29" s="752" t="str">
        <f t="shared" si="244"/>
        <v>Option Year 11Sub 9</v>
      </c>
      <c r="GI29" s="752" t="str">
        <f t="shared" si="244"/>
        <v>Option Year 11Sub 10</v>
      </c>
      <c r="GJ29" s="752" t="str">
        <f t="shared" si="244"/>
        <v>Option Year 11Sub 11</v>
      </c>
      <c r="GK29" s="752" t="str">
        <f t="shared" si="244"/>
        <v>Option Year 11Sub 12</v>
      </c>
      <c r="GL29" s="752" t="str">
        <f t="shared" si="244"/>
        <v>Option Year 11Sub 13</v>
      </c>
      <c r="GM29" s="752" t="str">
        <f t="shared" si="244"/>
        <v>Option Year 11Sub 14</v>
      </c>
      <c r="GN29" s="752" t="str">
        <f t="shared" si="244"/>
        <v>Option Year 11Sub 15</v>
      </c>
      <c r="GO29" s="767"/>
      <c r="GP29" s="752" t="str">
        <f t="shared" si="245"/>
        <v>Option Year 12Segovia, Inc.</v>
      </c>
      <c r="GQ29" s="752" t="str">
        <f t="shared" si="245"/>
        <v>Option Year 12Briggs and Sons</v>
      </c>
      <c r="GR29" s="752" t="str">
        <f t="shared" si="245"/>
        <v>Option Year 12Yvan</v>
      </c>
      <c r="GS29" s="752" t="str">
        <f t="shared" si="245"/>
        <v>Option Year 12Sub 4</v>
      </c>
      <c r="GT29" s="752" t="str">
        <f t="shared" si="245"/>
        <v>Option Year 12Sub 5</v>
      </c>
      <c r="GU29" s="752" t="str">
        <f t="shared" si="245"/>
        <v>Option Year 12Sub 6</v>
      </c>
      <c r="GV29" s="752" t="str">
        <f t="shared" si="245"/>
        <v>Option Year 12Sub 7</v>
      </c>
      <c r="GW29" s="752" t="str">
        <f t="shared" si="245"/>
        <v>Option Year 12Sub 8</v>
      </c>
      <c r="GX29" s="752" t="str">
        <f t="shared" si="245"/>
        <v>Option Year 12Sub 9</v>
      </c>
      <c r="GY29" s="752" t="str">
        <f t="shared" si="245"/>
        <v>Option Year 12Sub 10</v>
      </c>
      <c r="GZ29" s="752" t="str">
        <f t="shared" si="245"/>
        <v>Option Year 12Sub 11</v>
      </c>
      <c r="HA29" s="752" t="str">
        <f t="shared" si="245"/>
        <v>Option Year 12Sub 12</v>
      </c>
      <c r="HB29" s="752" t="str">
        <f t="shared" si="245"/>
        <v>Option Year 12Sub 13</v>
      </c>
      <c r="HC29" s="752" t="str">
        <f t="shared" si="245"/>
        <v>Option Year 12Sub 14</v>
      </c>
      <c r="HD29" s="752" t="str">
        <f t="shared" si="245"/>
        <v>Option Year 12Sub 15</v>
      </c>
      <c r="HE29" s="767"/>
      <c r="HF29" s="752" t="str">
        <f t="shared" si="246"/>
        <v>Option Year 13Segovia, Inc.</v>
      </c>
      <c r="HG29" s="752" t="str">
        <f t="shared" si="246"/>
        <v>Option Year 13Briggs and Sons</v>
      </c>
      <c r="HH29" s="752" t="str">
        <f t="shared" si="246"/>
        <v>Option Year 13Yvan</v>
      </c>
      <c r="HI29" s="752" t="str">
        <f t="shared" si="246"/>
        <v>Option Year 13Sub 4</v>
      </c>
      <c r="HJ29" s="752" t="str">
        <f t="shared" si="246"/>
        <v>Option Year 13Sub 5</v>
      </c>
      <c r="HK29" s="752" t="str">
        <f t="shared" si="246"/>
        <v>Option Year 13Sub 6</v>
      </c>
      <c r="HL29" s="752" t="str">
        <f t="shared" si="246"/>
        <v>Option Year 13Sub 7</v>
      </c>
      <c r="HM29" s="752" t="str">
        <f t="shared" si="246"/>
        <v>Option Year 13Sub 8</v>
      </c>
      <c r="HN29" s="752" t="str">
        <f t="shared" si="246"/>
        <v>Option Year 13Sub 9</v>
      </c>
      <c r="HO29" s="752" t="str">
        <f t="shared" si="246"/>
        <v>Option Year 13Sub 10</v>
      </c>
      <c r="HP29" s="752" t="str">
        <f t="shared" si="246"/>
        <v>Option Year 13Sub 11</v>
      </c>
      <c r="HQ29" s="752" t="str">
        <f t="shared" si="246"/>
        <v>Option Year 13Sub 12</v>
      </c>
      <c r="HR29" s="752" t="str">
        <f t="shared" si="246"/>
        <v>Option Year 13Sub 13</v>
      </c>
      <c r="HS29" s="752" t="str">
        <f t="shared" si="246"/>
        <v>Option Year 13Sub 14</v>
      </c>
      <c r="HT29" s="752" t="str">
        <f t="shared" si="246"/>
        <v>Option Year 13Sub 15</v>
      </c>
      <c r="HU29" s="767"/>
      <c r="HV29" s="752" t="str">
        <f t="shared" si="247"/>
        <v>Option Year 14Segovia, Inc.</v>
      </c>
      <c r="HW29" s="752" t="str">
        <f t="shared" si="247"/>
        <v>Option Year 14Briggs and Sons</v>
      </c>
      <c r="HX29" s="752" t="str">
        <f t="shared" si="247"/>
        <v>Option Year 14Yvan</v>
      </c>
      <c r="HY29" s="752" t="str">
        <f t="shared" si="247"/>
        <v>Option Year 14Sub 4</v>
      </c>
      <c r="HZ29" s="752" t="str">
        <f t="shared" si="247"/>
        <v>Option Year 14Sub 5</v>
      </c>
      <c r="IA29" s="752" t="str">
        <f t="shared" si="247"/>
        <v>Option Year 14Sub 6</v>
      </c>
      <c r="IB29" s="752" t="str">
        <f t="shared" si="247"/>
        <v>Option Year 14Sub 7</v>
      </c>
      <c r="IC29" s="752" t="str">
        <f t="shared" si="247"/>
        <v>Option Year 14Sub 8</v>
      </c>
      <c r="ID29" s="752" t="str">
        <f t="shared" si="247"/>
        <v>Option Year 14Sub 9</v>
      </c>
      <c r="IE29" s="752" t="str">
        <f t="shared" si="247"/>
        <v>Option Year 14Sub 10</v>
      </c>
      <c r="IF29" s="752" t="str">
        <f t="shared" si="247"/>
        <v>Option Year 14Sub 11</v>
      </c>
      <c r="IG29" s="752" t="str">
        <f t="shared" si="247"/>
        <v>Option Year 14Sub 12</v>
      </c>
      <c r="IH29" s="752" t="str">
        <f t="shared" si="247"/>
        <v>Option Year 14Sub 13</v>
      </c>
      <c r="II29" s="752" t="str">
        <f t="shared" si="247"/>
        <v>Option Year 14Sub 14</v>
      </c>
      <c r="IJ29" s="788" t="str">
        <f t="shared" si="247"/>
        <v>Option Year 14Sub 15</v>
      </c>
      <c r="IK29" s="794"/>
    </row>
    <row r="30" spans="1:245" s="749" customFormat="1">
      <c r="A30" s="747"/>
      <c r="B30" s="761" t="s">
        <v>686</v>
      </c>
      <c r="C30" s="774" t="s">
        <v>687</v>
      </c>
      <c r="D30" s="765" t="s">
        <v>724</v>
      </c>
      <c r="E30" s="746"/>
      <c r="F30" s="797">
        <f>F$9</f>
        <v>0</v>
      </c>
      <c r="G30" s="748">
        <f t="shared" ref="G30:T30" si="249">G$9</f>
        <v>0</v>
      </c>
      <c r="H30" s="748">
        <f t="shared" si="249"/>
        <v>0</v>
      </c>
      <c r="I30" s="748">
        <f t="shared" si="249"/>
        <v>0</v>
      </c>
      <c r="J30" s="748">
        <f t="shared" si="249"/>
        <v>0</v>
      </c>
      <c r="K30" s="748">
        <f t="shared" si="249"/>
        <v>0</v>
      </c>
      <c r="L30" s="748">
        <f t="shared" si="249"/>
        <v>0</v>
      </c>
      <c r="M30" s="748">
        <f t="shared" si="249"/>
        <v>0</v>
      </c>
      <c r="N30" s="748">
        <f t="shared" si="249"/>
        <v>0</v>
      </c>
      <c r="O30" s="748">
        <f t="shared" si="249"/>
        <v>0</v>
      </c>
      <c r="P30" s="748">
        <f t="shared" si="249"/>
        <v>0</v>
      </c>
      <c r="Q30" s="748">
        <f t="shared" si="249"/>
        <v>0</v>
      </c>
      <c r="R30" s="748">
        <f t="shared" si="249"/>
        <v>0</v>
      </c>
      <c r="S30" s="748">
        <f t="shared" si="249"/>
        <v>0</v>
      </c>
      <c r="T30" s="748">
        <f t="shared" si="249"/>
        <v>0</v>
      </c>
      <c r="U30" s="772"/>
      <c r="V30" s="748">
        <f>V$9</f>
        <v>0</v>
      </c>
      <c r="W30" s="748">
        <f t="shared" ref="W30:AJ30" si="250">W$9</f>
        <v>0</v>
      </c>
      <c r="X30" s="748">
        <f t="shared" si="250"/>
        <v>0</v>
      </c>
      <c r="Y30" s="748">
        <f t="shared" si="250"/>
        <v>0</v>
      </c>
      <c r="Z30" s="748">
        <f t="shared" si="250"/>
        <v>0</v>
      </c>
      <c r="AA30" s="748">
        <f t="shared" si="250"/>
        <v>0</v>
      </c>
      <c r="AB30" s="748">
        <f t="shared" si="250"/>
        <v>0</v>
      </c>
      <c r="AC30" s="748">
        <f t="shared" si="250"/>
        <v>0</v>
      </c>
      <c r="AD30" s="748">
        <f t="shared" si="250"/>
        <v>0</v>
      </c>
      <c r="AE30" s="748">
        <f t="shared" si="250"/>
        <v>0</v>
      </c>
      <c r="AF30" s="748">
        <f t="shared" si="250"/>
        <v>0</v>
      </c>
      <c r="AG30" s="748">
        <f t="shared" si="250"/>
        <v>0</v>
      </c>
      <c r="AH30" s="748">
        <f t="shared" si="250"/>
        <v>0</v>
      </c>
      <c r="AI30" s="748">
        <f t="shared" si="250"/>
        <v>0</v>
      </c>
      <c r="AJ30" s="748">
        <f t="shared" si="250"/>
        <v>0</v>
      </c>
      <c r="AK30" s="772"/>
      <c r="AL30" s="748">
        <f>AL$9</f>
        <v>0</v>
      </c>
      <c r="AM30" s="748">
        <f t="shared" ref="AM30:AZ30" si="251">AM$9</f>
        <v>0</v>
      </c>
      <c r="AN30" s="748">
        <f t="shared" si="251"/>
        <v>0</v>
      </c>
      <c r="AO30" s="748">
        <f t="shared" si="251"/>
        <v>0</v>
      </c>
      <c r="AP30" s="748">
        <f t="shared" si="251"/>
        <v>0</v>
      </c>
      <c r="AQ30" s="748">
        <f t="shared" si="251"/>
        <v>0</v>
      </c>
      <c r="AR30" s="748">
        <f t="shared" si="251"/>
        <v>0</v>
      </c>
      <c r="AS30" s="748">
        <f t="shared" si="251"/>
        <v>0</v>
      </c>
      <c r="AT30" s="748">
        <f t="shared" si="251"/>
        <v>0</v>
      </c>
      <c r="AU30" s="748">
        <f t="shared" si="251"/>
        <v>0</v>
      </c>
      <c r="AV30" s="748">
        <f t="shared" si="251"/>
        <v>0</v>
      </c>
      <c r="AW30" s="748">
        <f t="shared" si="251"/>
        <v>0</v>
      </c>
      <c r="AX30" s="748">
        <f t="shared" si="251"/>
        <v>0</v>
      </c>
      <c r="AY30" s="748">
        <f t="shared" si="251"/>
        <v>0</v>
      </c>
      <c r="AZ30" s="748">
        <f t="shared" si="251"/>
        <v>0</v>
      </c>
      <c r="BA30" s="772"/>
      <c r="BB30" s="748">
        <f>BB$9</f>
        <v>0</v>
      </c>
      <c r="BC30" s="748">
        <f t="shared" ref="BC30:BP30" si="252">BC$9</f>
        <v>0</v>
      </c>
      <c r="BD30" s="748">
        <f t="shared" si="252"/>
        <v>0</v>
      </c>
      <c r="BE30" s="748">
        <f t="shared" si="252"/>
        <v>0</v>
      </c>
      <c r="BF30" s="748">
        <f t="shared" si="252"/>
        <v>0</v>
      </c>
      <c r="BG30" s="748">
        <f t="shared" si="252"/>
        <v>0</v>
      </c>
      <c r="BH30" s="748">
        <f t="shared" si="252"/>
        <v>0</v>
      </c>
      <c r="BI30" s="748">
        <f t="shared" si="252"/>
        <v>0</v>
      </c>
      <c r="BJ30" s="748">
        <f t="shared" si="252"/>
        <v>0</v>
      </c>
      <c r="BK30" s="748">
        <f t="shared" si="252"/>
        <v>0</v>
      </c>
      <c r="BL30" s="748">
        <f t="shared" si="252"/>
        <v>0</v>
      </c>
      <c r="BM30" s="748">
        <f t="shared" si="252"/>
        <v>0</v>
      </c>
      <c r="BN30" s="748">
        <f t="shared" si="252"/>
        <v>0</v>
      </c>
      <c r="BO30" s="748">
        <f t="shared" si="252"/>
        <v>0</v>
      </c>
      <c r="BP30" s="748">
        <f t="shared" si="252"/>
        <v>0</v>
      </c>
      <c r="BQ30" s="772"/>
      <c r="BR30" s="748">
        <f>BR$9</f>
        <v>0</v>
      </c>
      <c r="BS30" s="748">
        <f t="shared" ref="BS30:CF30" si="253">BS$9</f>
        <v>0</v>
      </c>
      <c r="BT30" s="748">
        <f t="shared" si="253"/>
        <v>0</v>
      </c>
      <c r="BU30" s="748">
        <f t="shared" si="253"/>
        <v>0</v>
      </c>
      <c r="BV30" s="748">
        <f t="shared" si="253"/>
        <v>0</v>
      </c>
      <c r="BW30" s="748">
        <f t="shared" si="253"/>
        <v>0</v>
      </c>
      <c r="BX30" s="748">
        <f t="shared" si="253"/>
        <v>0</v>
      </c>
      <c r="BY30" s="748">
        <f t="shared" si="253"/>
        <v>0</v>
      </c>
      <c r="BZ30" s="748">
        <f t="shared" si="253"/>
        <v>0</v>
      </c>
      <c r="CA30" s="748">
        <f t="shared" si="253"/>
        <v>0</v>
      </c>
      <c r="CB30" s="748">
        <f t="shared" si="253"/>
        <v>0</v>
      </c>
      <c r="CC30" s="748">
        <f t="shared" si="253"/>
        <v>0</v>
      </c>
      <c r="CD30" s="748">
        <f t="shared" si="253"/>
        <v>0</v>
      </c>
      <c r="CE30" s="748">
        <f t="shared" si="253"/>
        <v>0</v>
      </c>
      <c r="CF30" s="748">
        <f t="shared" si="253"/>
        <v>0</v>
      </c>
      <c r="CG30" s="772"/>
      <c r="CH30" s="748">
        <f>CH$9</f>
        <v>0</v>
      </c>
      <c r="CI30" s="748">
        <f t="shared" ref="CI30:CV30" si="254">CI$9</f>
        <v>0</v>
      </c>
      <c r="CJ30" s="748">
        <f t="shared" si="254"/>
        <v>0</v>
      </c>
      <c r="CK30" s="748">
        <f t="shared" si="254"/>
        <v>0</v>
      </c>
      <c r="CL30" s="748">
        <f t="shared" si="254"/>
        <v>0</v>
      </c>
      <c r="CM30" s="748">
        <f t="shared" si="254"/>
        <v>0</v>
      </c>
      <c r="CN30" s="748">
        <f t="shared" si="254"/>
        <v>0</v>
      </c>
      <c r="CO30" s="748">
        <f t="shared" si="254"/>
        <v>0</v>
      </c>
      <c r="CP30" s="748">
        <f t="shared" si="254"/>
        <v>0</v>
      </c>
      <c r="CQ30" s="748">
        <f t="shared" si="254"/>
        <v>0</v>
      </c>
      <c r="CR30" s="748">
        <f t="shared" si="254"/>
        <v>0</v>
      </c>
      <c r="CS30" s="748">
        <f t="shared" si="254"/>
        <v>0</v>
      </c>
      <c r="CT30" s="748">
        <f t="shared" si="254"/>
        <v>0</v>
      </c>
      <c r="CU30" s="748">
        <f t="shared" si="254"/>
        <v>0</v>
      </c>
      <c r="CV30" s="748">
        <f t="shared" si="254"/>
        <v>0</v>
      </c>
      <c r="CW30" s="772"/>
      <c r="CX30" s="748">
        <f>CX$9</f>
        <v>0</v>
      </c>
      <c r="CY30" s="748">
        <f t="shared" ref="CY30:DL30" si="255">CY$9</f>
        <v>0</v>
      </c>
      <c r="CZ30" s="748">
        <f t="shared" si="255"/>
        <v>0</v>
      </c>
      <c r="DA30" s="748">
        <f t="shared" si="255"/>
        <v>0</v>
      </c>
      <c r="DB30" s="748">
        <f t="shared" si="255"/>
        <v>0</v>
      </c>
      <c r="DC30" s="748">
        <f t="shared" si="255"/>
        <v>0</v>
      </c>
      <c r="DD30" s="748">
        <f t="shared" si="255"/>
        <v>0</v>
      </c>
      <c r="DE30" s="748">
        <f t="shared" si="255"/>
        <v>0</v>
      </c>
      <c r="DF30" s="748">
        <f t="shared" si="255"/>
        <v>0</v>
      </c>
      <c r="DG30" s="748">
        <f t="shared" si="255"/>
        <v>0</v>
      </c>
      <c r="DH30" s="748">
        <f t="shared" si="255"/>
        <v>0</v>
      </c>
      <c r="DI30" s="748">
        <f t="shared" si="255"/>
        <v>0</v>
      </c>
      <c r="DJ30" s="748">
        <f t="shared" si="255"/>
        <v>0</v>
      </c>
      <c r="DK30" s="748">
        <f t="shared" si="255"/>
        <v>0</v>
      </c>
      <c r="DL30" s="748">
        <f t="shared" si="255"/>
        <v>0</v>
      </c>
      <c r="DM30" s="772"/>
      <c r="DN30" s="748">
        <f>DN$9</f>
        <v>0</v>
      </c>
      <c r="DO30" s="748">
        <f t="shared" ref="DO30:EB30" si="256">DO$9</f>
        <v>0</v>
      </c>
      <c r="DP30" s="748">
        <f t="shared" si="256"/>
        <v>0</v>
      </c>
      <c r="DQ30" s="748">
        <f t="shared" si="256"/>
        <v>0</v>
      </c>
      <c r="DR30" s="748">
        <f t="shared" si="256"/>
        <v>0</v>
      </c>
      <c r="DS30" s="748">
        <f t="shared" si="256"/>
        <v>0</v>
      </c>
      <c r="DT30" s="748">
        <f t="shared" si="256"/>
        <v>0</v>
      </c>
      <c r="DU30" s="748">
        <f t="shared" si="256"/>
        <v>0</v>
      </c>
      <c r="DV30" s="748">
        <f t="shared" si="256"/>
        <v>0</v>
      </c>
      <c r="DW30" s="748">
        <f t="shared" si="256"/>
        <v>0</v>
      </c>
      <c r="DX30" s="748">
        <f t="shared" si="256"/>
        <v>0</v>
      </c>
      <c r="DY30" s="748">
        <f t="shared" si="256"/>
        <v>0</v>
      </c>
      <c r="DZ30" s="748">
        <f t="shared" si="256"/>
        <v>0</v>
      </c>
      <c r="EA30" s="748">
        <f t="shared" si="256"/>
        <v>0</v>
      </c>
      <c r="EB30" s="748">
        <f t="shared" si="256"/>
        <v>0</v>
      </c>
      <c r="EC30" s="772"/>
      <c r="ED30" s="748">
        <f>ED$9</f>
        <v>0</v>
      </c>
      <c r="EE30" s="748">
        <f t="shared" ref="EE30:ER30" si="257">EE$9</f>
        <v>0</v>
      </c>
      <c r="EF30" s="748">
        <f t="shared" si="257"/>
        <v>0</v>
      </c>
      <c r="EG30" s="748">
        <f t="shared" si="257"/>
        <v>0</v>
      </c>
      <c r="EH30" s="748">
        <f t="shared" si="257"/>
        <v>0</v>
      </c>
      <c r="EI30" s="748">
        <f t="shared" si="257"/>
        <v>0</v>
      </c>
      <c r="EJ30" s="748">
        <f t="shared" si="257"/>
        <v>0</v>
      </c>
      <c r="EK30" s="748">
        <f t="shared" si="257"/>
        <v>0</v>
      </c>
      <c r="EL30" s="748">
        <f t="shared" si="257"/>
        <v>0</v>
      </c>
      <c r="EM30" s="748">
        <f t="shared" si="257"/>
        <v>0</v>
      </c>
      <c r="EN30" s="748">
        <f t="shared" si="257"/>
        <v>0</v>
      </c>
      <c r="EO30" s="748">
        <f t="shared" si="257"/>
        <v>0</v>
      </c>
      <c r="EP30" s="748">
        <f t="shared" si="257"/>
        <v>0</v>
      </c>
      <c r="EQ30" s="748">
        <f t="shared" si="257"/>
        <v>0</v>
      </c>
      <c r="ER30" s="748">
        <f t="shared" si="257"/>
        <v>0</v>
      </c>
      <c r="ES30" s="772"/>
      <c r="ET30" s="748">
        <f>ET$9</f>
        <v>0</v>
      </c>
      <c r="EU30" s="748">
        <f t="shared" ref="EU30:FH30" si="258">EU$9</f>
        <v>0</v>
      </c>
      <c r="EV30" s="748">
        <f t="shared" si="258"/>
        <v>0</v>
      </c>
      <c r="EW30" s="748">
        <f t="shared" si="258"/>
        <v>0</v>
      </c>
      <c r="EX30" s="748">
        <f t="shared" si="258"/>
        <v>0</v>
      </c>
      <c r="EY30" s="748">
        <f t="shared" si="258"/>
        <v>0</v>
      </c>
      <c r="EZ30" s="748">
        <f t="shared" si="258"/>
        <v>0</v>
      </c>
      <c r="FA30" s="748">
        <f t="shared" si="258"/>
        <v>0</v>
      </c>
      <c r="FB30" s="748">
        <f t="shared" si="258"/>
        <v>0</v>
      </c>
      <c r="FC30" s="748">
        <f t="shared" si="258"/>
        <v>0</v>
      </c>
      <c r="FD30" s="748">
        <f t="shared" si="258"/>
        <v>0</v>
      </c>
      <c r="FE30" s="748">
        <f t="shared" si="258"/>
        <v>0</v>
      </c>
      <c r="FF30" s="748">
        <f t="shared" si="258"/>
        <v>0</v>
      </c>
      <c r="FG30" s="748">
        <f t="shared" si="258"/>
        <v>0</v>
      </c>
      <c r="FH30" s="748">
        <f t="shared" si="258"/>
        <v>0</v>
      </c>
      <c r="FI30" s="772"/>
      <c r="FJ30" s="748">
        <f>FJ$9</f>
        <v>0</v>
      </c>
      <c r="FK30" s="748">
        <f t="shared" ref="FK30:FX30" si="259">FK$9</f>
        <v>0</v>
      </c>
      <c r="FL30" s="748">
        <f t="shared" si="259"/>
        <v>0</v>
      </c>
      <c r="FM30" s="748">
        <f t="shared" si="259"/>
        <v>0</v>
      </c>
      <c r="FN30" s="748">
        <f t="shared" si="259"/>
        <v>0</v>
      </c>
      <c r="FO30" s="748">
        <f t="shared" si="259"/>
        <v>0</v>
      </c>
      <c r="FP30" s="748">
        <f t="shared" si="259"/>
        <v>0</v>
      </c>
      <c r="FQ30" s="748">
        <f t="shared" si="259"/>
        <v>0</v>
      </c>
      <c r="FR30" s="748">
        <f t="shared" si="259"/>
        <v>0</v>
      </c>
      <c r="FS30" s="748">
        <f t="shared" si="259"/>
        <v>0</v>
      </c>
      <c r="FT30" s="748">
        <f t="shared" si="259"/>
        <v>0</v>
      </c>
      <c r="FU30" s="748">
        <f t="shared" si="259"/>
        <v>0</v>
      </c>
      <c r="FV30" s="748">
        <f t="shared" si="259"/>
        <v>0</v>
      </c>
      <c r="FW30" s="748">
        <f t="shared" si="259"/>
        <v>0</v>
      </c>
      <c r="FX30" s="748">
        <f t="shared" si="259"/>
        <v>0</v>
      </c>
      <c r="FY30" s="772"/>
      <c r="FZ30" s="748">
        <f>FZ$9</f>
        <v>0</v>
      </c>
      <c r="GA30" s="748">
        <f t="shared" ref="GA30:GN30" si="260">GA$9</f>
        <v>0</v>
      </c>
      <c r="GB30" s="748">
        <f t="shared" si="260"/>
        <v>0</v>
      </c>
      <c r="GC30" s="748">
        <f t="shared" si="260"/>
        <v>0</v>
      </c>
      <c r="GD30" s="748">
        <f t="shared" si="260"/>
        <v>0</v>
      </c>
      <c r="GE30" s="748">
        <f t="shared" si="260"/>
        <v>0</v>
      </c>
      <c r="GF30" s="748">
        <f t="shared" si="260"/>
        <v>0</v>
      </c>
      <c r="GG30" s="748">
        <f t="shared" si="260"/>
        <v>0</v>
      </c>
      <c r="GH30" s="748">
        <f t="shared" si="260"/>
        <v>0</v>
      </c>
      <c r="GI30" s="748">
        <f t="shared" si="260"/>
        <v>0</v>
      </c>
      <c r="GJ30" s="748">
        <f t="shared" si="260"/>
        <v>0</v>
      </c>
      <c r="GK30" s="748">
        <f t="shared" si="260"/>
        <v>0</v>
      </c>
      <c r="GL30" s="748">
        <f t="shared" si="260"/>
        <v>0</v>
      </c>
      <c r="GM30" s="748">
        <f t="shared" si="260"/>
        <v>0</v>
      </c>
      <c r="GN30" s="748">
        <f t="shared" si="260"/>
        <v>0</v>
      </c>
      <c r="GO30" s="772"/>
      <c r="GP30" s="748">
        <f>GP$9</f>
        <v>0</v>
      </c>
      <c r="GQ30" s="748">
        <f t="shared" ref="GQ30:HD30" si="261">GQ$9</f>
        <v>0</v>
      </c>
      <c r="GR30" s="748">
        <f t="shared" si="261"/>
        <v>0</v>
      </c>
      <c r="GS30" s="748">
        <f t="shared" si="261"/>
        <v>0</v>
      </c>
      <c r="GT30" s="748">
        <f t="shared" si="261"/>
        <v>0</v>
      </c>
      <c r="GU30" s="748">
        <f t="shared" si="261"/>
        <v>0</v>
      </c>
      <c r="GV30" s="748">
        <f t="shared" si="261"/>
        <v>0</v>
      </c>
      <c r="GW30" s="748">
        <f t="shared" si="261"/>
        <v>0</v>
      </c>
      <c r="GX30" s="748">
        <f t="shared" si="261"/>
        <v>0</v>
      </c>
      <c r="GY30" s="748">
        <f t="shared" si="261"/>
        <v>0</v>
      </c>
      <c r="GZ30" s="748">
        <f t="shared" si="261"/>
        <v>0</v>
      </c>
      <c r="HA30" s="748">
        <f t="shared" si="261"/>
        <v>0</v>
      </c>
      <c r="HB30" s="748">
        <f t="shared" si="261"/>
        <v>0</v>
      </c>
      <c r="HC30" s="748">
        <f t="shared" si="261"/>
        <v>0</v>
      </c>
      <c r="HD30" s="748">
        <f t="shared" si="261"/>
        <v>0</v>
      </c>
      <c r="HE30" s="772"/>
      <c r="HF30" s="748">
        <f>HF$9</f>
        <v>0</v>
      </c>
      <c r="HG30" s="748">
        <f t="shared" ref="HG30:HT30" si="262">HG$9</f>
        <v>0</v>
      </c>
      <c r="HH30" s="748">
        <f t="shared" si="262"/>
        <v>0</v>
      </c>
      <c r="HI30" s="748">
        <f t="shared" si="262"/>
        <v>0</v>
      </c>
      <c r="HJ30" s="748">
        <f t="shared" si="262"/>
        <v>0</v>
      </c>
      <c r="HK30" s="748">
        <f t="shared" si="262"/>
        <v>0</v>
      </c>
      <c r="HL30" s="748">
        <f t="shared" si="262"/>
        <v>0</v>
      </c>
      <c r="HM30" s="748">
        <f t="shared" si="262"/>
        <v>0</v>
      </c>
      <c r="HN30" s="748">
        <f t="shared" si="262"/>
        <v>0</v>
      </c>
      <c r="HO30" s="748">
        <f t="shared" si="262"/>
        <v>0</v>
      </c>
      <c r="HP30" s="748">
        <f t="shared" si="262"/>
        <v>0</v>
      </c>
      <c r="HQ30" s="748">
        <f t="shared" si="262"/>
        <v>0</v>
      </c>
      <c r="HR30" s="748">
        <f t="shared" si="262"/>
        <v>0</v>
      </c>
      <c r="HS30" s="748">
        <f t="shared" si="262"/>
        <v>0</v>
      </c>
      <c r="HT30" s="748">
        <f t="shared" si="262"/>
        <v>0</v>
      </c>
      <c r="HU30" s="772"/>
      <c r="HV30" s="748">
        <f>HV$9</f>
        <v>0</v>
      </c>
      <c r="HW30" s="748">
        <f t="shared" ref="HW30:IJ30" si="263">HW$9</f>
        <v>0</v>
      </c>
      <c r="HX30" s="748">
        <f t="shared" si="263"/>
        <v>0</v>
      </c>
      <c r="HY30" s="748">
        <f t="shared" si="263"/>
        <v>0</v>
      </c>
      <c r="HZ30" s="748">
        <f t="shared" si="263"/>
        <v>0</v>
      </c>
      <c r="IA30" s="748">
        <f t="shared" si="263"/>
        <v>0</v>
      </c>
      <c r="IB30" s="748">
        <f t="shared" si="263"/>
        <v>0</v>
      </c>
      <c r="IC30" s="748">
        <f t="shared" si="263"/>
        <v>0</v>
      </c>
      <c r="ID30" s="748">
        <f t="shared" si="263"/>
        <v>0</v>
      </c>
      <c r="IE30" s="748">
        <f t="shared" si="263"/>
        <v>0</v>
      </c>
      <c r="IF30" s="748">
        <f t="shared" si="263"/>
        <v>0</v>
      </c>
      <c r="IG30" s="748">
        <f t="shared" si="263"/>
        <v>0</v>
      </c>
      <c r="IH30" s="748">
        <f t="shared" si="263"/>
        <v>0</v>
      </c>
      <c r="II30" s="748">
        <f t="shared" si="263"/>
        <v>0</v>
      </c>
      <c r="IJ30" s="789">
        <f t="shared" si="263"/>
        <v>0</v>
      </c>
      <c r="IK30" s="799"/>
    </row>
    <row r="31" spans="1:245">
      <c r="A31" s="750">
        <v>1</v>
      </c>
      <c r="B31" s="762" t="str">
        <f t="shared" ref="B31:B47" si="264">VLOOKUP($A31,DL,2,FALSE)</f>
        <v xml:space="preserve">LAN/Wan Engineer </v>
      </c>
      <c r="C31" s="775"/>
      <c r="D31" s="769"/>
      <c r="E31" s="52" t="str">
        <f t="shared" ref="E31:E47" si="265">$B31&amp;$C$29&amp;$C31</f>
        <v>LAN/Wan Engineer Contr_Sub</v>
      </c>
      <c r="F31" s="793"/>
      <c r="G31" s="43"/>
      <c r="H31" s="43"/>
      <c r="I31" s="43"/>
      <c r="J31" s="43"/>
      <c r="K31" s="43"/>
      <c r="L31" s="43"/>
      <c r="M31" s="43"/>
      <c r="N31" s="43"/>
      <c r="O31" s="43"/>
      <c r="P31" s="43"/>
      <c r="Q31" s="43"/>
      <c r="R31" s="43"/>
      <c r="S31" s="43"/>
      <c r="T31" s="43"/>
      <c r="U31" s="767"/>
      <c r="V31" s="43">
        <f t="shared" ref="V31:V43" si="266">F31*(1+V$30)</f>
        <v>0</v>
      </c>
      <c r="W31" s="43">
        <f t="shared" ref="W31:W43" si="267">G31*(1+W$30)</f>
        <v>0</v>
      </c>
      <c r="X31" s="43">
        <f t="shared" ref="X31:X43" si="268">H31*(1+X$30)</f>
        <v>0</v>
      </c>
      <c r="Y31" s="43">
        <f t="shared" ref="Y31:Y43" si="269">I31*(1+Y$30)</f>
        <v>0</v>
      </c>
      <c r="Z31" s="43">
        <f t="shared" ref="Z31:Z43" si="270">J31*(1+Z$30)</f>
        <v>0</v>
      </c>
      <c r="AA31" s="43">
        <f t="shared" ref="AA31:AA43" si="271">K31*(1+AA$30)</f>
        <v>0</v>
      </c>
      <c r="AB31" s="43">
        <f t="shared" ref="AB31:AB43" si="272">L31*(1+AB$30)</f>
        <v>0</v>
      </c>
      <c r="AC31" s="43">
        <f t="shared" ref="AC31:AC43" si="273">M31*(1+AC$30)</f>
        <v>0</v>
      </c>
      <c r="AD31" s="43">
        <f t="shared" ref="AD31:AD43" si="274">N31*(1+AD$30)</f>
        <v>0</v>
      </c>
      <c r="AE31" s="43">
        <f t="shared" ref="AE31:AE43" si="275">O31*(1+AE$30)</f>
        <v>0</v>
      </c>
      <c r="AF31" s="43">
        <f t="shared" ref="AF31:AF43" si="276">P31*(1+AF$30)</f>
        <v>0</v>
      </c>
      <c r="AG31" s="43">
        <f t="shared" ref="AG31:AG43" si="277">Q31*(1+AG$30)</f>
        <v>0</v>
      </c>
      <c r="AH31" s="43">
        <f t="shared" ref="AH31:AH43" si="278">R31*(1+AH$30)</f>
        <v>0</v>
      </c>
      <c r="AI31" s="43">
        <f t="shared" ref="AI31:AI43" si="279">S31*(1+AI$30)</f>
        <v>0</v>
      </c>
      <c r="AJ31" s="43">
        <f t="shared" ref="AJ31:AJ43" si="280">T31*(1+AJ$30)</f>
        <v>0</v>
      </c>
      <c r="AK31" s="767"/>
      <c r="AL31" s="43">
        <f t="shared" ref="AL31:AL43" si="281">V31*(1+AL$30)</f>
        <v>0</v>
      </c>
      <c r="AM31" s="43">
        <f t="shared" ref="AM31:AM43" si="282">W31*(1+AM$30)</f>
        <v>0</v>
      </c>
      <c r="AN31" s="43">
        <f t="shared" ref="AN31:AN43" si="283">X31*(1+AN$30)</f>
        <v>0</v>
      </c>
      <c r="AO31" s="43">
        <f t="shared" ref="AO31:AO43" si="284">Y31*(1+AO$30)</f>
        <v>0</v>
      </c>
      <c r="AP31" s="43">
        <f t="shared" ref="AP31:AP43" si="285">Z31*(1+AP$30)</f>
        <v>0</v>
      </c>
      <c r="AQ31" s="43">
        <f t="shared" ref="AQ31:AQ43" si="286">AA31*(1+AQ$30)</f>
        <v>0</v>
      </c>
      <c r="AR31" s="43">
        <f t="shared" ref="AR31:AR43" si="287">AB31*(1+AR$30)</f>
        <v>0</v>
      </c>
      <c r="AS31" s="43">
        <f t="shared" ref="AS31:AS43" si="288">AC31*(1+AS$30)</f>
        <v>0</v>
      </c>
      <c r="AT31" s="43">
        <f t="shared" ref="AT31:AT43" si="289">AD31*(1+AT$30)</f>
        <v>0</v>
      </c>
      <c r="AU31" s="43">
        <f t="shared" ref="AU31:AU43" si="290">AE31*(1+AU$30)</f>
        <v>0</v>
      </c>
      <c r="AV31" s="43">
        <f t="shared" ref="AV31:AV43" si="291">AF31*(1+AV$30)</f>
        <v>0</v>
      </c>
      <c r="AW31" s="43">
        <f t="shared" ref="AW31:AW43" si="292">AG31*(1+AW$30)</f>
        <v>0</v>
      </c>
      <c r="AX31" s="43">
        <f t="shared" ref="AX31:AX43" si="293">AH31*(1+AX$30)</f>
        <v>0</v>
      </c>
      <c r="AY31" s="43">
        <f t="shared" ref="AY31:AY43" si="294">AI31*(1+AY$30)</f>
        <v>0</v>
      </c>
      <c r="AZ31" s="43">
        <f t="shared" ref="AZ31:AZ43" si="295">AJ31*(1+AZ$30)</f>
        <v>0</v>
      </c>
      <c r="BA31" s="767"/>
      <c r="BB31" s="43">
        <f t="shared" ref="BB31:BB43" si="296">AL31*(1+BB$30)</f>
        <v>0</v>
      </c>
      <c r="BC31" s="43">
        <f t="shared" ref="BC31:BC43" si="297">AM31*(1+BC$30)</f>
        <v>0</v>
      </c>
      <c r="BD31" s="43">
        <f t="shared" ref="BD31:BD43" si="298">AN31*(1+BD$30)</f>
        <v>0</v>
      </c>
      <c r="BE31" s="43">
        <f t="shared" ref="BE31:BE43" si="299">AO31*(1+BE$30)</f>
        <v>0</v>
      </c>
      <c r="BF31" s="43">
        <f t="shared" ref="BF31:BF43" si="300">AP31*(1+BF$30)</f>
        <v>0</v>
      </c>
      <c r="BG31" s="43">
        <f t="shared" ref="BG31:BG43" si="301">AQ31*(1+BG$30)</f>
        <v>0</v>
      </c>
      <c r="BH31" s="43">
        <f t="shared" ref="BH31:BH43" si="302">AR31*(1+BH$30)</f>
        <v>0</v>
      </c>
      <c r="BI31" s="43">
        <f t="shared" ref="BI31:BI43" si="303">AS31*(1+BI$30)</f>
        <v>0</v>
      </c>
      <c r="BJ31" s="43">
        <f t="shared" ref="BJ31:BJ43" si="304">AT31*(1+BJ$30)</f>
        <v>0</v>
      </c>
      <c r="BK31" s="43">
        <f t="shared" ref="BK31:BK43" si="305">AU31*(1+BK$30)</f>
        <v>0</v>
      </c>
      <c r="BL31" s="43">
        <f t="shared" ref="BL31:BL43" si="306">AV31*(1+BL$30)</f>
        <v>0</v>
      </c>
      <c r="BM31" s="43">
        <f t="shared" ref="BM31:BM43" si="307">AW31*(1+BM$30)</f>
        <v>0</v>
      </c>
      <c r="BN31" s="43">
        <f t="shared" ref="BN31:BN43" si="308">AX31*(1+BN$30)</f>
        <v>0</v>
      </c>
      <c r="BO31" s="43">
        <f t="shared" ref="BO31:BO43" si="309">AY31*(1+BO$30)</f>
        <v>0</v>
      </c>
      <c r="BP31" s="43">
        <f t="shared" ref="BP31:BP43" si="310">AZ31*(1+BP$30)</f>
        <v>0</v>
      </c>
      <c r="BQ31" s="767"/>
      <c r="BR31" s="43">
        <f t="shared" ref="BR31:BR43" si="311">BB31*(1+BR$30)</f>
        <v>0</v>
      </c>
      <c r="BS31" s="43">
        <f t="shared" ref="BS31:BS43" si="312">BC31*(1+BS$30)</f>
        <v>0</v>
      </c>
      <c r="BT31" s="43">
        <f t="shared" ref="BT31:BT43" si="313">BD31*(1+BT$30)</f>
        <v>0</v>
      </c>
      <c r="BU31" s="43">
        <f t="shared" ref="BU31:BU43" si="314">BE31*(1+BU$30)</f>
        <v>0</v>
      </c>
      <c r="BV31" s="43">
        <f t="shared" ref="BV31:BV43" si="315">BF31*(1+BV$30)</f>
        <v>0</v>
      </c>
      <c r="BW31" s="43">
        <f t="shared" ref="BW31:BW43" si="316">BG31*(1+BW$30)</f>
        <v>0</v>
      </c>
      <c r="BX31" s="43">
        <f t="shared" ref="BX31:BX43" si="317">BH31*(1+BX$30)</f>
        <v>0</v>
      </c>
      <c r="BY31" s="43">
        <f t="shared" ref="BY31:BY43" si="318">BI31*(1+BY$30)</f>
        <v>0</v>
      </c>
      <c r="BZ31" s="43">
        <f t="shared" ref="BZ31:BZ43" si="319">BJ31*(1+BZ$30)</f>
        <v>0</v>
      </c>
      <c r="CA31" s="43">
        <f t="shared" ref="CA31:CA43" si="320">BK31*(1+CA$30)</f>
        <v>0</v>
      </c>
      <c r="CB31" s="43">
        <f t="shared" ref="CB31:CB43" si="321">BL31*(1+CB$30)</f>
        <v>0</v>
      </c>
      <c r="CC31" s="43">
        <f t="shared" ref="CC31:CC43" si="322">BM31*(1+CC$30)</f>
        <v>0</v>
      </c>
      <c r="CD31" s="43">
        <f t="shared" ref="CD31:CD43" si="323">BN31*(1+CD$30)</f>
        <v>0</v>
      </c>
      <c r="CE31" s="43">
        <f t="shared" ref="CE31:CE43" si="324">BO31*(1+CE$30)</f>
        <v>0</v>
      </c>
      <c r="CF31" s="43">
        <f t="shared" ref="CF31:CF43" si="325">BP31*(1+CF$30)</f>
        <v>0</v>
      </c>
      <c r="CG31" s="767"/>
      <c r="CH31" s="43">
        <f t="shared" ref="CH31:CH43" si="326">BR31*(1+CH$30)</f>
        <v>0</v>
      </c>
      <c r="CI31" s="43">
        <f t="shared" ref="CI31:CI43" si="327">BS31*(1+CI$30)</f>
        <v>0</v>
      </c>
      <c r="CJ31" s="43">
        <f t="shared" ref="CJ31:CJ43" si="328">BT31*(1+CJ$30)</f>
        <v>0</v>
      </c>
      <c r="CK31" s="43">
        <f t="shared" ref="CK31:CK43" si="329">BU31*(1+CK$30)</f>
        <v>0</v>
      </c>
      <c r="CL31" s="43">
        <f t="shared" ref="CL31:CL43" si="330">BV31*(1+CL$30)</f>
        <v>0</v>
      </c>
      <c r="CM31" s="43">
        <f t="shared" ref="CM31:CM43" si="331">BW31*(1+CM$30)</f>
        <v>0</v>
      </c>
      <c r="CN31" s="43">
        <f t="shared" ref="CN31:CN43" si="332">BX31*(1+CN$30)</f>
        <v>0</v>
      </c>
      <c r="CO31" s="43">
        <f t="shared" ref="CO31:CO43" si="333">BY31*(1+CO$30)</f>
        <v>0</v>
      </c>
      <c r="CP31" s="43">
        <f t="shared" ref="CP31:CP43" si="334">BZ31*(1+CP$30)</f>
        <v>0</v>
      </c>
      <c r="CQ31" s="43">
        <f t="shared" ref="CQ31:CQ43" si="335">CA31*(1+CQ$30)</f>
        <v>0</v>
      </c>
      <c r="CR31" s="43">
        <f t="shared" ref="CR31:CR43" si="336">CB31*(1+CR$30)</f>
        <v>0</v>
      </c>
      <c r="CS31" s="43">
        <f t="shared" ref="CS31:CS43" si="337">CC31*(1+CS$30)</f>
        <v>0</v>
      </c>
      <c r="CT31" s="43">
        <f t="shared" ref="CT31:CT43" si="338">CD31*(1+CT$30)</f>
        <v>0</v>
      </c>
      <c r="CU31" s="43">
        <f t="shared" ref="CU31:CU43" si="339">CE31*(1+CU$30)</f>
        <v>0</v>
      </c>
      <c r="CV31" s="43">
        <f t="shared" ref="CV31:CV43" si="340">CF31*(1+CV$30)</f>
        <v>0</v>
      </c>
      <c r="CW31" s="767"/>
      <c r="CX31" s="43">
        <f t="shared" ref="CX31:CX43" si="341">CH31*(1+CX$30)</f>
        <v>0</v>
      </c>
      <c r="CY31" s="43">
        <f t="shared" ref="CY31:CY43" si="342">CI31*(1+CY$30)</f>
        <v>0</v>
      </c>
      <c r="CZ31" s="43">
        <f t="shared" ref="CZ31:CZ43" si="343">CJ31*(1+CZ$30)</f>
        <v>0</v>
      </c>
      <c r="DA31" s="43">
        <f t="shared" ref="DA31:DA43" si="344">CK31*(1+DA$30)</f>
        <v>0</v>
      </c>
      <c r="DB31" s="43">
        <f t="shared" ref="DB31:DB43" si="345">CL31*(1+DB$30)</f>
        <v>0</v>
      </c>
      <c r="DC31" s="43">
        <f t="shared" ref="DC31:DC43" si="346">CM31*(1+DC$30)</f>
        <v>0</v>
      </c>
      <c r="DD31" s="43">
        <f t="shared" ref="DD31:DD43" si="347">CN31*(1+DD$30)</f>
        <v>0</v>
      </c>
      <c r="DE31" s="43">
        <f t="shared" ref="DE31:DE43" si="348">CO31*(1+DE$30)</f>
        <v>0</v>
      </c>
      <c r="DF31" s="43">
        <f t="shared" ref="DF31:DF43" si="349">CP31*(1+DF$30)</f>
        <v>0</v>
      </c>
      <c r="DG31" s="43">
        <f t="shared" ref="DG31:DG43" si="350">CQ31*(1+DG$30)</f>
        <v>0</v>
      </c>
      <c r="DH31" s="43">
        <f t="shared" ref="DH31:DH43" si="351">CR31*(1+DH$30)</f>
        <v>0</v>
      </c>
      <c r="DI31" s="43">
        <f t="shared" ref="DI31:DI43" si="352">CS31*(1+DI$30)</f>
        <v>0</v>
      </c>
      <c r="DJ31" s="43">
        <f t="shared" ref="DJ31:DJ43" si="353">CT31*(1+DJ$30)</f>
        <v>0</v>
      </c>
      <c r="DK31" s="43">
        <f t="shared" ref="DK31:DK43" si="354">CU31*(1+DK$30)</f>
        <v>0</v>
      </c>
      <c r="DL31" s="43">
        <f t="shared" ref="DL31:DL43" si="355">CV31*(1+DL$30)</f>
        <v>0</v>
      </c>
      <c r="DM31" s="767"/>
      <c r="DN31" s="43">
        <f t="shared" ref="DN31:DN43" si="356">CX31*(1+DN$30)</f>
        <v>0</v>
      </c>
      <c r="DO31" s="43">
        <f t="shared" ref="DO31:DO43" si="357">CY31*(1+DO$30)</f>
        <v>0</v>
      </c>
      <c r="DP31" s="43">
        <f t="shared" ref="DP31:DP43" si="358">CZ31*(1+DP$30)</f>
        <v>0</v>
      </c>
      <c r="DQ31" s="43">
        <f t="shared" ref="DQ31:DQ43" si="359">DA31*(1+DQ$30)</f>
        <v>0</v>
      </c>
      <c r="DR31" s="43">
        <f t="shared" ref="DR31:DR43" si="360">DB31*(1+DR$30)</f>
        <v>0</v>
      </c>
      <c r="DS31" s="43">
        <f t="shared" ref="DS31:DS43" si="361">DC31*(1+DS$30)</f>
        <v>0</v>
      </c>
      <c r="DT31" s="43">
        <f t="shared" ref="DT31:DT43" si="362">DD31*(1+DT$30)</f>
        <v>0</v>
      </c>
      <c r="DU31" s="43">
        <f t="shared" ref="DU31:DU43" si="363">DE31*(1+DU$30)</f>
        <v>0</v>
      </c>
      <c r="DV31" s="43">
        <f t="shared" ref="DV31:DV43" si="364">DF31*(1+DV$30)</f>
        <v>0</v>
      </c>
      <c r="DW31" s="43">
        <f t="shared" ref="DW31:DW43" si="365">DG31*(1+DW$30)</f>
        <v>0</v>
      </c>
      <c r="DX31" s="43">
        <f t="shared" ref="DX31:DX43" si="366">DH31*(1+DX$30)</f>
        <v>0</v>
      </c>
      <c r="DY31" s="43">
        <f t="shared" ref="DY31:DY43" si="367">DI31*(1+DY$30)</f>
        <v>0</v>
      </c>
      <c r="DZ31" s="43">
        <f t="shared" ref="DZ31:DZ43" si="368">DJ31*(1+DZ$30)</f>
        <v>0</v>
      </c>
      <c r="EA31" s="43">
        <f t="shared" ref="EA31:EA43" si="369">DK31*(1+EA$30)</f>
        <v>0</v>
      </c>
      <c r="EB31" s="43">
        <f t="shared" ref="EB31:EB43" si="370">DL31*(1+EB$30)</f>
        <v>0</v>
      </c>
      <c r="EC31" s="767"/>
      <c r="ED31" s="43">
        <f t="shared" ref="ED31:ED43" si="371">DN31*(1+ED$30)</f>
        <v>0</v>
      </c>
      <c r="EE31" s="43">
        <f t="shared" ref="EE31:EE43" si="372">DO31*(1+EE$30)</f>
        <v>0</v>
      </c>
      <c r="EF31" s="43">
        <f t="shared" ref="EF31:EF43" si="373">DP31*(1+EF$30)</f>
        <v>0</v>
      </c>
      <c r="EG31" s="43">
        <f t="shared" ref="EG31:EG43" si="374">DQ31*(1+EG$30)</f>
        <v>0</v>
      </c>
      <c r="EH31" s="43">
        <f t="shared" ref="EH31:EH43" si="375">DR31*(1+EH$30)</f>
        <v>0</v>
      </c>
      <c r="EI31" s="43">
        <f t="shared" ref="EI31:EI43" si="376">DS31*(1+EI$30)</f>
        <v>0</v>
      </c>
      <c r="EJ31" s="43">
        <f t="shared" ref="EJ31:EJ43" si="377">DT31*(1+EJ$30)</f>
        <v>0</v>
      </c>
      <c r="EK31" s="43">
        <f t="shared" ref="EK31:EK43" si="378">DU31*(1+EK$30)</f>
        <v>0</v>
      </c>
      <c r="EL31" s="43">
        <f t="shared" ref="EL31:EL43" si="379">DV31*(1+EL$30)</f>
        <v>0</v>
      </c>
      <c r="EM31" s="43">
        <f t="shared" ref="EM31:EM43" si="380">DW31*(1+EM$30)</f>
        <v>0</v>
      </c>
      <c r="EN31" s="43">
        <f t="shared" ref="EN31:EN43" si="381">DX31*(1+EN$30)</f>
        <v>0</v>
      </c>
      <c r="EO31" s="43">
        <f t="shared" ref="EO31:EO43" si="382">DY31*(1+EO$30)</f>
        <v>0</v>
      </c>
      <c r="EP31" s="43">
        <f t="shared" ref="EP31:EP43" si="383">DZ31*(1+EP$30)</f>
        <v>0</v>
      </c>
      <c r="EQ31" s="43">
        <f t="shared" ref="EQ31:EQ43" si="384">EA31*(1+EQ$30)</f>
        <v>0</v>
      </c>
      <c r="ER31" s="43">
        <f t="shared" ref="ER31:ER43" si="385">EB31*(1+ER$30)</f>
        <v>0</v>
      </c>
      <c r="ES31" s="767"/>
      <c r="ET31" s="43">
        <f t="shared" ref="ET31:ET43" si="386">ED31*(1+ET$30)</f>
        <v>0</v>
      </c>
      <c r="EU31" s="43">
        <f t="shared" ref="EU31:EU43" si="387">EE31*(1+EU$30)</f>
        <v>0</v>
      </c>
      <c r="EV31" s="43">
        <f t="shared" ref="EV31:EV43" si="388">EF31*(1+EV$30)</f>
        <v>0</v>
      </c>
      <c r="EW31" s="43">
        <f t="shared" ref="EW31:EW43" si="389">EG31*(1+EW$30)</f>
        <v>0</v>
      </c>
      <c r="EX31" s="43">
        <f t="shared" ref="EX31:EX43" si="390">EH31*(1+EX$30)</f>
        <v>0</v>
      </c>
      <c r="EY31" s="43">
        <f t="shared" ref="EY31:EY43" si="391">EI31*(1+EY$30)</f>
        <v>0</v>
      </c>
      <c r="EZ31" s="43">
        <f t="shared" ref="EZ31:EZ43" si="392">EJ31*(1+EZ$30)</f>
        <v>0</v>
      </c>
      <c r="FA31" s="43">
        <f t="shared" ref="FA31:FA43" si="393">EK31*(1+FA$30)</f>
        <v>0</v>
      </c>
      <c r="FB31" s="43">
        <f t="shared" ref="FB31:FB43" si="394">EL31*(1+FB$30)</f>
        <v>0</v>
      </c>
      <c r="FC31" s="43">
        <f t="shared" ref="FC31:FC43" si="395">EM31*(1+FC$30)</f>
        <v>0</v>
      </c>
      <c r="FD31" s="43">
        <f t="shared" ref="FD31:FD43" si="396">EN31*(1+FD$30)</f>
        <v>0</v>
      </c>
      <c r="FE31" s="43">
        <f t="shared" ref="FE31:FE43" si="397">EO31*(1+FE$30)</f>
        <v>0</v>
      </c>
      <c r="FF31" s="43">
        <f t="shared" ref="FF31:FF43" si="398">EP31*(1+FF$30)</f>
        <v>0</v>
      </c>
      <c r="FG31" s="43">
        <f t="shared" ref="FG31:FG43" si="399">EQ31*(1+FG$30)</f>
        <v>0</v>
      </c>
      <c r="FH31" s="43">
        <f t="shared" ref="FH31:FH43" si="400">ER31*(1+FH$30)</f>
        <v>0</v>
      </c>
      <c r="FI31" s="767"/>
      <c r="FJ31" s="43">
        <f t="shared" ref="FJ31:FJ43" si="401">ET31*(1+FJ$30)</f>
        <v>0</v>
      </c>
      <c r="FK31" s="43">
        <f t="shared" ref="FK31:FK43" si="402">EU31*(1+FK$30)</f>
        <v>0</v>
      </c>
      <c r="FL31" s="43">
        <f t="shared" ref="FL31:FL43" si="403">EV31*(1+FL$30)</f>
        <v>0</v>
      </c>
      <c r="FM31" s="43">
        <f t="shared" ref="FM31:FM43" si="404">EW31*(1+FM$30)</f>
        <v>0</v>
      </c>
      <c r="FN31" s="43">
        <f t="shared" ref="FN31:FN43" si="405">EX31*(1+FN$30)</f>
        <v>0</v>
      </c>
      <c r="FO31" s="43">
        <f t="shared" ref="FO31:FO43" si="406">EY31*(1+FO$30)</f>
        <v>0</v>
      </c>
      <c r="FP31" s="43">
        <f t="shared" ref="FP31:FP43" si="407">EZ31*(1+FP$30)</f>
        <v>0</v>
      </c>
      <c r="FQ31" s="43">
        <f t="shared" ref="FQ31:FQ43" si="408">FA31*(1+FQ$30)</f>
        <v>0</v>
      </c>
      <c r="FR31" s="43">
        <f t="shared" ref="FR31:FR43" si="409">FB31*(1+FR$30)</f>
        <v>0</v>
      </c>
      <c r="FS31" s="43">
        <f t="shared" ref="FS31:FS43" si="410">FC31*(1+FS$30)</f>
        <v>0</v>
      </c>
      <c r="FT31" s="43">
        <f t="shared" ref="FT31:FT43" si="411">FD31*(1+FT$30)</f>
        <v>0</v>
      </c>
      <c r="FU31" s="43">
        <f t="shared" ref="FU31:FU43" si="412">FE31*(1+FU$30)</f>
        <v>0</v>
      </c>
      <c r="FV31" s="43">
        <f t="shared" ref="FV31:FV43" si="413">FF31*(1+FV$30)</f>
        <v>0</v>
      </c>
      <c r="FW31" s="43">
        <f t="shared" ref="FW31:FW43" si="414">FG31*(1+FW$30)</f>
        <v>0</v>
      </c>
      <c r="FX31" s="43">
        <f t="shared" ref="FX31:FX43" si="415">FH31*(1+FX$30)</f>
        <v>0</v>
      </c>
      <c r="FY31" s="767"/>
      <c r="FZ31" s="43">
        <f t="shared" ref="FZ31:FZ43" si="416">FJ31*(1+FZ$30)</f>
        <v>0</v>
      </c>
      <c r="GA31" s="43">
        <f t="shared" ref="GA31:GA43" si="417">FK31*(1+GA$30)</f>
        <v>0</v>
      </c>
      <c r="GB31" s="43">
        <f t="shared" ref="GB31:GB43" si="418">FL31*(1+GB$30)</f>
        <v>0</v>
      </c>
      <c r="GC31" s="43">
        <f t="shared" ref="GC31:GC43" si="419">FM31*(1+GC$30)</f>
        <v>0</v>
      </c>
      <c r="GD31" s="43">
        <f t="shared" ref="GD31:GD43" si="420">FN31*(1+GD$30)</f>
        <v>0</v>
      </c>
      <c r="GE31" s="43">
        <f t="shared" ref="GE31:GE43" si="421">FO31*(1+GE$30)</f>
        <v>0</v>
      </c>
      <c r="GF31" s="43">
        <f t="shared" ref="GF31:GF43" si="422">FP31*(1+GF$30)</f>
        <v>0</v>
      </c>
      <c r="GG31" s="43">
        <f t="shared" ref="GG31:GG43" si="423">FQ31*(1+GG$30)</f>
        <v>0</v>
      </c>
      <c r="GH31" s="43">
        <f t="shared" ref="GH31:GH43" si="424">FR31*(1+GH$30)</f>
        <v>0</v>
      </c>
      <c r="GI31" s="43">
        <f t="shared" ref="GI31:GI43" si="425">FS31*(1+GI$30)</f>
        <v>0</v>
      </c>
      <c r="GJ31" s="43">
        <f t="shared" ref="GJ31:GJ43" si="426">FT31*(1+GJ$30)</f>
        <v>0</v>
      </c>
      <c r="GK31" s="43">
        <f t="shared" ref="GK31:GK43" si="427">FU31*(1+GK$30)</f>
        <v>0</v>
      </c>
      <c r="GL31" s="43">
        <f t="shared" ref="GL31:GL43" si="428">FV31*(1+GL$30)</f>
        <v>0</v>
      </c>
      <c r="GM31" s="43">
        <f t="shared" ref="GM31:GM43" si="429">FW31*(1+GM$30)</f>
        <v>0</v>
      </c>
      <c r="GN31" s="43">
        <f t="shared" ref="GN31:GN43" si="430">FX31*(1+GN$30)</f>
        <v>0</v>
      </c>
      <c r="GO31" s="767"/>
      <c r="GP31" s="43">
        <f t="shared" ref="GP31:GP43" si="431">FZ31*(1+GP$30)</f>
        <v>0</v>
      </c>
      <c r="GQ31" s="43">
        <f t="shared" ref="GQ31:GQ43" si="432">GA31*(1+GQ$30)</f>
        <v>0</v>
      </c>
      <c r="GR31" s="43">
        <f t="shared" ref="GR31:GR43" si="433">GB31*(1+GR$30)</f>
        <v>0</v>
      </c>
      <c r="GS31" s="43">
        <f t="shared" ref="GS31:GS43" si="434">GC31*(1+GS$30)</f>
        <v>0</v>
      </c>
      <c r="GT31" s="43">
        <f t="shared" ref="GT31:GT43" si="435">GD31*(1+GT$30)</f>
        <v>0</v>
      </c>
      <c r="GU31" s="43">
        <f t="shared" ref="GU31:GU43" si="436">GE31*(1+GU$30)</f>
        <v>0</v>
      </c>
      <c r="GV31" s="43">
        <f t="shared" ref="GV31:GV43" si="437">GF31*(1+GV$30)</f>
        <v>0</v>
      </c>
      <c r="GW31" s="43">
        <f t="shared" ref="GW31:GW43" si="438">GG31*(1+GW$30)</f>
        <v>0</v>
      </c>
      <c r="GX31" s="43">
        <f t="shared" ref="GX31:GX43" si="439">GH31*(1+GX$30)</f>
        <v>0</v>
      </c>
      <c r="GY31" s="43">
        <f t="shared" ref="GY31:GY43" si="440">GI31*(1+GY$30)</f>
        <v>0</v>
      </c>
      <c r="GZ31" s="43">
        <f t="shared" ref="GZ31:GZ43" si="441">GJ31*(1+GZ$30)</f>
        <v>0</v>
      </c>
      <c r="HA31" s="43">
        <f t="shared" ref="HA31:HA43" si="442">GK31*(1+HA$30)</f>
        <v>0</v>
      </c>
      <c r="HB31" s="43">
        <f t="shared" ref="HB31:HB43" si="443">GL31*(1+HB$30)</f>
        <v>0</v>
      </c>
      <c r="HC31" s="43">
        <f t="shared" ref="HC31:HC43" si="444">GM31*(1+HC$30)</f>
        <v>0</v>
      </c>
      <c r="HD31" s="43">
        <f t="shared" ref="HD31:HD43" si="445">GN31*(1+HD$30)</f>
        <v>0</v>
      </c>
      <c r="HE31" s="767"/>
      <c r="HF31" s="43">
        <f t="shared" ref="HF31:HF43" si="446">GP31*(1+HF$30)</f>
        <v>0</v>
      </c>
      <c r="HG31" s="43">
        <f t="shared" ref="HG31:HG43" si="447">GQ31*(1+HG$30)</f>
        <v>0</v>
      </c>
      <c r="HH31" s="43">
        <f t="shared" ref="HH31:HH43" si="448">GR31*(1+HH$30)</f>
        <v>0</v>
      </c>
      <c r="HI31" s="43">
        <f t="shared" ref="HI31:HI43" si="449">GS31*(1+HI$30)</f>
        <v>0</v>
      </c>
      <c r="HJ31" s="43">
        <f t="shared" ref="HJ31:HJ43" si="450">GT31*(1+HJ$30)</f>
        <v>0</v>
      </c>
      <c r="HK31" s="43">
        <f t="shared" ref="HK31:HK43" si="451">GU31*(1+HK$30)</f>
        <v>0</v>
      </c>
      <c r="HL31" s="43">
        <f t="shared" ref="HL31:HL43" si="452">GV31*(1+HL$30)</f>
        <v>0</v>
      </c>
      <c r="HM31" s="43">
        <f t="shared" ref="HM31:HM43" si="453">GW31*(1+HM$30)</f>
        <v>0</v>
      </c>
      <c r="HN31" s="43">
        <f t="shared" ref="HN31:HN43" si="454">GX31*(1+HN$30)</f>
        <v>0</v>
      </c>
      <c r="HO31" s="43">
        <f t="shared" ref="HO31:HO43" si="455">GY31*(1+HO$30)</f>
        <v>0</v>
      </c>
      <c r="HP31" s="43">
        <f t="shared" ref="HP31:HP43" si="456">GZ31*(1+HP$30)</f>
        <v>0</v>
      </c>
      <c r="HQ31" s="43">
        <f t="shared" ref="HQ31:HQ43" si="457">HA31*(1+HQ$30)</f>
        <v>0</v>
      </c>
      <c r="HR31" s="43">
        <f t="shared" ref="HR31:HR43" si="458">HB31*(1+HR$30)</f>
        <v>0</v>
      </c>
      <c r="HS31" s="43">
        <f t="shared" ref="HS31:HS43" si="459">HC31*(1+HS$30)</f>
        <v>0</v>
      </c>
      <c r="HT31" s="43">
        <f t="shared" ref="HT31:HT43" si="460">HD31*(1+HT$30)</f>
        <v>0</v>
      </c>
      <c r="HU31" s="767"/>
      <c r="HV31" s="43">
        <f t="shared" ref="HV31:HV43" si="461">HF31*(1+HV$30)</f>
        <v>0</v>
      </c>
      <c r="HW31" s="43">
        <f t="shared" ref="HW31:HW43" si="462">HG31*(1+HW$30)</f>
        <v>0</v>
      </c>
      <c r="HX31" s="43">
        <f t="shared" ref="HX31:HX43" si="463">HH31*(1+HX$30)</f>
        <v>0</v>
      </c>
      <c r="HY31" s="43">
        <f t="shared" ref="HY31:HY43" si="464">HI31*(1+HY$30)</f>
        <v>0</v>
      </c>
      <c r="HZ31" s="43">
        <f t="shared" ref="HZ31:HZ43" si="465">HJ31*(1+HZ$30)</f>
        <v>0</v>
      </c>
      <c r="IA31" s="43">
        <f t="shared" ref="IA31:IA43" si="466">HK31*(1+IA$30)</f>
        <v>0</v>
      </c>
      <c r="IB31" s="43">
        <f t="shared" ref="IB31:IB43" si="467">HL31*(1+IB$30)</f>
        <v>0</v>
      </c>
      <c r="IC31" s="43">
        <f t="shared" ref="IC31:IC43" si="468">HM31*(1+IC$30)</f>
        <v>0</v>
      </c>
      <c r="ID31" s="43">
        <f t="shared" ref="ID31:ID43" si="469">HN31*(1+ID$30)</f>
        <v>0</v>
      </c>
      <c r="IE31" s="43">
        <f t="shared" ref="IE31:IE43" si="470">HO31*(1+IE$30)</f>
        <v>0</v>
      </c>
      <c r="IF31" s="43">
        <f t="shared" ref="IF31:IF43" si="471">HP31*(1+IF$30)</f>
        <v>0</v>
      </c>
      <c r="IG31" s="43">
        <f t="shared" ref="IG31:IG43" si="472">HQ31*(1+IG$30)</f>
        <v>0</v>
      </c>
      <c r="IH31" s="43">
        <f t="shared" ref="IH31:IH43" si="473">HR31*(1+IH$30)</f>
        <v>0</v>
      </c>
      <c r="II31" s="43">
        <f t="shared" ref="II31:II43" si="474">HS31*(1+II$30)</f>
        <v>0</v>
      </c>
      <c r="IJ31" s="786">
        <f t="shared" ref="IJ31:IJ43" si="475">HT31*(1+IJ$30)</f>
        <v>0</v>
      </c>
      <c r="IK31" s="794"/>
    </row>
    <row r="32" spans="1:245">
      <c r="A32" s="642">
        <f>A31+1</f>
        <v>2</v>
      </c>
      <c r="B32" s="762" t="str">
        <f t="shared" si="264"/>
        <v>Functional Services Administrator</v>
      </c>
      <c r="C32" s="775"/>
      <c r="D32" s="769"/>
      <c r="E32" s="52" t="str">
        <f t="shared" si="265"/>
        <v>Functional Services AdministratorContr_Sub</v>
      </c>
      <c r="F32" s="793"/>
      <c r="G32" s="43"/>
      <c r="H32" s="43"/>
      <c r="I32" s="43"/>
      <c r="J32" s="43"/>
      <c r="K32" s="43"/>
      <c r="L32" s="43"/>
      <c r="M32" s="43"/>
      <c r="N32" s="43"/>
      <c r="O32" s="43"/>
      <c r="P32" s="43"/>
      <c r="Q32" s="43"/>
      <c r="R32" s="43"/>
      <c r="S32" s="43"/>
      <c r="T32" s="43"/>
      <c r="U32" s="767"/>
      <c r="V32" s="43">
        <f t="shared" si="266"/>
        <v>0</v>
      </c>
      <c r="W32" s="43">
        <f t="shared" si="267"/>
        <v>0</v>
      </c>
      <c r="X32" s="43">
        <f t="shared" si="268"/>
        <v>0</v>
      </c>
      <c r="Y32" s="43">
        <f t="shared" si="269"/>
        <v>0</v>
      </c>
      <c r="Z32" s="43">
        <f t="shared" si="270"/>
        <v>0</v>
      </c>
      <c r="AA32" s="43">
        <f t="shared" si="271"/>
        <v>0</v>
      </c>
      <c r="AB32" s="43">
        <f t="shared" si="272"/>
        <v>0</v>
      </c>
      <c r="AC32" s="43">
        <f t="shared" si="273"/>
        <v>0</v>
      </c>
      <c r="AD32" s="43">
        <f t="shared" si="274"/>
        <v>0</v>
      </c>
      <c r="AE32" s="43">
        <f t="shared" si="275"/>
        <v>0</v>
      </c>
      <c r="AF32" s="43">
        <f t="shared" si="276"/>
        <v>0</v>
      </c>
      <c r="AG32" s="43">
        <f t="shared" si="277"/>
        <v>0</v>
      </c>
      <c r="AH32" s="43">
        <f t="shared" si="278"/>
        <v>0</v>
      </c>
      <c r="AI32" s="43">
        <f t="shared" si="279"/>
        <v>0</v>
      </c>
      <c r="AJ32" s="43">
        <f t="shared" si="280"/>
        <v>0</v>
      </c>
      <c r="AK32" s="767"/>
      <c r="AL32" s="43">
        <f t="shared" si="281"/>
        <v>0</v>
      </c>
      <c r="AM32" s="43">
        <f t="shared" si="282"/>
        <v>0</v>
      </c>
      <c r="AN32" s="43">
        <f t="shared" si="283"/>
        <v>0</v>
      </c>
      <c r="AO32" s="43">
        <f t="shared" si="284"/>
        <v>0</v>
      </c>
      <c r="AP32" s="43">
        <f t="shared" si="285"/>
        <v>0</v>
      </c>
      <c r="AQ32" s="43">
        <f t="shared" si="286"/>
        <v>0</v>
      </c>
      <c r="AR32" s="43">
        <f t="shared" si="287"/>
        <v>0</v>
      </c>
      <c r="AS32" s="43">
        <f t="shared" si="288"/>
        <v>0</v>
      </c>
      <c r="AT32" s="43">
        <f t="shared" si="289"/>
        <v>0</v>
      </c>
      <c r="AU32" s="43">
        <f t="shared" si="290"/>
        <v>0</v>
      </c>
      <c r="AV32" s="43">
        <f t="shared" si="291"/>
        <v>0</v>
      </c>
      <c r="AW32" s="43">
        <f t="shared" si="292"/>
        <v>0</v>
      </c>
      <c r="AX32" s="43">
        <f t="shared" si="293"/>
        <v>0</v>
      </c>
      <c r="AY32" s="43">
        <f t="shared" si="294"/>
        <v>0</v>
      </c>
      <c r="AZ32" s="43">
        <f t="shared" si="295"/>
        <v>0</v>
      </c>
      <c r="BA32" s="767"/>
      <c r="BB32" s="43">
        <f t="shared" si="296"/>
        <v>0</v>
      </c>
      <c r="BC32" s="43">
        <f t="shared" si="297"/>
        <v>0</v>
      </c>
      <c r="BD32" s="43">
        <f t="shared" si="298"/>
        <v>0</v>
      </c>
      <c r="BE32" s="43">
        <f t="shared" si="299"/>
        <v>0</v>
      </c>
      <c r="BF32" s="43">
        <f t="shared" si="300"/>
        <v>0</v>
      </c>
      <c r="BG32" s="43">
        <f t="shared" si="301"/>
        <v>0</v>
      </c>
      <c r="BH32" s="43">
        <f t="shared" si="302"/>
        <v>0</v>
      </c>
      <c r="BI32" s="43">
        <f t="shared" si="303"/>
        <v>0</v>
      </c>
      <c r="BJ32" s="43">
        <f t="shared" si="304"/>
        <v>0</v>
      </c>
      <c r="BK32" s="43">
        <f t="shared" si="305"/>
        <v>0</v>
      </c>
      <c r="BL32" s="43">
        <f t="shared" si="306"/>
        <v>0</v>
      </c>
      <c r="BM32" s="43">
        <f t="shared" si="307"/>
        <v>0</v>
      </c>
      <c r="BN32" s="43">
        <f t="shared" si="308"/>
        <v>0</v>
      </c>
      <c r="BO32" s="43">
        <f t="shared" si="309"/>
        <v>0</v>
      </c>
      <c r="BP32" s="43">
        <f t="shared" si="310"/>
        <v>0</v>
      </c>
      <c r="BQ32" s="767"/>
      <c r="BR32" s="43">
        <f t="shared" si="311"/>
        <v>0</v>
      </c>
      <c r="BS32" s="43">
        <f t="shared" si="312"/>
        <v>0</v>
      </c>
      <c r="BT32" s="43">
        <f t="shared" si="313"/>
        <v>0</v>
      </c>
      <c r="BU32" s="43">
        <f t="shared" si="314"/>
        <v>0</v>
      </c>
      <c r="BV32" s="43">
        <f t="shared" si="315"/>
        <v>0</v>
      </c>
      <c r="BW32" s="43">
        <f t="shared" si="316"/>
        <v>0</v>
      </c>
      <c r="BX32" s="43">
        <f t="shared" si="317"/>
        <v>0</v>
      </c>
      <c r="BY32" s="43">
        <f t="shared" si="318"/>
        <v>0</v>
      </c>
      <c r="BZ32" s="43">
        <f t="shared" si="319"/>
        <v>0</v>
      </c>
      <c r="CA32" s="43">
        <f t="shared" si="320"/>
        <v>0</v>
      </c>
      <c r="CB32" s="43">
        <f t="shared" si="321"/>
        <v>0</v>
      </c>
      <c r="CC32" s="43">
        <f t="shared" si="322"/>
        <v>0</v>
      </c>
      <c r="CD32" s="43">
        <f t="shared" si="323"/>
        <v>0</v>
      </c>
      <c r="CE32" s="43">
        <f t="shared" si="324"/>
        <v>0</v>
      </c>
      <c r="CF32" s="43">
        <f t="shared" si="325"/>
        <v>0</v>
      </c>
      <c r="CG32" s="767"/>
      <c r="CH32" s="43">
        <f t="shared" si="326"/>
        <v>0</v>
      </c>
      <c r="CI32" s="43">
        <f t="shared" si="327"/>
        <v>0</v>
      </c>
      <c r="CJ32" s="43">
        <f t="shared" si="328"/>
        <v>0</v>
      </c>
      <c r="CK32" s="43">
        <f t="shared" si="329"/>
        <v>0</v>
      </c>
      <c r="CL32" s="43">
        <f t="shared" si="330"/>
        <v>0</v>
      </c>
      <c r="CM32" s="43">
        <f t="shared" si="331"/>
        <v>0</v>
      </c>
      <c r="CN32" s="43">
        <f t="shared" si="332"/>
        <v>0</v>
      </c>
      <c r="CO32" s="43">
        <f t="shared" si="333"/>
        <v>0</v>
      </c>
      <c r="CP32" s="43">
        <f t="shared" si="334"/>
        <v>0</v>
      </c>
      <c r="CQ32" s="43">
        <f t="shared" si="335"/>
        <v>0</v>
      </c>
      <c r="CR32" s="43">
        <f t="shared" si="336"/>
        <v>0</v>
      </c>
      <c r="CS32" s="43">
        <f t="shared" si="337"/>
        <v>0</v>
      </c>
      <c r="CT32" s="43">
        <f t="shared" si="338"/>
        <v>0</v>
      </c>
      <c r="CU32" s="43">
        <f t="shared" si="339"/>
        <v>0</v>
      </c>
      <c r="CV32" s="43">
        <f t="shared" si="340"/>
        <v>0</v>
      </c>
      <c r="CW32" s="767"/>
      <c r="CX32" s="43">
        <f t="shared" si="341"/>
        <v>0</v>
      </c>
      <c r="CY32" s="43">
        <f t="shared" si="342"/>
        <v>0</v>
      </c>
      <c r="CZ32" s="43">
        <f t="shared" si="343"/>
        <v>0</v>
      </c>
      <c r="DA32" s="43">
        <f t="shared" si="344"/>
        <v>0</v>
      </c>
      <c r="DB32" s="43">
        <f t="shared" si="345"/>
        <v>0</v>
      </c>
      <c r="DC32" s="43">
        <f t="shared" si="346"/>
        <v>0</v>
      </c>
      <c r="DD32" s="43">
        <f t="shared" si="347"/>
        <v>0</v>
      </c>
      <c r="DE32" s="43">
        <f t="shared" si="348"/>
        <v>0</v>
      </c>
      <c r="DF32" s="43">
        <f t="shared" si="349"/>
        <v>0</v>
      </c>
      <c r="DG32" s="43">
        <f t="shared" si="350"/>
        <v>0</v>
      </c>
      <c r="DH32" s="43">
        <f t="shared" si="351"/>
        <v>0</v>
      </c>
      <c r="DI32" s="43">
        <f t="shared" si="352"/>
        <v>0</v>
      </c>
      <c r="DJ32" s="43">
        <f t="shared" si="353"/>
        <v>0</v>
      </c>
      <c r="DK32" s="43">
        <f t="shared" si="354"/>
        <v>0</v>
      </c>
      <c r="DL32" s="43">
        <f t="shared" si="355"/>
        <v>0</v>
      </c>
      <c r="DM32" s="767"/>
      <c r="DN32" s="43">
        <f t="shared" si="356"/>
        <v>0</v>
      </c>
      <c r="DO32" s="43">
        <f t="shared" si="357"/>
        <v>0</v>
      </c>
      <c r="DP32" s="43">
        <f t="shared" si="358"/>
        <v>0</v>
      </c>
      <c r="DQ32" s="43">
        <f t="shared" si="359"/>
        <v>0</v>
      </c>
      <c r="DR32" s="43">
        <f t="shared" si="360"/>
        <v>0</v>
      </c>
      <c r="DS32" s="43">
        <f t="shared" si="361"/>
        <v>0</v>
      </c>
      <c r="DT32" s="43">
        <f t="shared" si="362"/>
        <v>0</v>
      </c>
      <c r="DU32" s="43">
        <f t="shared" si="363"/>
        <v>0</v>
      </c>
      <c r="DV32" s="43">
        <f t="shared" si="364"/>
        <v>0</v>
      </c>
      <c r="DW32" s="43">
        <f t="shared" si="365"/>
        <v>0</v>
      </c>
      <c r="DX32" s="43">
        <f t="shared" si="366"/>
        <v>0</v>
      </c>
      <c r="DY32" s="43">
        <f t="shared" si="367"/>
        <v>0</v>
      </c>
      <c r="DZ32" s="43">
        <f t="shared" si="368"/>
        <v>0</v>
      </c>
      <c r="EA32" s="43">
        <f t="shared" si="369"/>
        <v>0</v>
      </c>
      <c r="EB32" s="43">
        <f t="shared" si="370"/>
        <v>0</v>
      </c>
      <c r="EC32" s="767"/>
      <c r="ED32" s="43">
        <f t="shared" si="371"/>
        <v>0</v>
      </c>
      <c r="EE32" s="43">
        <f t="shared" si="372"/>
        <v>0</v>
      </c>
      <c r="EF32" s="43">
        <f t="shared" si="373"/>
        <v>0</v>
      </c>
      <c r="EG32" s="43">
        <f t="shared" si="374"/>
        <v>0</v>
      </c>
      <c r="EH32" s="43">
        <f t="shared" si="375"/>
        <v>0</v>
      </c>
      <c r="EI32" s="43">
        <f t="shared" si="376"/>
        <v>0</v>
      </c>
      <c r="EJ32" s="43">
        <f t="shared" si="377"/>
        <v>0</v>
      </c>
      <c r="EK32" s="43">
        <f t="shared" si="378"/>
        <v>0</v>
      </c>
      <c r="EL32" s="43">
        <f t="shared" si="379"/>
        <v>0</v>
      </c>
      <c r="EM32" s="43">
        <f t="shared" si="380"/>
        <v>0</v>
      </c>
      <c r="EN32" s="43">
        <f t="shared" si="381"/>
        <v>0</v>
      </c>
      <c r="EO32" s="43">
        <f t="shared" si="382"/>
        <v>0</v>
      </c>
      <c r="EP32" s="43">
        <f t="shared" si="383"/>
        <v>0</v>
      </c>
      <c r="EQ32" s="43">
        <f t="shared" si="384"/>
        <v>0</v>
      </c>
      <c r="ER32" s="43">
        <f t="shared" si="385"/>
        <v>0</v>
      </c>
      <c r="ES32" s="767"/>
      <c r="ET32" s="43">
        <f t="shared" si="386"/>
        <v>0</v>
      </c>
      <c r="EU32" s="43">
        <f t="shared" si="387"/>
        <v>0</v>
      </c>
      <c r="EV32" s="43">
        <f t="shared" si="388"/>
        <v>0</v>
      </c>
      <c r="EW32" s="43">
        <f t="shared" si="389"/>
        <v>0</v>
      </c>
      <c r="EX32" s="43">
        <f t="shared" si="390"/>
        <v>0</v>
      </c>
      <c r="EY32" s="43">
        <f t="shared" si="391"/>
        <v>0</v>
      </c>
      <c r="EZ32" s="43">
        <f t="shared" si="392"/>
        <v>0</v>
      </c>
      <c r="FA32" s="43">
        <f t="shared" si="393"/>
        <v>0</v>
      </c>
      <c r="FB32" s="43">
        <f t="shared" si="394"/>
        <v>0</v>
      </c>
      <c r="FC32" s="43">
        <f t="shared" si="395"/>
        <v>0</v>
      </c>
      <c r="FD32" s="43">
        <f t="shared" si="396"/>
        <v>0</v>
      </c>
      <c r="FE32" s="43">
        <f t="shared" si="397"/>
        <v>0</v>
      </c>
      <c r="FF32" s="43">
        <f t="shared" si="398"/>
        <v>0</v>
      </c>
      <c r="FG32" s="43">
        <f t="shared" si="399"/>
        <v>0</v>
      </c>
      <c r="FH32" s="43">
        <f t="shared" si="400"/>
        <v>0</v>
      </c>
      <c r="FI32" s="767"/>
      <c r="FJ32" s="43">
        <f t="shared" si="401"/>
        <v>0</v>
      </c>
      <c r="FK32" s="43">
        <f t="shared" si="402"/>
        <v>0</v>
      </c>
      <c r="FL32" s="43">
        <f t="shared" si="403"/>
        <v>0</v>
      </c>
      <c r="FM32" s="43">
        <f t="shared" si="404"/>
        <v>0</v>
      </c>
      <c r="FN32" s="43">
        <f t="shared" si="405"/>
        <v>0</v>
      </c>
      <c r="FO32" s="43">
        <f t="shared" si="406"/>
        <v>0</v>
      </c>
      <c r="FP32" s="43">
        <f t="shared" si="407"/>
        <v>0</v>
      </c>
      <c r="FQ32" s="43">
        <f t="shared" si="408"/>
        <v>0</v>
      </c>
      <c r="FR32" s="43">
        <f t="shared" si="409"/>
        <v>0</v>
      </c>
      <c r="FS32" s="43">
        <f t="shared" si="410"/>
        <v>0</v>
      </c>
      <c r="FT32" s="43">
        <f t="shared" si="411"/>
        <v>0</v>
      </c>
      <c r="FU32" s="43">
        <f t="shared" si="412"/>
        <v>0</v>
      </c>
      <c r="FV32" s="43">
        <f t="shared" si="413"/>
        <v>0</v>
      </c>
      <c r="FW32" s="43">
        <f t="shared" si="414"/>
        <v>0</v>
      </c>
      <c r="FX32" s="43">
        <f t="shared" si="415"/>
        <v>0</v>
      </c>
      <c r="FY32" s="767"/>
      <c r="FZ32" s="43">
        <f t="shared" si="416"/>
        <v>0</v>
      </c>
      <c r="GA32" s="43">
        <f t="shared" si="417"/>
        <v>0</v>
      </c>
      <c r="GB32" s="43">
        <f t="shared" si="418"/>
        <v>0</v>
      </c>
      <c r="GC32" s="43">
        <f t="shared" si="419"/>
        <v>0</v>
      </c>
      <c r="GD32" s="43">
        <f t="shared" si="420"/>
        <v>0</v>
      </c>
      <c r="GE32" s="43">
        <f t="shared" si="421"/>
        <v>0</v>
      </c>
      <c r="GF32" s="43">
        <f t="shared" si="422"/>
        <v>0</v>
      </c>
      <c r="GG32" s="43">
        <f t="shared" si="423"/>
        <v>0</v>
      </c>
      <c r="GH32" s="43">
        <f t="shared" si="424"/>
        <v>0</v>
      </c>
      <c r="GI32" s="43">
        <f t="shared" si="425"/>
        <v>0</v>
      </c>
      <c r="GJ32" s="43">
        <f t="shared" si="426"/>
        <v>0</v>
      </c>
      <c r="GK32" s="43">
        <f t="shared" si="427"/>
        <v>0</v>
      </c>
      <c r="GL32" s="43">
        <f t="shared" si="428"/>
        <v>0</v>
      </c>
      <c r="GM32" s="43">
        <f t="shared" si="429"/>
        <v>0</v>
      </c>
      <c r="GN32" s="43">
        <f t="shared" si="430"/>
        <v>0</v>
      </c>
      <c r="GO32" s="767"/>
      <c r="GP32" s="43">
        <f t="shared" si="431"/>
        <v>0</v>
      </c>
      <c r="GQ32" s="43">
        <f t="shared" si="432"/>
        <v>0</v>
      </c>
      <c r="GR32" s="43">
        <f t="shared" si="433"/>
        <v>0</v>
      </c>
      <c r="GS32" s="43">
        <f t="shared" si="434"/>
        <v>0</v>
      </c>
      <c r="GT32" s="43">
        <f t="shared" si="435"/>
        <v>0</v>
      </c>
      <c r="GU32" s="43">
        <f t="shared" si="436"/>
        <v>0</v>
      </c>
      <c r="GV32" s="43">
        <f t="shared" si="437"/>
        <v>0</v>
      </c>
      <c r="GW32" s="43">
        <f t="shared" si="438"/>
        <v>0</v>
      </c>
      <c r="GX32" s="43">
        <f t="shared" si="439"/>
        <v>0</v>
      </c>
      <c r="GY32" s="43">
        <f t="shared" si="440"/>
        <v>0</v>
      </c>
      <c r="GZ32" s="43">
        <f t="shared" si="441"/>
        <v>0</v>
      </c>
      <c r="HA32" s="43">
        <f t="shared" si="442"/>
        <v>0</v>
      </c>
      <c r="HB32" s="43">
        <f t="shared" si="443"/>
        <v>0</v>
      </c>
      <c r="HC32" s="43">
        <f t="shared" si="444"/>
        <v>0</v>
      </c>
      <c r="HD32" s="43">
        <f t="shared" si="445"/>
        <v>0</v>
      </c>
      <c r="HE32" s="767"/>
      <c r="HF32" s="43">
        <f t="shared" si="446"/>
        <v>0</v>
      </c>
      <c r="HG32" s="43">
        <f t="shared" si="447"/>
        <v>0</v>
      </c>
      <c r="HH32" s="43">
        <f t="shared" si="448"/>
        <v>0</v>
      </c>
      <c r="HI32" s="43">
        <f t="shared" si="449"/>
        <v>0</v>
      </c>
      <c r="HJ32" s="43">
        <f t="shared" si="450"/>
        <v>0</v>
      </c>
      <c r="HK32" s="43">
        <f t="shared" si="451"/>
        <v>0</v>
      </c>
      <c r="HL32" s="43">
        <f t="shared" si="452"/>
        <v>0</v>
      </c>
      <c r="HM32" s="43">
        <f t="shared" si="453"/>
        <v>0</v>
      </c>
      <c r="HN32" s="43">
        <f t="shared" si="454"/>
        <v>0</v>
      </c>
      <c r="HO32" s="43">
        <f t="shared" si="455"/>
        <v>0</v>
      </c>
      <c r="HP32" s="43">
        <f t="shared" si="456"/>
        <v>0</v>
      </c>
      <c r="HQ32" s="43">
        <f t="shared" si="457"/>
        <v>0</v>
      </c>
      <c r="HR32" s="43">
        <f t="shared" si="458"/>
        <v>0</v>
      </c>
      <c r="HS32" s="43">
        <f t="shared" si="459"/>
        <v>0</v>
      </c>
      <c r="HT32" s="43">
        <f t="shared" si="460"/>
        <v>0</v>
      </c>
      <c r="HU32" s="767"/>
      <c r="HV32" s="43">
        <f t="shared" si="461"/>
        <v>0</v>
      </c>
      <c r="HW32" s="43">
        <f t="shared" si="462"/>
        <v>0</v>
      </c>
      <c r="HX32" s="43">
        <f t="shared" si="463"/>
        <v>0</v>
      </c>
      <c r="HY32" s="43">
        <f t="shared" si="464"/>
        <v>0</v>
      </c>
      <c r="HZ32" s="43">
        <f t="shared" si="465"/>
        <v>0</v>
      </c>
      <c r="IA32" s="43">
        <f t="shared" si="466"/>
        <v>0</v>
      </c>
      <c r="IB32" s="43">
        <f t="shared" si="467"/>
        <v>0</v>
      </c>
      <c r="IC32" s="43">
        <f t="shared" si="468"/>
        <v>0</v>
      </c>
      <c r="ID32" s="43">
        <f t="shared" si="469"/>
        <v>0</v>
      </c>
      <c r="IE32" s="43">
        <f t="shared" si="470"/>
        <v>0</v>
      </c>
      <c r="IF32" s="43">
        <f t="shared" si="471"/>
        <v>0</v>
      </c>
      <c r="IG32" s="43">
        <f t="shared" si="472"/>
        <v>0</v>
      </c>
      <c r="IH32" s="43">
        <f t="shared" si="473"/>
        <v>0</v>
      </c>
      <c r="II32" s="43">
        <f t="shared" si="474"/>
        <v>0</v>
      </c>
      <c r="IJ32" s="786">
        <f t="shared" si="475"/>
        <v>0</v>
      </c>
      <c r="IK32" s="794"/>
    </row>
    <row r="33" spans="1:245">
      <c r="A33" s="642">
        <f t="shared" ref="A33:A47" si="476">A32+1</f>
        <v>3</v>
      </c>
      <c r="B33" s="762" t="str">
        <f t="shared" si="264"/>
        <v>Functional Services Administrator</v>
      </c>
      <c r="C33" s="775"/>
      <c r="D33" s="769"/>
      <c r="E33" s="52" t="str">
        <f t="shared" si="265"/>
        <v>Functional Services AdministratorContr_Sub</v>
      </c>
      <c r="F33" s="793"/>
      <c r="G33" s="43"/>
      <c r="H33" s="43"/>
      <c r="I33" s="43"/>
      <c r="J33" s="43"/>
      <c r="K33" s="43"/>
      <c r="L33" s="43"/>
      <c r="M33" s="43"/>
      <c r="N33" s="43"/>
      <c r="O33" s="43"/>
      <c r="P33" s="43"/>
      <c r="Q33" s="43"/>
      <c r="R33" s="43"/>
      <c r="S33" s="43"/>
      <c r="T33" s="43"/>
      <c r="U33" s="767"/>
      <c r="V33" s="43">
        <f t="shared" si="266"/>
        <v>0</v>
      </c>
      <c r="W33" s="43">
        <f t="shared" si="267"/>
        <v>0</v>
      </c>
      <c r="X33" s="43">
        <f t="shared" si="268"/>
        <v>0</v>
      </c>
      <c r="Y33" s="43">
        <f t="shared" si="269"/>
        <v>0</v>
      </c>
      <c r="Z33" s="43">
        <f t="shared" si="270"/>
        <v>0</v>
      </c>
      <c r="AA33" s="43">
        <f t="shared" si="271"/>
        <v>0</v>
      </c>
      <c r="AB33" s="43">
        <f t="shared" si="272"/>
        <v>0</v>
      </c>
      <c r="AC33" s="43">
        <f t="shared" si="273"/>
        <v>0</v>
      </c>
      <c r="AD33" s="43">
        <f t="shared" si="274"/>
        <v>0</v>
      </c>
      <c r="AE33" s="43">
        <f t="shared" si="275"/>
        <v>0</v>
      </c>
      <c r="AF33" s="43">
        <f t="shared" si="276"/>
        <v>0</v>
      </c>
      <c r="AG33" s="43">
        <f t="shared" si="277"/>
        <v>0</v>
      </c>
      <c r="AH33" s="43">
        <f t="shared" si="278"/>
        <v>0</v>
      </c>
      <c r="AI33" s="43">
        <f t="shared" si="279"/>
        <v>0</v>
      </c>
      <c r="AJ33" s="43">
        <f t="shared" si="280"/>
        <v>0</v>
      </c>
      <c r="AK33" s="767"/>
      <c r="AL33" s="43">
        <f t="shared" si="281"/>
        <v>0</v>
      </c>
      <c r="AM33" s="43">
        <f t="shared" si="282"/>
        <v>0</v>
      </c>
      <c r="AN33" s="43">
        <f t="shared" si="283"/>
        <v>0</v>
      </c>
      <c r="AO33" s="43">
        <f t="shared" si="284"/>
        <v>0</v>
      </c>
      <c r="AP33" s="43">
        <f t="shared" si="285"/>
        <v>0</v>
      </c>
      <c r="AQ33" s="43">
        <f t="shared" si="286"/>
        <v>0</v>
      </c>
      <c r="AR33" s="43">
        <f t="shared" si="287"/>
        <v>0</v>
      </c>
      <c r="AS33" s="43">
        <f t="shared" si="288"/>
        <v>0</v>
      </c>
      <c r="AT33" s="43">
        <f t="shared" si="289"/>
        <v>0</v>
      </c>
      <c r="AU33" s="43">
        <f t="shared" si="290"/>
        <v>0</v>
      </c>
      <c r="AV33" s="43">
        <f t="shared" si="291"/>
        <v>0</v>
      </c>
      <c r="AW33" s="43">
        <f t="shared" si="292"/>
        <v>0</v>
      </c>
      <c r="AX33" s="43">
        <f t="shared" si="293"/>
        <v>0</v>
      </c>
      <c r="AY33" s="43">
        <f t="shared" si="294"/>
        <v>0</v>
      </c>
      <c r="AZ33" s="43">
        <f t="shared" si="295"/>
        <v>0</v>
      </c>
      <c r="BA33" s="767"/>
      <c r="BB33" s="43">
        <f t="shared" si="296"/>
        <v>0</v>
      </c>
      <c r="BC33" s="43">
        <f t="shared" si="297"/>
        <v>0</v>
      </c>
      <c r="BD33" s="43">
        <f t="shared" si="298"/>
        <v>0</v>
      </c>
      <c r="BE33" s="43">
        <f t="shared" si="299"/>
        <v>0</v>
      </c>
      <c r="BF33" s="43">
        <f t="shared" si="300"/>
        <v>0</v>
      </c>
      <c r="BG33" s="43">
        <f t="shared" si="301"/>
        <v>0</v>
      </c>
      <c r="BH33" s="43">
        <f t="shared" si="302"/>
        <v>0</v>
      </c>
      <c r="BI33" s="43">
        <f t="shared" si="303"/>
        <v>0</v>
      </c>
      <c r="BJ33" s="43">
        <f t="shared" si="304"/>
        <v>0</v>
      </c>
      <c r="BK33" s="43">
        <f t="shared" si="305"/>
        <v>0</v>
      </c>
      <c r="BL33" s="43">
        <f t="shared" si="306"/>
        <v>0</v>
      </c>
      <c r="BM33" s="43">
        <f t="shared" si="307"/>
        <v>0</v>
      </c>
      <c r="BN33" s="43">
        <f t="shared" si="308"/>
        <v>0</v>
      </c>
      <c r="BO33" s="43">
        <f t="shared" si="309"/>
        <v>0</v>
      </c>
      <c r="BP33" s="43">
        <f t="shared" si="310"/>
        <v>0</v>
      </c>
      <c r="BQ33" s="767"/>
      <c r="BR33" s="43">
        <f t="shared" si="311"/>
        <v>0</v>
      </c>
      <c r="BS33" s="43">
        <f t="shared" si="312"/>
        <v>0</v>
      </c>
      <c r="BT33" s="43">
        <f t="shared" si="313"/>
        <v>0</v>
      </c>
      <c r="BU33" s="43">
        <f t="shared" si="314"/>
        <v>0</v>
      </c>
      <c r="BV33" s="43">
        <f t="shared" si="315"/>
        <v>0</v>
      </c>
      <c r="BW33" s="43">
        <f t="shared" si="316"/>
        <v>0</v>
      </c>
      <c r="BX33" s="43">
        <f t="shared" si="317"/>
        <v>0</v>
      </c>
      <c r="BY33" s="43">
        <f t="shared" si="318"/>
        <v>0</v>
      </c>
      <c r="BZ33" s="43">
        <f t="shared" si="319"/>
        <v>0</v>
      </c>
      <c r="CA33" s="43">
        <f t="shared" si="320"/>
        <v>0</v>
      </c>
      <c r="CB33" s="43">
        <f t="shared" si="321"/>
        <v>0</v>
      </c>
      <c r="CC33" s="43">
        <f t="shared" si="322"/>
        <v>0</v>
      </c>
      <c r="CD33" s="43">
        <f t="shared" si="323"/>
        <v>0</v>
      </c>
      <c r="CE33" s="43">
        <f t="shared" si="324"/>
        <v>0</v>
      </c>
      <c r="CF33" s="43">
        <f t="shared" si="325"/>
        <v>0</v>
      </c>
      <c r="CG33" s="767"/>
      <c r="CH33" s="43">
        <f t="shared" si="326"/>
        <v>0</v>
      </c>
      <c r="CI33" s="43">
        <f t="shared" si="327"/>
        <v>0</v>
      </c>
      <c r="CJ33" s="43">
        <f t="shared" si="328"/>
        <v>0</v>
      </c>
      <c r="CK33" s="43">
        <f t="shared" si="329"/>
        <v>0</v>
      </c>
      <c r="CL33" s="43">
        <f t="shared" si="330"/>
        <v>0</v>
      </c>
      <c r="CM33" s="43">
        <f t="shared" si="331"/>
        <v>0</v>
      </c>
      <c r="CN33" s="43">
        <f t="shared" si="332"/>
        <v>0</v>
      </c>
      <c r="CO33" s="43">
        <f t="shared" si="333"/>
        <v>0</v>
      </c>
      <c r="CP33" s="43">
        <f t="shared" si="334"/>
        <v>0</v>
      </c>
      <c r="CQ33" s="43">
        <f t="shared" si="335"/>
        <v>0</v>
      </c>
      <c r="CR33" s="43">
        <f t="shared" si="336"/>
        <v>0</v>
      </c>
      <c r="CS33" s="43">
        <f t="shared" si="337"/>
        <v>0</v>
      </c>
      <c r="CT33" s="43">
        <f t="shared" si="338"/>
        <v>0</v>
      </c>
      <c r="CU33" s="43">
        <f t="shared" si="339"/>
        <v>0</v>
      </c>
      <c r="CV33" s="43">
        <f t="shared" si="340"/>
        <v>0</v>
      </c>
      <c r="CW33" s="767"/>
      <c r="CX33" s="43">
        <f t="shared" si="341"/>
        <v>0</v>
      </c>
      <c r="CY33" s="43">
        <f t="shared" si="342"/>
        <v>0</v>
      </c>
      <c r="CZ33" s="43">
        <f t="shared" si="343"/>
        <v>0</v>
      </c>
      <c r="DA33" s="43">
        <f t="shared" si="344"/>
        <v>0</v>
      </c>
      <c r="DB33" s="43">
        <f t="shared" si="345"/>
        <v>0</v>
      </c>
      <c r="DC33" s="43">
        <f t="shared" si="346"/>
        <v>0</v>
      </c>
      <c r="DD33" s="43">
        <f t="shared" si="347"/>
        <v>0</v>
      </c>
      <c r="DE33" s="43">
        <f t="shared" si="348"/>
        <v>0</v>
      </c>
      <c r="DF33" s="43">
        <f t="shared" si="349"/>
        <v>0</v>
      </c>
      <c r="DG33" s="43">
        <f t="shared" si="350"/>
        <v>0</v>
      </c>
      <c r="DH33" s="43">
        <f t="shared" si="351"/>
        <v>0</v>
      </c>
      <c r="DI33" s="43">
        <f t="shared" si="352"/>
        <v>0</v>
      </c>
      <c r="DJ33" s="43">
        <f t="shared" si="353"/>
        <v>0</v>
      </c>
      <c r="DK33" s="43">
        <f t="shared" si="354"/>
        <v>0</v>
      </c>
      <c r="DL33" s="43">
        <f t="shared" si="355"/>
        <v>0</v>
      </c>
      <c r="DM33" s="767"/>
      <c r="DN33" s="43">
        <f t="shared" si="356"/>
        <v>0</v>
      </c>
      <c r="DO33" s="43">
        <f t="shared" si="357"/>
        <v>0</v>
      </c>
      <c r="DP33" s="43">
        <f t="shared" si="358"/>
        <v>0</v>
      </c>
      <c r="DQ33" s="43">
        <f t="shared" si="359"/>
        <v>0</v>
      </c>
      <c r="DR33" s="43">
        <f t="shared" si="360"/>
        <v>0</v>
      </c>
      <c r="DS33" s="43">
        <f t="shared" si="361"/>
        <v>0</v>
      </c>
      <c r="DT33" s="43">
        <f t="shared" si="362"/>
        <v>0</v>
      </c>
      <c r="DU33" s="43">
        <f t="shared" si="363"/>
        <v>0</v>
      </c>
      <c r="DV33" s="43">
        <f t="shared" si="364"/>
        <v>0</v>
      </c>
      <c r="DW33" s="43">
        <f t="shared" si="365"/>
        <v>0</v>
      </c>
      <c r="DX33" s="43">
        <f t="shared" si="366"/>
        <v>0</v>
      </c>
      <c r="DY33" s="43">
        <f t="shared" si="367"/>
        <v>0</v>
      </c>
      <c r="DZ33" s="43">
        <f t="shared" si="368"/>
        <v>0</v>
      </c>
      <c r="EA33" s="43">
        <f t="shared" si="369"/>
        <v>0</v>
      </c>
      <c r="EB33" s="43">
        <f t="shared" si="370"/>
        <v>0</v>
      </c>
      <c r="EC33" s="767"/>
      <c r="ED33" s="43">
        <f t="shared" si="371"/>
        <v>0</v>
      </c>
      <c r="EE33" s="43">
        <f t="shared" si="372"/>
        <v>0</v>
      </c>
      <c r="EF33" s="43">
        <f t="shared" si="373"/>
        <v>0</v>
      </c>
      <c r="EG33" s="43">
        <f t="shared" si="374"/>
        <v>0</v>
      </c>
      <c r="EH33" s="43">
        <f t="shared" si="375"/>
        <v>0</v>
      </c>
      <c r="EI33" s="43">
        <f t="shared" si="376"/>
        <v>0</v>
      </c>
      <c r="EJ33" s="43">
        <f t="shared" si="377"/>
        <v>0</v>
      </c>
      <c r="EK33" s="43">
        <f t="shared" si="378"/>
        <v>0</v>
      </c>
      <c r="EL33" s="43">
        <f t="shared" si="379"/>
        <v>0</v>
      </c>
      <c r="EM33" s="43">
        <f t="shared" si="380"/>
        <v>0</v>
      </c>
      <c r="EN33" s="43">
        <f t="shared" si="381"/>
        <v>0</v>
      </c>
      <c r="EO33" s="43">
        <f t="shared" si="382"/>
        <v>0</v>
      </c>
      <c r="EP33" s="43">
        <f t="shared" si="383"/>
        <v>0</v>
      </c>
      <c r="EQ33" s="43">
        <f t="shared" si="384"/>
        <v>0</v>
      </c>
      <c r="ER33" s="43">
        <f t="shared" si="385"/>
        <v>0</v>
      </c>
      <c r="ES33" s="767"/>
      <c r="ET33" s="43">
        <f t="shared" si="386"/>
        <v>0</v>
      </c>
      <c r="EU33" s="43">
        <f t="shared" si="387"/>
        <v>0</v>
      </c>
      <c r="EV33" s="43">
        <f t="shared" si="388"/>
        <v>0</v>
      </c>
      <c r="EW33" s="43">
        <f t="shared" si="389"/>
        <v>0</v>
      </c>
      <c r="EX33" s="43">
        <f t="shared" si="390"/>
        <v>0</v>
      </c>
      <c r="EY33" s="43">
        <f t="shared" si="391"/>
        <v>0</v>
      </c>
      <c r="EZ33" s="43">
        <f t="shared" si="392"/>
        <v>0</v>
      </c>
      <c r="FA33" s="43">
        <f t="shared" si="393"/>
        <v>0</v>
      </c>
      <c r="FB33" s="43">
        <f t="shared" si="394"/>
        <v>0</v>
      </c>
      <c r="FC33" s="43">
        <f t="shared" si="395"/>
        <v>0</v>
      </c>
      <c r="FD33" s="43">
        <f t="shared" si="396"/>
        <v>0</v>
      </c>
      <c r="FE33" s="43">
        <f t="shared" si="397"/>
        <v>0</v>
      </c>
      <c r="FF33" s="43">
        <f t="shared" si="398"/>
        <v>0</v>
      </c>
      <c r="FG33" s="43">
        <f t="shared" si="399"/>
        <v>0</v>
      </c>
      <c r="FH33" s="43">
        <f t="shared" si="400"/>
        <v>0</v>
      </c>
      <c r="FI33" s="767"/>
      <c r="FJ33" s="43">
        <f t="shared" si="401"/>
        <v>0</v>
      </c>
      <c r="FK33" s="43">
        <f t="shared" si="402"/>
        <v>0</v>
      </c>
      <c r="FL33" s="43">
        <f t="shared" si="403"/>
        <v>0</v>
      </c>
      <c r="FM33" s="43">
        <f t="shared" si="404"/>
        <v>0</v>
      </c>
      <c r="FN33" s="43">
        <f t="shared" si="405"/>
        <v>0</v>
      </c>
      <c r="FO33" s="43">
        <f t="shared" si="406"/>
        <v>0</v>
      </c>
      <c r="FP33" s="43">
        <f t="shared" si="407"/>
        <v>0</v>
      </c>
      <c r="FQ33" s="43">
        <f t="shared" si="408"/>
        <v>0</v>
      </c>
      <c r="FR33" s="43">
        <f t="shared" si="409"/>
        <v>0</v>
      </c>
      <c r="FS33" s="43">
        <f t="shared" si="410"/>
        <v>0</v>
      </c>
      <c r="FT33" s="43">
        <f t="shared" si="411"/>
        <v>0</v>
      </c>
      <c r="FU33" s="43">
        <f t="shared" si="412"/>
        <v>0</v>
      </c>
      <c r="FV33" s="43">
        <f t="shared" si="413"/>
        <v>0</v>
      </c>
      <c r="FW33" s="43">
        <f t="shared" si="414"/>
        <v>0</v>
      </c>
      <c r="FX33" s="43">
        <f t="shared" si="415"/>
        <v>0</v>
      </c>
      <c r="FY33" s="767"/>
      <c r="FZ33" s="43">
        <f t="shared" si="416"/>
        <v>0</v>
      </c>
      <c r="GA33" s="43">
        <f t="shared" si="417"/>
        <v>0</v>
      </c>
      <c r="GB33" s="43">
        <f t="shared" si="418"/>
        <v>0</v>
      </c>
      <c r="GC33" s="43">
        <f t="shared" si="419"/>
        <v>0</v>
      </c>
      <c r="GD33" s="43">
        <f t="shared" si="420"/>
        <v>0</v>
      </c>
      <c r="GE33" s="43">
        <f t="shared" si="421"/>
        <v>0</v>
      </c>
      <c r="GF33" s="43">
        <f t="shared" si="422"/>
        <v>0</v>
      </c>
      <c r="GG33" s="43">
        <f t="shared" si="423"/>
        <v>0</v>
      </c>
      <c r="GH33" s="43">
        <f t="shared" si="424"/>
        <v>0</v>
      </c>
      <c r="GI33" s="43">
        <f t="shared" si="425"/>
        <v>0</v>
      </c>
      <c r="GJ33" s="43">
        <f t="shared" si="426"/>
        <v>0</v>
      </c>
      <c r="GK33" s="43">
        <f t="shared" si="427"/>
        <v>0</v>
      </c>
      <c r="GL33" s="43">
        <f t="shared" si="428"/>
        <v>0</v>
      </c>
      <c r="GM33" s="43">
        <f t="shared" si="429"/>
        <v>0</v>
      </c>
      <c r="GN33" s="43">
        <f t="shared" si="430"/>
        <v>0</v>
      </c>
      <c r="GO33" s="767"/>
      <c r="GP33" s="43">
        <f t="shared" si="431"/>
        <v>0</v>
      </c>
      <c r="GQ33" s="43">
        <f t="shared" si="432"/>
        <v>0</v>
      </c>
      <c r="GR33" s="43">
        <f t="shared" si="433"/>
        <v>0</v>
      </c>
      <c r="GS33" s="43">
        <f t="shared" si="434"/>
        <v>0</v>
      </c>
      <c r="GT33" s="43">
        <f t="shared" si="435"/>
        <v>0</v>
      </c>
      <c r="GU33" s="43">
        <f t="shared" si="436"/>
        <v>0</v>
      </c>
      <c r="GV33" s="43">
        <f t="shared" si="437"/>
        <v>0</v>
      </c>
      <c r="GW33" s="43">
        <f t="shared" si="438"/>
        <v>0</v>
      </c>
      <c r="GX33" s="43">
        <f t="shared" si="439"/>
        <v>0</v>
      </c>
      <c r="GY33" s="43">
        <f t="shared" si="440"/>
        <v>0</v>
      </c>
      <c r="GZ33" s="43">
        <f t="shared" si="441"/>
        <v>0</v>
      </c>
      <c r="HA33" s="43">
        <f t="shared" si="442"/>
        <v>0</v>
      </c>
      <c r="HB33" s="43">
        <f t="shared" si="443"/>
        <v>0</v>
      </c>
      <c r="HC33" s="43">
        <f t="shared" si="444"/>
        <v>0</v>
      </c>
      <c r="HD33" s="43">
        <f t="shared" si="445"/>
        <v>0</v>
      </c>
      <c r="HE33" s="767"/>
      <c r="HF33" s="43">
        <f t="shared" si="446"/>
        <v>0</v>
      </c>
      <c r="HG33" s="43">
        <f t="shared" si="447"/>
        <v>0</v>
      </c>
      <c r="HH33" s="43">
        <f t="shared" si="448"/>
        <v>0</v>
      </c>
      <c r="HI33" s="43">
        <f t="shared" si="449"/>
        <v>0</v>
      </c>
      <c r="HJ33" s="43">
        <f t="shared" si="450"/>
        <v>0</v>
      </c>
      <c r="HK33" s="43">
        <f t="shared" si="451"/>
        <v>0</v>
      </c>
      <c r="HL33" s="43">
        <f t="shared" si="452"/>
        <v>0</v>
      </c>
      <c r="HM33" s="43">
        <f t="shared" si="453"/>
        <v>0</v>
      </c>
      <c r="HN33" s="43">
        <f t="shared" si="454"/>
        <v>0</v>
      </c>
      <c r="HO33" s="43">
        <f t="shared" si="455"/>
        <v>0</v>
      </c>
      <c r="HP33" s="43">
        <f t="shared" si="456"/>
        <v>0</v>
      </c>
      <c r="HQ33" s="43">
        <f t="shared" si="457"/>
        <v>0</v>
      </c>
      <c r="HR33" s="43">
        <f t="shared" si="458"/>
        <v>0</v>
      </c>
      <c r="HS33" s="43">
        <f t="shared" si="459"/>
        <v>0</v>
      </c>
      <c r="HT33" s="43">
        <f t="shared" si="460"/>
        <v>0</v>
      </c>
      <c r="HU33" s="767"/>
      <c r="HV33" s="43">
        <f t="shared" si="461"/>
        <v>0</v>
      </c>
      <c r="HW33" s="43">
        <f t="shared" si="462"/>
        <v>0</v>
      </c>
      <c r="HX33" s="43">
        <f t="shared" si="463"/>
        <v>0</v>
      </c>
      <c r="HY33" s="43">
        <f t="shared" si="464"/>
        <v>0</v>
      </c>
      <c r="HZ33" s="43">
        <f t="shared" si="465"/>
        <v>0</v>
      </c>
      <c r="IA33" s="43">
        <f t="shared" si="466"/>
        <v>0</v>
      </c>
      <c r="IB33" s="43">
        <f t="shared" si="467"/>
        <v>0</v>
      </c>
      <c r="IC33" s="43">
        <f t="shared" si="468"/>
        <v>0</v>
      </c>
      <c r="ID33" s="43">
        <f t="shared" si="469"/>
        <v>0</v>
      </c>
      <c r="IE33" s="43">
        <f t="shared" si="470"/>
        <v>0</v>
      </c>
      <c r="IF33" s="43">
        <f t="shared" si="471"/>
        <v>0</v>
      </c>
      <c r="IG33" s="43">
        <f t="shared" si="472"/>
        <v>0</v>
      </c>
      <c r="IH33" s="43">
        <f t="shared" si="473"/>
        <v>0</v>
      </c>
      <c r="II33" s="43">
        <f t="shared" si="474"/>
        <v>0</v>
      </c>
      <c r="IJ33" s="786">
        <f t="shared" si="475"/>
        <v>0</v>
      </c>
      <c r="IK33" s="794"/>
    </row>
    <row r="34" spans="1:245">
      <c r="A34" s="642">
        <f t="shared" si="476"/>
        <v>4</v>
      </c>
      <c r="B34" s="762" t="str">
        <f t="shared" si="264"/>
        <v>Functional Services Administrator</v>
      </c>
      <c r="C34" s="775"/>
      <c r="D34" s="769"/>
      <c r="E34" s="52" t="str">
        <f t="shared" si="265"/>
        <v>Functional Services AdministratorContr_Sub</v>
      </c>
      <c r="F34" s="793"/>
      <c r="G34" s="43"/>
      <c r="H34" s="43"/>
      <c r="I34" s="43"/>
      <c r="J34" s="43"/>
      <c r="K34" s="43"/>
      <c r="L34" s="43"/>
      <c r="M34" s="43"/>
      <c r="N34" s="43"/>
      <c r="O34" s="43"/>
      <c r="P34" s="43"/>
      <c r="Q34" s="43"/>
      <c r="R34" s="43"/>
      <c r="S34" s="43"/>
      <c r="T34" s="43"/>
      <c r="U34" s="767"/>
      <c r="V34" s="43">
        <f t="shared" si="266"/>
        <v>0</v>
      </c>
      <c r="W34" s="43">
        <f t="shared" si="267"/>
        <v>0</v>
      </c>
      <c r="X34" s="43">
        <f t="shared" si="268"/>
        <v>0</v>
      </c>
      <c r="Y34" s="43">
        <f t="shared" si="269"/>
        <v>0</v>
      </c>
      <c r="Z34" s="43">
        <f t="shared" si="270"/>
        <v>0</v>
      </c>
      <c r="AA34" s="43">
        <f t="shared" si="271"/>
        <v>0</v>
      </c>
      <c r="AB34" s="43">
        <f t="shared" si="272"/>
        <v>0</v>
      </c>
      <c r="AC34" s="43">
        <f t="shared" si="273"/>
        <v>0</v>
      </c>
      <c r="AD34" s="43">
        <f t="shared" si="274"/>
        <v>0</v>
      </c>
      <c r="AE34" s="43">
        <f t="shared" si="275"/>
        <v>0</v>
      </c>
      <c r="AF34" s="43">
        <f t="shared" si="276"/>
        <v>0</v>
      </c>
      <c r="AG34" s="43">
        <f t="shared" si="277"/>
        <v>0</v>
      </c>
      <c r="AH34" s="43">
        <f t="shared" si="278"/>
        <v>0</v>
      </c>
      <c r="AI34" s="43">
        <f t="shared" si="279"/>
        <v>0</v>
      </c>
      <c r="AJ34" s="43">
        <f t="shared" si="280"/>
        <v>0</v>
      </c>
      <c r="AK34" s="767"/>
      <c r="AL34" s="43">
        <f t="shared" si="281"/>
        <v>0</v>
      </c>
      <c r="AM34" s="43">
        <f t="shared" si="282"/>
        <v>0</v>
      </c>
      <c r="AN34" s="43">
        <f t="shared" si="283"/>
        <v>0</v>
      </c>
      <c r="AO34" s="43">
        <f t="shared" si="284"/>
        <v>0</v>
      </c>
      <c r="AP34" s="43">
        <f t="shared" si="285"/>
        <v>0</v>
      </c>
      <c r="AQ34" s="43">
        <f t="shared" si="286"/>
        <v>0</v>
      </c>
      <c r="AR34" s="43">
        <f t="shared" si="287"/>
        <v>0</v>
      </c>
      <c r="AS34" s="43">
        <f t="shared" si="288"/>
        <v>0</v>
      </c>
      <c r="AT34" s="43">
        <f t="shared" si="289"/>
        <v>0</v>
      </c>
      <c r="AU34" s="43">
        <f t="shared" si="290"/>
        <v>0</v>
      </c>
      <c r="AV34" s="43">
        <f t="shared" si="291"/>
        <v>0</v>
      </c>
      <c r="AW34" s="43">
        <f t="shared" si="292"/>
        <v>0</v>
      </c>
      <c r="AX34" s="43">
        <f t="shared" si="293"/>
        <v>0</v>
      </c>
      <c r="AY34" s="43">
        <f t="shared" si="294"/>
        <v>0</v>
      </c>
      <c r="AZ34" s="43">
        <f t="shared" si="295"/>
        <v>0</v>
      </c>
      <c r="BA34" s="767"/>
      <c r="BB34" s="43">
        <f t="shared" si="296"/>
        <v>0</v>
      </c>
      <c r="BC34" s="43">
        <f t="shared" si="297"/>
        <v>0</v>
      </c>
      <c r="BD34" s="43">
        <f t="shared" si="298"/>
        <v>0</v>
      </c>
      <c r="BE34" s="43">
        <f t="shared" si="299"/>
        <v>0</v>
      </c>
      <c r="BF34" s="43">
        <f t="shared" si="300"/>
        <v>0</v>
      </c>
      <c r="BG34" s="43">
        <f t="shared" si="301"/>
        <v>0</v>
      </c>
      <c r="BH34" s="43">
        <f t="shared" si="302"/>
        <v>0</v>
      </c>
      <c r="BI34" s="43">
        <f t="shared" si="303"/>
        <v>0</v>
      </c>
      <c r="BJ34" s="43">
        <f t="shared" si="304"/>
        <v>0</v>
      </c>
      <c r="BK34" s="43">
        <f t="shared" si="305"/>
        <v>0</v>
      </c>
      <c r="BL34" s="43">
        <f t="shared" si="306"/>
        <v>0</v>
      </c>
      <c r="BM34" s="43">
        <f t="shared" si="307"/>
        <v>0</v>
      </c>
      <c r="BN34" s="43">
        <f t="shared" si="308"/>
        <v>0</v>
      </c>
      <c r="BO34" s="43">
        <f t="shared" si="309"/>
        <v>0</v>
      </c>
      <c r="BP34" s="43">
        <f t="shared" si="310"/>
        <v>0</v>
      </c>
      <c r="BQ34" s="767"/>
      <c r="BR34" s="43">
        <f t="shared" si="311"/>
        <v>0</v>
      </c>
      <c r="BS34" s="43">
        <f t="shared" si="312"/>
        <v>0</v>
      </c>
      <c r="BT34" s="43">
        <f t="shared" si="313"/>
        <v>0</v>
      </c>
      <c r="BU34" s="43">
        <f t="shared" si="314"/>
        <v>0</v>
      </c>
      <c r="BV34" s="43">
        <f t="shared" si="315"/>
        <v>0</v>
      </c>
      <c r="BW34" s="43">
        <f t="shared" si="316"/>
        <v>0</v>
      </c>
      <c r="BX34" s="43">
        <f t="shared" si="317"/>
        <v>0</v>
      </c>
      <c r="BY34" s="43">
        <f t="shared" si="318"/>
        <v>0</v>
      </c>
      <c r="BZ34" s="43">
        <f t="shared" si="319"/>
        <v>0</v>
      </c>
      <c r="CA34" s="43">
        <f t="shared" si="320"/>
        <v>0</v>
      </c>
      <c r="CB34" s="43">
        <f t="shared" si="321"/>
        <v>0</v>
      </c>
      <c r="CC34" s="43">
        <f t="shared" si="322"/>
        <v>0</v>
      </c>
      <c r="CD34" s="43">
        <f t="shared" si="323"/>
        <v>0</v>
      </c>
      <c r="CE34" s="43">
        <f t="shared" si="324"/>
        <v>0</v>
      </c>
      <c r="CF34" s="43">
        <f t="shared" si="325"/>
        <v>0</v>
      </c>
      <c r="CG34" s="767"/>
      <c r="CH34" s="43">
        <f t="shared" si="326"/>
        <v>0</v>
      </c>
      <c r="CI34" s="43">
        <f t="shared" si="327"/>
        <v>0</v>
      </c>
      <c r="CJ34" s="43">
        <f t="shared" si="328"/>
        <v>0</v>
      </c>
      <c r="CK34" s="43">
        <f t="shared" si="329"/>
        <v>0</v>
      </c>
      <c r="CL34" s="43">
        <f t="shared" si="330"/>
        <v>0</v>
      </c>
      <c r="CM34" s="43">
        <f t="shared" si="331"/>
        <v>0</v>
      </c>
      <c r="CN34" s="43">
        <f t="shared" si="332"/>
        <v>0</v>
      </c>
      <c r="CO34" s="43">
        <f t="shared" si="333"/>
        <v>0</v>
      </c>
      <c r="CP34" s="43">
        <f t="shared" si="334"/>
        <v>0</v>
      </c>
      <c r="CQ34" s="43">
        <f t="shared" si="335"/>
        <v>0</v>
      </c>
      <c r="CR34" s="43">
        <f t="shared" si="336"/>
        <v>0</v>
      </c>
      <c r="CS34" s="43">
        <f t="shared" si="337"/>
        <v>0</v>
      </c>
      <c r="CT34" s="43">
        <f t="shared" si="338"/>
        <v>0</v>
      </c>
      <c r="CU34" s="43">
        <f t="shared" si="339"/>
        <v>0</v>
      </c>
      <c r="CV34" s="43">
        <f t="shared" si="340"/>
        <v>0</v>
      </c>
      <c r="CW34" s="767"/>
      <c r="CX34" s="43">
        <f t="shared" si="341"/>
        <v>0</v>
      </c>
      <c r="CY34" s="43">
        <f t="shared" si="342"/>
        <v>0</v>
      </c>
      <c r="CZ34" s="43">
        <f t="shared" si="343"/>
        <v>0</v>
      </c>
      <c r="DA34" s="43">
        <f t="shared" si="344"/>
        <v>0</v>
      </c>
      <c r="DB34" s="43">
        <f t="shared" si="345"/>
        <v>0</v>
      </c>
      <c r="DC34" s="43">
        <f t="shared" si="346"/>
        <v>0</v>
      </c>
      <c r="DD34" s="43">
        <f t="shared" si="347"/>
        <v>0</v>
      </c>
      <c r="DE34" s="43">
        <f t="shared" si="348"/>
        <v>0</v>
      </c>
      <c r="DF34" s="43">
        <f t="shared" si="349"/>
        <v>0</v>
      </c>
      <c r="DG34" s="43">
        <f t="shared" si="350"/>
        <v>0</v>
      </c>
      <c r="DH34" s="43">
        <f t="shared" si="351"/>
        <v>0</v>
      </c>
      <c r="DI34" s="43">
        <f t="shared" si="352"/>
        <v>0</v>
      </c>
      <c r="DJ34" s="43">
        <f t="shared" si="353"/>
        <v>0</v>
      </c>
      <c r="DK34" s="43">
        <f t="shared" si="354"/>
        <v>0</v>
      </c>
      <c r="DL34" s="43">
        <f t="shared" si="355"/>
        <v>0</v>
      </c>
      <c r="DM34" s="767"/>
      <c r="DN34" s="43">
        <f t="shared" si="356"/>
        <v>0</v>
      </c>
      <c r="DO34" s="43">
        <f t="shared" si="357"/>
        <v>0</v>
      </c>
      <c r="DP34" s="43">
        <f t="shared" si="358"/>
        <v>0</v>
      </c>
      <c r="DQ34" s="43">
        <f t="shared" si="359"/>
        <v>0</v>
      </c>
      <c r="DR34" s="43">
        <f t="shared" si="360"/>
        <v>0</v>
      </c>
      <c r="DS34" s="43">
        <f t="shared" si="361"/>
        <v>0</v>
      </c>
      <c r="DT34" s="43">
        <f t="shared" si="362"/>
        <v>0</v>
      </c>
      <c r="DU34" s="43">
        <f t="shared" si="363"/>
        <v>0</v>
      </c>
      <c r="DV34" s="43">
        <f t="shared" si="364"/>
        <v>0</v>
      </c>
      <c r="DW34" s="43">
        <f t="shared" si="365"/>
        <v>0</v>
      </c>
      <c r="DX34" s="43">
        <f t="shared" si="366"/>
        <v>0</v>
      </c>
      <c r="DY34" s="43">
        <f t="shared" si="367"/>
        <v>0</v>
      </c>
      <c r="DZ34" s="43">
        <f t="shared" si="368"/>
        <v>0</v>
      </c>
      <c r="EA34" s="43">
        <f t="shared" si="369"/>
        <v>0</v>
      </c>
      <c r="EB34" s="43">
        <f t="shared" si="370"/>
        <v>0</v>
      </c>
      <c r="EC34" s="767"/>
      <c r="ED34" s="43">
        <f t="shared" si="371"/>
        <v>0</v>
      </c>
      <c r="EE34" s="43">
        <f t="shared" si="372"/>
        <v>0</v>
      </c>
      <c r="EF34" s="43">
        <f t="shared" si="373"/>
        <v>0</v>
      </c>
      <c r="EG34" s="43">
        <f t="shared" si="374"/>
        <v>0</v>
      </c>
      <c r="EH34" s="43">
        <f t="shared" si="375"/>
        <v>0</v>
      </c>
      <c r="EI34" s="43">
        <f t="shared" si="376"/>
        <v>0</v>
      </c>
      <c r="EJ34" s="43">
        <f t="shared" si="377"/>
        <v>0</v>
      </c>
      <c r="EK34" s="43">
        <f t="shared" si="378"/>
        <v>0</v>
      </c>
      <c r="EL34" s="43">
        <f t="shared" si="379"/>
        <v>0</v>
      </c>
      <c r="EM34" s="43">
        <f t="shared" si="380"/>
        <v>0</v>
      </c>
      <c r="EN34" s="43">
        <f t="shared" si="381"/>
        <v>0</v>
      </c>
      <c r="EO34" s="43">
        <f t="shared" si="382"/>
        <v>0</v>
      </c>
      <c r="EP34" s="43">
        <f t="shared" si="383"/>
        <v>0</v>
      </c>
      <c r="EQ34" s="43">
        <f t="shared" si="384"/>
        <v>0</v>
      </c>
      <c r="ER34" s="43">
        <f t="shared" si="385"/>
        <v>0</v>
      </c>
      <c r="ES34" s="767"/>
      <c r="ET34" s="43">
        <f t="shared" si="386"/>
        <v>0</v>
      </c>
      <c r="EU34" s="43">
        <f t="shared" si="387"/>
        <v>0</v>
      </c>
      <c r="EV34" s="43">
        <f t="shared" si="388"/>
        <v>0</v>
      </c>
      <c r="EW34" s="43">
        <f t="shared" si="389"/>
        <v>0</v>
      </c>
      <c r="EX34" s="43">
        <f t="shared" si="390"/>
        <v>0</v>
      </c>
      <c r="EY34" s="43">
        <f t="shared" si="391"/>
        <v>0</v>
      </c>
      <c r="EZ34" s="43">
        <f t="shared" si="392"/>
        <v>0</v>
      </c>
      <c r="FA34" s="43">
        <f t="shared" si="393"/>
        <v>0</v>
      </c>
      <c r="FB34" s="43">
        <f t="shared" si="394"/>
        <v>0</v>
      </c>
      <c r="FC34" s="43">
        <f t="shared" si="395"/>
        <v>0</v>
      </c>
      <c r="FD34" s="43">
        <f t="shared" si="396"/>
        <v>0</v>
      </c>
      <c r="FE34" s="43">
        <f t="shared" si="397"/>
        <v>0</v>
      </c>
      <c r="FF34" s="43">
        <f t="shared" si="398"/>
        <v>0</v>
      </c>
      <c r="FG34" s="43">
        <f t="shared" si="399"/>
        <v>0</v>
      </c>
      <c r="FH34" s="43">
        <f t="shared" si="400"/>
        <v>0</v>
      </c>
      <c r="FI34" s="767"/>
      <c r="FJ34" s="43">
        <f t="shared" si="401"/>
        <v>0</v>
      </c>
      <c r="FK34" s="43">
        <f t="shared" si="402"/>
        <v>0</v>
      </c>
      <c r="FL34" s="43">
        <f t="shared" si="403"/>
        <v>0</v>
      </c>
      <c r="FM34" s="43">
        <f t="shared" si="404"/>
        <v>0</v>
      </c>
      <c r="FN34" s="43">
        <f t="shared" si="405"/>
        <v>0</v>
      </c>
      <c r="FO34" s="43">
        <f t="shared" si="406"/>
        <v>0</v>
      </c>
      <c r="FP34" s="43">
        <f t="shared" si="407"/>
        <v>0</v>
      </c>
      <c r="FQ34" s="43">
        <f t="shared" si="408"/>
        <v>0</v>
      </c>
      <c r="FR34" s="43">
        <f t="shared" si="409"/>
        <v>0</v>
      </c>
      <c r="FS34" s="43">
        <f t="shared" si="410"/>
        <v>0</v>
      </c>
      <c r="FT34" s="43">
        <f t="shared" si="411"/>
        <v>0</v>
      </c>
      <c r="FU34" s="43">
        <f t="shared" si="412"/>
        <v>0</v>
      </c>
      <c r="FV34" s="43">
        <f t="shared" si="413"/>
        <v>0</v>
      </c>
      <c r="FW34" s="43">
        <f t="shared" si="414"/>
        <v>0</v>
      </c>
      <c r="FX34" s="43">
        <f t="shared" si="415"/>
        <v>0</v>
      </c>
      <c r="FY34" s="767"/>
      <c r="FZ34" s="43">
        <f t="shared" si="416"/>
        <v>0</v>
      </c>
      <c r="GA34" s="43">
        <f t="shared" si="417"/>
        <v>0</v>
      </c>
      <c r="GB34" s="43">
        <f t="shared" si="418"/>
        <v>0</v>
      </c>
      <c r="GC34" s="43">
        <f t="shared" si="419"/>
        <v>0</v>
      </c>
      <c r="GD34" s="43">
        <f t="shared" si="420"/>
        <v>0</v>
      </c>
      <c r="GE34" s="43">
        <f t="shared" si="421"/>
        <v>0</v>
      </c>
      <c r="GF34" s="43">
        <f t="shared" si="422"/>
        <v>0</v>
      </c>
      <c r="GG34" s="43">
        <f t="shared" si="423"/>
        <v>0</v>
      </c>
      <c r="GH34" s="43">
        <f t="shared" si="424"/>
        <v>0</v>
      </c>
      <c r="GI34" s="43">
        <f t="shared" si="425"/>
        <v>0</v>
      </c>
      <c r="GJ34" s="43">
        <f t="shared" si="426"/>
        <v>0</v>
      </c>
      <c r="GK34" s="43">
        <f t="shared" si="427"/>
        <v>0</v>
      </c>
      <c r="GL34" s="43">
        <f t="shared" si="428"/>
        <v>0</v>
      </c>
      <c r="GM34" s="43">
        <f t="shared" si="429"/>
        <v>0</v>
      </c>
      <c r="GN34" s="43">
        <f t="shared" si="430"/>
        <v>0</v>
      </c>
      <c r="GO34" s="767"/>
      <c r="GP34" s="43">
        <f t="shared" si="431"/>
        <v>0</v>
      </c>
      <c r="GQ34" s="43">
        <f t="shared" si="432"/>
        <v>0</v>
      </c>
      <c r="GR34" s="43">
        <f t="shared" si="433"/>
        <v>0</v>
      </c>
      <c r="GS34" s="43">
        <f t="shared" si="434"/>
        <v>0</v>
      </c>
      <c r="GT34" s="43">
        <f t="shared" si="435"/>
        <v>0</v>
      </c>
      <c r="GU34" s="43">
        <f t="shared" si="436"/>
        <v>0</v>
      </c>
      <c r="GV34" s="43">
        <f t="shared" si="437"/>
        <v>0</v>
      </c>
      <c r="GW34" s="43">
        <f t="shared" si="438"/>
        <v>0</v>
      </c>
      <c r="GX34" s="43">
        <f t="shared" si="439"/>
        <v>0</v>
      </c>
      <c r="GY34" s="43">
        <f t="shared" si="440"/>
        <v>0</v>
      </c>
      <c r="GZ34" s="43">
        <f t="shared" si="441"/>
        <v>0</v>
      </c>
      <c r="HA34" s="43">
        <f t="shared" si="442"/>
        <v>0</v>
      </c>
      <c r="HB34" s="43">
        <f t="shared" si="443"/>
        <v>0</v>
      </c>
      <c r="HC34" s="43">
        <f t="shared" si="444"/>
        <v>0</v>
      </c>
      <c r="HD34" s="43">
        <f t="shared" si="445"/>
        <v>0</v>
      </c>
      <c r="HE34" s="767"/>
      <c r="HF34" s="43">
        <f t="shared" si="446"/>
        <v>0</v>
      </c>
      <c r="HG34" s="43">
        <f t="shared" si="447"/>
        <v>0</v>
      </c>
      <c r="HH34" s="43">
        <f t="shared" si="448"/>
        <v>0</v>
      </c>
      <c r="HI34" s="43">
        <f t="shared" si="449"/>
        <v>0</v>
      </c>
      <c r="HJ34" s="43">
        <f t="shared" si="450"/>
        <v>0</v>
      </c>
      <c r="HK34" s="43">
        <f t="shared" si="451"/>
        <v>0</v>
      </c>
      <c r="HL34" s="43">
        <f t="shared" si="452"/>
        <v>0</v>
      </c>
      <c r="HM34" s="43">
        <f t="shared" si="453"/>
        <v>0</v>
      </c>
      <c r="HN34" s="43">
        <f t="shared" si="454"/>
        <v>0</v>
      </c>
      <c r="HO34" s="43">
        <f t="shared" si="455"/>
        <v>0</v>
      </c>
      <c r="HP34" s="43">
        <f t="shared" si="456"/>
        <v>0</v>
      </c>
      <c r="HQ34" s="43">
        <f t="shared" si="457"/>
        <v>0</v>
      </c>
      <c r="HR34" s="43">
        <f t="shared" si="458"/>
        <v>0</v>
      </c>
      <c r="HS34" s="43">
        <f t="shared" si="459"/>
        <v>0</v>
      </c>
      <c r="HT34" s="43">
        <f t="shared" si="460"/>
        <v>0</v>
      </c>
      <c r="HU34" s="767"/>
      <c r="HV34" s="43">
        <f t="shared" si="461"/>
        <v>0</v>
      </c>
      <c r="HW34" s="43">
        <f t="shared" si="462"/>
        <v>0</v>
      </c>
      <c r="HX34" s="43">
        <f t="shared" si="463"/>
        <v>0</v>
      </c>
      <c r="HY34" s="43">
        <f t="shared" si="464"/>
        <v>0</v>
      </c>
      <c r="HZ34" s="43">
        <f t="shared" si="465"/>
        <v>0</v>
      </c>
      <c r="IA34" s="43">
        <f t="shared" si="466"/>
        <v>0</v>
      </c>
      <c r="IB34" s="43">
        <f t="shared" si="467"/>
        <v>0</v>
      </c>
      <c r="IC34" s="43">
        <f t="shared" si="468"/>
        <v>0</v>
      </c>
      <c r="ID34" s="43">
        <f t="shared" si="469"/>
        <v>0</v>
      </c>
      <c r="IE34" s="43">
        <f t="shared" si="470"/>
        <v>0</v>
      </c>
      <c r="IF34" s="43">
        <f t="shared" si="471"/>
        <v>0</v>
      </c>
      <c r="IG34" s="43">
        <f t="shared" si="472"/>
        <v>0</v>
      </c>
      <c r="IH34" s="43">
        <f t="shared" si="473"/>
        <v>0</v>
      </c>
      <c r="II34" s="43">
        <f t="shared" si="474"/>
        <v>0</v>
      </c>
      <c r="IJ34" s="786">
        <f t="shared" si="475"/>
        <v>0</v>
      </c>
      <c r="IK34" s="794"/>
    </row>
    <row r="35" spans="1:245">
      <c r="A35" s="642">
        <f t="shared" si="476"/>
        <v>5</v>
      </c>
      <c r="B35" s="762" t="str">
        <f t="shared" si="264"/>
        <v>Service Desk</v>
      </c>
      <c r="C35" s="775"/>
      <c r="D35" s="769"/>
      <c r="E35" s="52" t="str">
        <f t="shared" si="265"/>
        <v>Service DeskContr_Sub</v>
      </c>
      <c r="F35" s="793"/>
      <c r="G35" s="43"/>
      <c r="H35" s="43"/>
      <c r="I35" s="43"/>
      <c r="J35" s="43"/>
      <c r="K35" s="43"/>
      <c r="L35" s="43"/>
      <c r="M35" s="43"/>
      <c r="N35" s="43"/>
      <c r="O35" s="43"/>
      <c r="P35" s="43"/>
      <c r="Q35" s="43"/>
      <c r="R35" s="43"/>
      <c r="S35" s="43"/>
      <c r="T35" s="43"/>
      <c r="U35" s="767"/>
      <c r="V35" s="43">
        <f t="shared" si="266"/>
        <v>0</v>
      </c>
      <c r="W35" s="43">
        <f t="shared" si="267"/>
        <v>0</v>
      </c>
      <c r="X35" s="43">
        <f t="shared" si="268"/>
        <v>0</v>
      </c>
      <c r="Y35" s="43">
        <f t="shared" si="269"/>
        <v>0</v>
      </c>
      <c r="Z35" s="43">
        <f t="shared" si="270"/>
        <v>0</v>
      </c>
      <c r="AA35" s="43">
        <f t="shared" si="271"/>
        <v>0</v>
      </c>
      <c r="AB35" s="43">
        <f t="shared" si="272"/>
        <v>0</v>
      </c>
      <c r="AC35" s="43">
        <f t="shared" si="273"/>
        <v>0</v>
      </c>
      <c r="AD35" s="43">
        <f t="shared" si="274"/>
        <v>0</v>
      </c>
      <c r="AE35" s="43">
        <f t="shared" si="275"/>
        <v>0</v>
      </c>
      <c r="AF35" s="43">
        <f t="shared" si="276"/>
        <v>0</v>
      </c>
      <c r="AG35" s="43">
        <f t="shared" si="277"/>
        <v>0</v>
      </c>
      <c r="AH35" s="43">
        <f t="shared" si="278"/>
        <v>0</v>
      </c>
      <c r="AI35" s="43">
        <f t="shared" si="279"/>
        <v>0</v>
      </c>
      <c r="AJ35" s="43">
        <f t="shared" si="280"/>
        <v>0</v>
      </c>
      <c r="AK35" s="767"/>
      <c r="AL35" s="43">
        <f t="shared" si="281"/>
        <v>0</v>
      </c>
      <c r="AM35" s="43">
        <f t="shared" si="282"/>
        <v>0</v>
      </c>
      <c r="AN35" s="43">
        <f t="shared" si="283"/>
        <v>0</v>
      </c>
      <c r="AO35" s="43">
        <f t="shared" si="284"/>
        <v>0</v>
      </c>
      <c r="AP35" s="43">
        <f t="shared" si="285"/>
        <v>0</v>
      </c>
      <c r="AQ35" s="43">
        <f t="shared" si="286"/>
        <v>0</v>
      </c>
      <c r="AR35" s="43">
        <f t="shared" si="287"/>
        <v>0</v>
      </c>
      <c r="AS35" s="43">
        <f t="shared" si="288"/>
        <v>0</v>
      </c>
      <c r="AT35" s="43">
        <f t="shared" si="289"/>
        <v>0</v>
      </c>
      <c r="AU35" s="43">
        <f t="shared" si="290"/>
        <v>0</v>
      </c>
      <c r="AV35" s="43">
        <f t="shared" si="291"/>
        <v>0</v>
      </c>
      <c r="AW35" s="43">
        <f t="shared" si="292"/>
        <v>0</v>
      </c>
      <c r="AX35" s="43">
        <f t="shared" si="293"/>
        <v>0</v>
      </c>
      <c r="AY35" s="43">
        <f t="shared" si="294"/>
        <v>0</v>
      </c>
      <c r="AZ35" s="43">
        <f t="shared" si="295"/>
        <v>0</v>
      </c>
      <c r="BA35" s="767"/>
      <c r="BB35" s="43">
        <f t="shared" si="296"/>
        <v>0</v>
      </c>
      <c r="BC35" s="43">
        <f t="shared" si="297"/>
        <v>0</v>
      </c>
      <c r="BD35" s="43">
        <f t="shared" si="298"/>
        <v>0</v>
      </c>
      <c r="BE35" s="43">
        <f t="shared" si="299"/>
        <v>0</v>
      </c>
      <c r="BF35" s="43">
        <f t="shared" si="300"/>
        <v>0</v>
      </c>
      <c r="BG35" s="43">
        <f t="shared" si="301"/>
        <v>0</v>
      </c>
      <c r="BH35" s="43">
        <f t="shared" si="302"/>
        <v>0</v>
      </c>
      <c r="BI35" s="43">
        <f t="shared" si="303"/>
        <v>0</v>
      </c>
      <c r="BJ35" s="43">
        <f t="shared" si="304"/>
        <v>0</v>
      </c>
      <c r="BK35" s="43">
        <f t="shared" si="305"/>
        <v>0</v>
      </c>
      <c r="BL35" s="43">
        <f t="shared" si="306"/>
        <v>0</v>
      </c>
      <c r="BM35" s="43">
        <f t="shared" si="307"/>
        <v>0</v>
      </c>
      <c r="BN35" s="43">
        <f t="shared" si="308"/>
        <v>0</v>
      </c>
      <c r="BO35" s="43">
        <f t="shared" si="309"/>
        <v>0</v>
      </c>
      <c r="BP35" s="43">
        <f t="shared" si="310"/>
        <v>0</v>
      </c>
      <c r="BQ35" s="767"/>
      <c r="BR35" s="43">
        <f t="shared" si="311"/>
        <v>0</v>
      </c>
      <c r="BS35" s="43">
        <f t="shared" si="312"/>
        <v>0</v>
      </c>
      <c r="BT35" s="43">
        <f t="shared" si="313"/>
        <v>0</v>
      </c>
      <c r="BU35" s="43">
        <f t="shared" si="314"/>
        <v>0</v>
      </c>
      <c r="BV35" s="43">
        <f t="shared" si="315"/>
        <v>0</v>
      </c>
      <c r="BW35" s="43">
        <f t="shared" si="316"/>
        <v>0</v>
      </c>
      <c r="BX35" s="43">
        <f t="shared" si="317"/>
        <v>0</v>
      </c>
      <c r="BY35" s="43">
        <f t="shared" si="318"/>
        <v>0</v>
      </c>
      <c r="BZ35" s="43">
        <f t="shared" si="319"/>
        <v>0</v>
      </c>
      <c r="CA35" s="43">
        <f t="shared" si="320"/>
        <v>0</v>
      </c>
      <c r="CB35" s="43">
        <f t="shared" si="321"/>
        <v>0</v>
      </c>
      <c r="CC35" s="43">
        <f t="shared" si="322"/>
        <v>0</v>
      </c>
      <c r="CD35" s="43">
        <f t="shared" si="323"/>
        <v>0</v>
      </c>
      <c r="CE35" s="43">
        <f t="shared" si="324"/>
        <v>0</v>
      </c>
      <c r="CF35" s="43">
        <f t="shared" si="325"/>
        <v>0</v>
      </c>
      <c r="CG35" s="767"/>
      <c r="CH35" s="43">
        <f t="shared" si="326"/>
        <v>0</v>
      </c>
      <c r="CI35" s="43">
        <f t="shared" si="327"/>
        <v>0</v>
      </c>
      <c r="CJ35" s="43">
        <f t="shared" si="328"/>
        <v>0</v>
      </c>
      <c r="CK35" s="43">
        <f t="shared" si="329"/>
        <v>0</v>
      </c>
      <c r="CL35" s="43">
        <f t="shared" si="330"/>
        <v>0</v>
      </c>
      <c r="CM35" s="43">
        <f t="shared" si="331"/>
        <v>0</v>
      </c>
      <c r="CN35" s="43">
        <f t="shared" si="332"/>
        <v>0</v>
      </c>
      <c r="CO35" s="43">
        <f t="shared" si="333"/>
        <v>0</v>
      </c>
      <c r="CP35" s="43">
        <f t="shared" si="334"/>
        <v>0</v>
      </c>
      <c r="CQ35" s="43">
        <f t="shared" si="335"/>
        <v>0</v>
      </c>
      <c r="CR35" s="43">
        <f t="shared" si="336"/>
        <v>0</v>
      </c>
      <c r="CS35" s="43">
        <f t="shared" si="337"/>
        <v>0</v>
      </c>
      <c r="CT35" s="43">
        <f t="shared" si="338"/>
        <v>0</v>
      </c>
      <c r="CU35" s="43">
        <f t="shared" si="339"/>
        <v>0</v>
      </c>
      <c r="CV35" s="43">
        <f t="shared" si="340"/>
        <v>0</v>
      </c>
      <c r="CW35" s="767"/>
      <c r="CX35" s="43">
        <f t="shared" si="341"/>
        <v>0</v>
      </c>
      <c r="CY35" s="43">
        <f t="shared" si="342"/>
        <v>0</v>
      </c>
      <c r="CZ35" s="43">
        <f t="shared" si="343"/>
        <v>0</v>
      </c>
      <c r="DA35" s="43">
        <f t="shared" si="344"/>
        <v>0</v>
      </c>
      <c r="DB35" s="43">
        <f t="shared" si="345"/>
        <v>0</v>
      </c>
      <c r="DC35" s="43">
        <f t="shared" si="346"/>
        <v>0</v>
      </c>
      <c r="DD35" s="43">
        <f t="shared" si="347"/>
        <v>0</v>
      </c>
      <c r="DE35" s="43">
        <f t="shared" si="348"/>
        <v>0</v>
      </c>
      <c r="DF35" s="43">
        <f t="shared" si="349"/>
        <v>0</v>
      </c>
      <c r="DG35" s="43">
        <f t="shared" si="350"/>
        <v>0</v>
      </c>
      <c r="DH35" s="43">
        <f t="shared" si="351"/>
        <v>0</v>
      </c>
      <c r="DI35" s="43">
        <f t="shared" si="352"/>
        <v>0</v>
      </c>
      <c r="DJ35" s="43">
        <f t="shared" si="353"/>
        <v>0</v>
      </c>
      <c r="DK35" s="43">
        <f t="shared" si="354"/>
        <v>0</v>
      </c>
      <c r="DL35" s="43">
        <f t="shared" si="355"/>
        <v>0</v>
      </c>
      <c r="DM35" s="767"/>
      <c r="DN35" s="43">
        <f t="shared" si="356"/>
        <v>0</v>
      </c>
      <c r="DO35" s="43">
        <f t="shared" si="357"/>
        <v>0</v>
      </c>
      <c r="DP35" s="43">
        <f t="shared" si="358"/>
        <v>0</v>
      </c>
      <c r="DQ35" s="43">
        <f t="shared" si="359"/>
        <v>0</v>
      </c>
      <c r="DR35" s="43">
        <f t="shared" si="360"/>
        <v>0</v>
      </c>
      <c r="DS35" s="43">
        <f t="shared" si="361"/>
        <v>0</v>
      </c>
      <c r="DT35" s="43">
        <f t="shared" si="362"/>
        <v>0</v>
      </c>
      <c r="DU35" s="43">
        <f t="shared" si="363"/>
        <v>0</v>
      </c>
      <c r="DV35" s="43">
        <f t="shared" si="364"/>
        <v>0</v>
      </c>
      <c r="DW35" s="43">
        <f t="shared" si="365"/>
        <v>0</v>
      </c>
      <c r="DX35" s="43">
        <f t="shared" si="366"/>
        <v>0</v>
      </c>
      <c r="DY35" s="43">
        <f t="shared" si="367"/>
        <v>0</v>
      </c>
      <c r="DZ35" s="43">
        <f t="shared" si="368"/>
        <v>0</v>
      </c>
      <c r="EA35" s="43">
        <f t="shared" si="369"/>
        <v>0</v>
      </c>
      <c r="EB35" s="43">
        <f t="shared" si="370"/>
        <v>0</v>
      </c>
      <c r="EC35" s="767"/>
      <c r="ED35" s="43">
        <f t="shared" si="371"/>
        <v>0</v>
      </c>
      <c r="EE35" s="43">
        <f t="shared" si="372"/>
        <v>0</v>
      </c>
      <c r="EF35" s="43">
        <f t="shared" si="373"/>
        <v>0</v>
      </c>
      <c r="EG35" s="43">
        <f t="shared" si="374"/>
        <v>0</v>
      </c>
      <c r="EH35" s="43">
        <f t="shared" si="375"/>
        <v>0</v>
      </c>
      <c r="EI35" s="43">
        <f t="shared" si="376"/>
        <v>0</v>
      </c>
      <c r="EJ35" s="43">
        <f t="shared" si="377"/>
        <v>0</v>
      </c>
      <c r="EK35" s="43">
        <f t="shared" si="378"/>
        <v>0</v>
      </c>
      <c r="EL35" s="43">
        <f t="shared" si="379"/>
        <v>0</v>
      </c>
      <c r="EM35" s="43">
        <f t="shared" si="380"/>
        <v>0</v>
      </c>
      <c r="EN35" s="43">
        <f t="shared" si="381"/>
        <v>0</v>
      </c>
      <c r="EO35" s="43">
        <f t="shared" si="382"/>
        <v>0</v>
      </c>
      <c r="EP35" s="43">
        <f t="shared" si="383"/>
        <v>0</v>
      </c>
      <c r="EQ35" s="43">
        <f t="shared" si="384"/>
        <v>0</v>
      </c>
      <c r="ER35" s="43">
        <f t="shared" si="385"/>
        <v>0</v>
      </c>
      <c r="ES35" s="767"/>
      <c r="ET35" s="43">
        <f t="shared" si="386"/>
        <v>0</v>
      </c>
      <c r="EU35" s="43">
        <f t="shared" si="387"/>
        <v>0</v>
      </c>
      <c r="EV35" s="43">
        <f t="shared" si="388"/>
        <v>0</v>
      </c>
      <c r="EW35" s="43">
        <f t="shared" si="389"/>
        <v>0</v>
      </c>
      <c r="EX35" s="43">
        <f t="shared" si="390"/>
        <v>0</v>
      </c>
      <c r="EY35" s="43">
        <f t="shared" si="391"/>
        <v>0</v>
      </c>
      <c r="EZ35" s="43">
        <f t="shared" si="392"/>
        <v>0</v>
      </c>
      <c r="FA35" s="43">
        <f t="shared" si="393"/>
        <v>0</v>
      </c>
      <c r="FB35" s="43">
        <f t="shared" si="394"/>
        <v>0</v>
      </c>
      <c r="FC35" s="43">
        <f t="shared" si="395"/>
        <v>0</v>
      </c>
      <c r="FD35" s="43">
        <f t="shared" si="396"/>
        <v>0</v>
      </c>
      <c r="FE35" s="43">
        <f t="shared" si="397"/>
        <v>0</v>
      </c>
      <c r="FF35" s="43">
        <f t="shared" si="398"/>
        <v>0</v>
      </c>
      <c r="FG35" s="43">
        <f t="shared" si="399"/>
        <v>0</v>
      </c>
      <c r="FH35" s="43">
        <f t="shared" si="400"/>
        <v>0</v>
      </c>
      <c r="FI35" s="767"/>
      <c r="FJ35" s="43">
        <f t="shared" si="401"/>
        <v>0</v>
      </c>
      <c r="FK35" s="43">
        <f t="shared" si="402"/>
        <v>0</v>
      </c>
      <c r="FL35" s="43">
        <f t="shared" si="403"/>
        <v>0</v>
      </c>
      <c r="FM35" s="43">
        <f t="shared" si="404"/>
        <v>0</v>
      </c>
      <c r="FN35" s="43">
        <f t="shared" si="405"/>
        <v>0</v>
      </c>
      <c r="FO35" s="43">
        <f t="shared" si="406"/>
        <v>0</v>
      </c>
      <c r="FP35" s="43">
        <f t="shared" si="407"/>
        <v>0</v>
      </c>
      <c r="FQ35" s="43">
        <f t="shared" si="408"/>
        <v>0</v>
      </c>
      <c r="FR35" s="43">
        <f t="shared" si="409"/>
        <v>0</v>
      </c>
      <c r="FS35" s="43">
        <f t="shared" si="410"/>
        <v>0</v>
      </c>
      <c r="FT35" s="43">
        <f t="shared" si="411"/>
        <v>0</v>
      </c>
      <c r="FU35" s="43">
        <f t="shared" si="412"/>
        <v>0</v>
      </c>
      <c r="FV35" s="43">
        <f t="shared" si="413"/>
        <v>0</v>
      </c>
      <c r="FW35" s="43">
        <f t="shared" si="414"/>
        <v>0</v>
      </c>
      <c r="FX35" s="43">
        <f t="shared" si="415"/>
        <v>0</v>
      </c>
      <c r="FY35" s="767"/>
      <c r="FZ35" s="43">
        <f t="shared" si="416"/>
        <v>0</v>
      </c>
      <c r="GA35" s="43">
        <f t="shared" si="417"/>
        <v>0</v>
      </c>
      <c r="GB35" s="43">
        <f t="shared" si="418"/>
        <v>0</v>
      </c>
      <c r="GC35" s="43">
        <f t="shared" si="419"/>
        <v>0</v>
      </c>
      <c r="GD35" s="43">
        <f t="shared" si="420"/>
        <v>0</v>
      </c>
      <c r="GE35" s="43">
        <f t="shared" si="421"/>
        <v>0</v>
      </c>
      <c r="GF35" s="43">
        <f t="shared" si="422"/>
        <v>0</v>
      </c>
      <c r="GG35" s="43">
        <f t="shared" si="423"/>
        <v>0</v>
      </c>
      <c r="GH35" s="43">
        <f t="shared" si="424"/>
        <v>0</v>
      </c>
      <c r="GI35" s="43">
        <f t="shared" si="425"/>
        <v>0</v>
      </c>
      <c r="GJ35" s="43">
        <f t="shared" si="426"/>
        <v>0</v>
      </c>
      <c r="GK35" s="43">
        <f t="shared" si="427"/>
        <v>0</v>
      </c>
      <c r="GL35" s="43">
        <f t="shared" si="428"/>
        <v>0</v>
      </c>
      <c r="GM35" s="43">
        <f t="shared" si="429"/>
        <v>0</v>
      </c>
      <c r="GN35" s="43">
        <f t="shared" si="430"/>
        <v>0</v>
      </c>
      <c r="GO35" s="767"/>
      <c r="GP35" s="43">
        <f t="shared" si="431"/>
        <v>0</v>
      </c>
      <c r="GQ35" s="43">
        <f t="shared" si="432"/>
        <v>0</v>
      </c>
      <c r="GR35" s="43">
        <f t="shared" si="433"/>
        <v>0</v>
      </c>
      <c r="GS35" s="43">
        <f t="shared" si="434"/>
        <v>0</v>
      </c>
      <c r="GT35" s="43">
        <f t="shared" si="435"/>
        <v>0</v>
      </c>
      <c r="GU35" s="43">
        <f t="shared" si="436"/>
        <v>0</v>
      </c>
      <c r="GV35" s="43">
        <f t="shared" si="437"/>
        <v>0</v>
      </c>
      <c r="GW35" s="43">
        <f t="shared" si="438"/>
        <v>0</v>
      </c>
      <c r="GX35" s="43">
        <f t="shared" si="439"/>
        <v>0</v>
      </c>
      <c r="GY35" s="43">
        <f t="shared" si="440"/>
        <v>0</v>
      </c>
      <c r="GZ35" s="43">
        <f t="shared" si="441"/>
        <v>0</v>
      </c>
      <c r="HA35" s="43">
        <f t="shared" si="442"/>
        <v>0</v>
      </c>
      <c r="HB35" s="43">
        <f t="shared" si="443"/>
        <v>0</v>
      </c>
      <c r="HC35" s="43">
        <f t="shared" si="444"/>
        <v>0</v>
      </c>
      <c r="HD35" s="43">
        <f t="shared" si="445"/>
        <v>0</v>
      </c>
      <c r="HE35" s="767"/>
      <c r="HF35" s="43">
        <f t="shared" si="446"/>
        <v>0</v>
      </c>
      <c r="HG35" s="43">
        <f t="shared" si="447"/>
        <v>0</v>
      </c>
      <c r="HH35" s="43">
        <f t="shared" si="448"/>
        <v>0</v>
      </c>
      <c r="HI35" s="43">
        <f t="shared" si="449"/>
        <v>0</v>
      </c>
      <c r="HJ35" s="43">
        <f t="shared" si="450"/>
        <v>0</v>
      </c>
      <c r="HK35" s="43">
        <f t="shared" si="451"/>
        <v>0</v>
      </c>
      <c r="HL35" s="43">
        <f t="shared" si="452"/>
        <v>0</v>
      </c>
      <c r="HM35" s="43">
        <f t="shared" si="453"/>
        <v>0</v>
      </c>
      <c r="HN35" s="43">
        <f t="shared" si="454"/>
        <v>0</v>
      </c>
      <c r="HO35" s="43">
        <f t="shared" si="455"/>
        <v>0</v>
      </c>
      <c r="HP35" s="43">
        <f t="shared" si="456"/>
        <v>0</v>
      </c>
      <c r="HQ35" s="43">
        <f t="shared" si="457"/>
        <v>0</v>
      </c>
      <c r="HR35" s="43">
        <f t="shared" si="458"/>
        <v>0</v>
      </c>
      <c r="HS35" s="43">
        <f t="shared" si="459"/>
        <v>0</v>
      </c>
      <c r="HT35" s="43">
        <f t="shared" si="460"/>
        <v>0</v>
      </c>
      <c r="HU35" s="767"/>
      <c r="HV35" s="43">
        <f t="shared" si="461"/>
        <v>0</v>
      </c>
      <c r="HW35" s="43">
        <f t="shared" si="462"/>
        <v>0</v>
      </c>
      <c r="HX35" s="43">
        <f t="shared" si="463"/>
        <v>0</v>
      </c>
      <c r="HY35" s="43">
        <f t="shared" si="464"/>
        <v>0</v>
      </c>
      <c r="HZ35" s="43">
        <f t="shared" si="465"/>
        <v>0</v>
      </c>
      <c r="IA35" s="43">
        <f t="shared" si="466"/>
        <v>0</v>
      </c>
      <c r="IB35" s="43">
        <f t="shared" si="467"/>
        <v>0</v>
      </c>
      <c r="IC35" s="43">
        <f t="shared" si="468"/>
        <v>0</v>
      </c>
      <c r="ID35" s="43">
        <f t="shared" si="469"/>
        <v>0</v>
      </c>
      <c r="IE35" s="43">
        <f t="shared" si="470"/>
        <v>0</v>
      </c>
      <c r="IF35" s="43">
        <f t="shared" si="471"/>
        <v>0</v>
      </c>
      <c r="IG35" s="43">
        <f t="shared" si="472"/>
        <v>0</v>
      </c>
      <c r="IH35" s="43">
        <f t="shared" si="473"/>
        <v>0</v>
      </c>
      <c r="II35" s="43">
        <f t="shared" si="474"/>
        <v>0</v>
      </c>
      <c r="IJ35" s="786">
        <f t="shared" si="475"/>
        <v>0</v>
      </c>
      <c r="IK35" s="794"/>
    </row>
    <row r="36" spans="1:245">
      <c r="A36" s="642">
        <f t="shared" si="476"/>
        <v>6</v>
      </c>
      <c r="B36" s="762" t="str">
        <f t="shared" si="264"/>
        <v>Service Desk</v>
      </c>
      <c r="C36" s="775"/>
      <c r="D36" s="769"/>
      <c r="E36" s="52" t="str">
        <f t="shared" si="265"/>
        <v>Service DeskContr_Sub</v>
      </c>
      <c r="F36" s="793"/>
      <c r="G36" s="43"/>
      <c r="H36" s="43"/>
      <c r="I36" s="43"/>
      <c r="J36" s="43"/>
      <c r="K36" s="43"/>
      <c r="L36" s="43"/>
      <c r="M36" s="43"/>
      <c r="N36" s="43"/>
      <c r="O36" s="43"/>
      <c r="P36" s="43"/>
      <c r="Q36" s="43"/>
      <c r="R36" s="43"/>
      <c r="S36" s="43"/>
      <c r="T36" s="43"/>
      <c r="U36" s="767"/>
      <c r="V36" s="43">
        <f t="shared" si="266"/>
        <v>0</v>
      </c>
      <c r="W36" s="43">
        <f t="shared" si="267"/>
        <v>0</v>
      </c>
      <c r="X36" s="43">
        <f t="shared" si="268"/>
        <v>0</v>
      </c>
      <c r="Y36" s="43">
        <f t="shared" si="269"/>
        <v>0</v>
      </c>
      <c r="Z36" s="43">
        <f t="shared" si="270"/>
        <v>0</v>
      </c>
      <c r="AA36" s="43">
        <f t="shared" si="271"/>
        <v>0</v>
      </c>
      <c r="AB36" s="43">
        <f t="shared" si="272"/>
        <v>0</v>
      </c>
      <c r="AC36" s="43">
        <f t="shared" si="273"/>
        <v>0</v>
      </c>
      <c r="AD36" s="43">
        <f t="shared" si="274"/>
        <v>0</v>
      </c>
      <c r="AE36" s="43">
        <f t="shared" si="275"/>
        <v>0</v>
      </c>
      <c r="AF36" s="43">
        <f t="shared" si="276"/>
        <v>0</v>
      </c>
      <c r="AG36" s="43">
        <f t="shared" si="277"/>
        <v>0</v>
      </c>
      <c r="AH36" s="43">
        <f t="shared" si="278"/>
        <v>0</v>
      </c>
      <c r="AI36" s="43">
        <f t="shared" si="279"/>
        <v>0</v>
      </c>
      <c r="AJ36" s="43">
        <f t="shared" si="280"/>
        <v>0</v>
      </c>
      <c r="AK36" s="767"/>
      <c r="AL36" s="43">
        <f t="shared" si="281"/>
        <v>0</v>
      </c>
      <c r="AM36" s="43">
        <f t="shared" si="282"/>
        <v>0</v>
      </c>
      <c r="AN36" s="43">
        <f t="shared" si="283"/>
        <v>0</v>
      </c>
      <c r="AO36" s="43">
        <f t="shared" si="284"/>
        <v>0</v>
      </c>
      <c r="AP36" s="43">
        <f t="shared" si="285"/>
        <v>0</v>
      </c>
      <c r="AQ36" s="43">
        <f t="shared" si="286"/>
        <v>0</v>
      </c>
      <c r="AR36" s="43">
        <f t="shared" si="287"/>
        <v>0</v>
      </c>
      <c r="AS36" s="43">
        <f t="shared" si="288"/>
        <v>0</v>
      </c>
      <c r="AT36" s="43">
        <f t="shared" si="289"/>
        <v>0</v>
      </c>
      <c r="AU36" s="43">
        <f t="shared" si="290"/>
        <v>0</v>
      </c>
      <c r="AV36" s="43">
        <f t="shared" si="291"/>
        <v>0</v>
      </c>
      <c r="AW36" s="43">
        <f t="shared" si="292"/>
        <v>0</v>
      </c>
      <c r="AX36" s="43">
        <f t="shared" si="293"/>
        <v>0</v>
      </c>
      <c r="AY36" s="43">
        <f t="shared" si="294"/>
        <v>0</v>
      </c>
      <c r="AZ36" s="43">
        <f t="shared" si="295"/>
        <v>0</v>
      </c>
      <c r="BA36" s="767"/>
      <c r="BB36" s="43">
        <f t="shared" si="296"/>
        <v>0</v>
      </c>
      <c r="BC36" s="43">
        <f t="shared" si="297"/>
        <v>0</v>
      </c>
      <c r="BD36" s="43">
        <f t="shared" si="298"/>
        <v>0</v>
      </c>
      <c r="BE36" s="43">
        <f t="shared" si="299"/>
        <v>0</v>
      </c>
      <c r="BF36" s="43">
        <f t="shared" si="300"/>
        <v>0</v>
      </c>
      <c r="BG36" s="43">
        <f t="shared" si="301"/>
        <v>0</v>
      </c>
      <c r="BH36" s="43">
        <f t="shared" si="302"/>
        <v>0</v>
      </c>
      <c r="BI36" s="43">
        <f t="shared" si="303"/>
        <v>0</v>
      </c>
      <c r="BJ36" s="43">
        <f t="shared" si="304"/>
        <v>0</v>
      </c>
      <c r="BK36" s="43">
        <f t="shared" si="305"/>
        <v>0</v>
      </c>
      <c r="BL36" s="43">
        <f t="shared" si="306"/>
        <v>0</v>
      </c>
      <c r="BM36" s="43">
        <f t="shared" si="307"/>
        <v>0</v>
      </c>
      <c r="BN36" s="43">
        <f t="shared" si="308"/>
        <v>0</v>
      </c>
      <c r="BO36" s="43">
        <f t="shared" si="309"/>
        <v>0</v>
      </c>
      <c r="BP36" s="43">
        <f t="shared" si="310"/>
        <v>0</v>
      </c>
      <c r="BQ36" s="767"/>
      <c r="BR36" s="43">
        <f t="shared" si="311"/>
        <v>0</v>
      </c>
      <c r="BS36" s="43">
        <f t="shared" si="312"/>
        <v>0</v>
      </c>
      <c r="BT36" s="43">
        <f t="shared" si="313"/>
        <v>0</v>
      </c>
      <c r="BU36" s="43">
        <f t="shared" si="314"/>
        <v>0</v>
      </c>
      <c r="BV36" s="43">
        <f t="shared" si="315"/>
        <v>0</v>
      </c>
      <c r="BW36" s="43">
        <f t="shared" si="316"/>
        <v>0</v>
      </c>
      <c r="BX36" s="43">
        <f t="shared" si="317"/>
        <v>0</v>
      </c>
      <c r="BY36" s="43">
        <f t="shared" si="318"/>
        <v>0</v>
      </c>
      <c r="BZ36" s="43">
        <f t="shared" si="319"/>
        <v>0</v>
      </c>
      <c r="CA36" s="43">
        <f t="shared" si="320"/>
        <v>0</v>
      </c>
      <c r="CB36" s="43">
        <f t="shared" si="321"/>
        <v>0</v>
      </c>
      <c r="CC36" s="43">
        <f t="shared" si="322"/>
        <v>0</v>
      </c>
      <c r="CD36" s="43">
        <f t="shared" si="323"/>
        <v>0</v>
      </c>
      <c r="CE36" s="43">
        <f t="shared" si="324"/>
        <v>0</v>
      </c>
      <c r="CF36" s="43">
        <f t="shared" si="325"/>
        <v>0</v>
      </c>
      <c r="CG36" s="767"/>
      <c r="CH36" s="43">
        <f t="shared" si="326"/>
        <v>0</v>
      </c>
      <c r="CI36" s="43">
        <f t="shared" si="327"/>
        <v>0</v>
      </c>
      <c r="CJ36" s="43">
        <f t="shared" si="328"/>
        <v>0</v>
      </c>
      <c r="CK36" s="43">
        <f t="shared" si="329"/>
        <v>0</v>
      </c>
      <c r="CL36" s="43">
        <f t="shared" si="330"/>
        <v>0</v>
      </c>
      <c r="CM36" s="43">
        <f t="shared" si="331"/>
        <v>0</v>
      </c>
      <c r="CN36" s="43">
        <f t="shared" si="332"/>
        <v>0</v>
      </c>
      <c r="CO36" s="43">
        <f t="shared" si="333"/>
        <v>0</v>
      </c>
      <c r="CP36" s="43">
        <f t="shared" si="334"/>
        <v>0</v>
      </c>
      <c r="CQ36" s="43">
        <f t="shared" si="335"/>
        <v>0</v>
      </c>
      <c r="CR36" s="43">
        <f t="shared" si="336"/>
        <v>0</v>
      </c>
      <c r="CS36" s="43">
        <f t="shared" si="337"/>
        <v>0</v>
      </c>
      <c r="CT36" s="43">
        <f t="shared" si="338"/>
        <v>0</v>
      </c>
      <c r="CU36" s="43">
        <f t="shared" si="339"/>
        <v>0</v>
      </c>
      <c r="CV36" s="43">
        <f t="shared" si="340"/>
        <v>0</v>
      </c>
      <c r="CW36" s="767"/>
      <c r="CX36" s="43">
        <f t="shared" si="341"/>
        <v>0</v>
      </c>
      <c r="CY36" s="43">
        <f t="shared" si="342"/>
        <v>0</v>
      </c>
      <c r="CZ36" s="43">
        <f t="shared" si="343"/>
        <v>0</v>
      </c>
      <c r="DA36" s="43">
        <f t="shared" si="344"/>
        <v>0</v>
      </c>
      <c r="DB36" s="43">
        <f t="shared" si="345"/>
        <v>0</v>
      </c>
      <c r="DC36" s="43">
        <f t="shared" si="346"/>
        <v>0</v>
      </c>
      <c r="DD36" s="43">
        <f t="shared" si="347"/>
        <v>0</v>
      </c>
      <c r="DE36" s="43">
        <f t="shared" si="348"/>
        <v>0</v>
      </c>
      <c r="DF36" s="43">
        <f t="shared" si="349"/>
        <v>0</v>
      </c>
      <c r="DG36" s="43">
        <f t="shared" si="350"/>
        <v>0</v>
      </c>
      <c r="DH36" s="43">
        <f t="shared" si="351"/>
        <v>0</v>
      </c>
      <c r="DI36" s="43">
        <f t="shared" si="352"/>
        <v>0</v>
      </c>
      <c r="DJ36" s="43">
        <f t="shared" si="353"/>
        <v>0</v>
      </c>
      <c r="DK36" s="43">
        <f t="shared" si="354"/>
        <v>0</v>
      </c>
      <c r="DL36" s="43">
        <f t="shared" si="355"/>
        <v>0</v>
      </c>
      <c r="DM36" s="767"/>
      <c r="DN36" s="43">
        <f t="shared" si="356"/>
        <v>0</v>
      </c>
      <c r="DO36" s="43">
        <f t="shared" si="357"/>
        <v>0</v>
      </c>
      <c r="DP36" s="43">
        <f t="shared" si="358"/>
        <v>0</v>
      </c>
      <c r="DQ36" s="43">
        <f t="shared" si="359"/>
        <v>0</v>
      </c>
      <c r="DR36" s="43">
        <f t="shared" si="360"/>
        <v>0</v>
      </c>
      <c r="DS36" s="43">
        <f t="shared" si="361"/>
        <v>0</v>
      </c>
      <c r="DT36" s="43">
        <f t="shared" si="362"/>
        <v>0</v>
      </c>
      <c r="DU36" s="43">
        <f t="shared" si="363"/>
        <v>0</v>
      </c>
      <c r="DV36" s="43">
        <f t="shared" si="364"/>
        <v>0</v>
      </c>
      <c r="DW36" s="43">
        <f t="shared" si="365"/>
        <v>0</v>
      </c>
      <c r="DX36" s="43">
        <f t="shared" si="366"/>
        <v>0</v>
      </c>
      <c r="DY36" s="43">
        <f t="shared" si="367"/>
        <v>0</v>
      </c>
      <c r="DZ36" s="43">
        <f t="shared" si="368"/>
        <v>0</v>
      </c>
      <c r="EA36" s="43">
        <f t="shared" si="369"/>
        <v>0</v>
      </c>
      <c r="EB36" s="43">
        <f t="shared" si="370"/>
        <v>0</v>
      </c>
      <c r="EC36" s="767"/>
      <c r="ED36" s="43">
        <f t="shared" si="371"/>
        <v>0</v>
      </c>
      <c r="EE36" s="43">
        <f t="shared" si="372"/>
        <v>0</v>
      </c>
      <c r="EF36" s="43">
        <f t="shared" si="373"/>
        <v>0</v>
      </c>
      <c r="EG36" s="43">
        <f t="shared" si="374"/>
        <v>0</v>
      </c>
      <c r="EH36" s="43">
        <f t="shared" si="375"/>
        <v>0</v>
      </c>
      <c r="EI36" s="43">
        <f t="shared" si="376"/>
        <v>0</v>
      </c>
      <c r="EJ36" s="43">
        <f t="shared" si="377"/>
        <v>0</v>
      </c>
      <c r="EK36" s="43">
        <f t="shared" si="378"/>
        <v>0</v>
      </c>
      <c r="EL36" s="43">
        <f t="shared" si="379"/>
        <v>0</v>
      </c>
      <c r="EM36" s="43">
        <f t="shared" si="380"/>
        <v>0</v>
      </c>
      <c r="EN36" s="43">
        <f t="shared" si="381"/>
        <v>0</v>
      </c>
      <c r="EO36" s="43">
        <f t="shared" si="382"/>
        <v>0</v>
      </c>
      <c r="EP36" s="43">
        <f t="shared" si="383"/>
        <v>0</v>
      </c>
      <c r="EQ36" s="43">
        <f t="shared" si="384"/>
        <v>0</v>
      </c>
      <c r="ER36" s="43">
        <f t="shared" si="385"/>
        <v>0</v>
      </c>
      <c r="ES36" s="767"/>
      <c r="ET36" s="43">
        <f t="shared" si="386"/>
        <v>0</v>
      </c>
      <c r="EU36" s="43">
        <f t="shared" si="387"/>
        <v>0</v>
      </c>
      <c r="EV36" s="43">
        <f t="shared" si="388"/>
        <v>0</v>
      </c>
      <c r="EW36" s="43">
        <f t="shared" si="389"/>
        <v>0</v>
      </c>
      <c r="EX36" s="43">
        <f t="shared" si="390"/>
        <v>0</v>
      </c>
      <c r="EY36" s="43">
        <f t="shared" si="391"/>
        <v>0</v>
      </c>
      <c r="EZ36" s="43">
        <f t="shared" si="392"/>
        <v>0</v>
      </c>
      <c r="FA36" s="43">
        <f t="shared" si="393"/>
        <v>0</v>
      </c>
      <c r="FB36" s="43">
        <f t="shared" si="394"/>
        <v>0</v>
      </c>
      <c r="FC36" s="43">
        <f t="shared" si="395"/>
        <v>0</v>
      </c>
      <c r="FD36" s="43">
        <f t="shared" si="396"/>
        <v>0</v>
      </c>
      <c r="FE36" s="43">
        <f t="shared" si="397"/>
        <v>0</v>
      </c>
      <c r="FF36" s="43">
        <f t="shared" si="398"/>
        <v>0</v>
      </c>
      <c r="FG36" s="43">
        <f t="shared" si="399"/>
        <v>0</v>
      </c>
      <c r="FH36" s="43">
        <f t="shared" si="400"/>
        <v>0</v>
      </c>
      <c r="FI36" s="767"/>
      <c r="FJ36" s="43">
        <f t="shared" si="401"/>
        <v>0</v>
      </c>
      <c r="FK36" s="43">
        <f t="shared" si="402"/>
        <v>0</v>
      </c>
      <c r="FL36" s="43">
        <f t="shared" si="403"/>
        <v>0</v>
      </c>
      <c r="FM36" s="43">
        <f t="shared" si="404"/>
        <v>0</v>
      </c>
      <c r="FN36" s="43">
        <f t="shared" si="405"/>
        <v>0</v>
      </c>
      <c r="FO36" s="43">
        <f t="shared" si="406"/>
        <v>0</v>
      </c>
      <c r="FP36" s="43">
        <f t="shared" si="407"/>
        <v>0</v>
      </c>
      <c r="FQ36" s="43">
        <f t="shared" si="408"/>
        <v>0</v>
      </c>
      <c r="FR36" s="43">
        <f t="shared" si="409"/>
        <v>0</v>
      </c>
      <c r="FS36" s="43">
        <f t="shared" si="410"/>
        <v>0</v>
      </c>
      <c r="FT36" s="43">
        <f t="shared" si="411"/>
        <v>0</v>
      </c>
      <c r="FU36" s="43">
        <f t="shared" si="412"/>
        <v>0</v>
      </c>
      <c r="FV36" s="43">
        <f t="shared" si="413"/>
        <v>0</v>
      </c>
      <c r="FW36" s="43">
        <f t="shared" si="414"/>
        <v>0</v>
      </c>
      <c r="FX36" s="43">
        <f t="shared" si="415"/>
        <v>0</v>
      </c>
      <c r="FY36" s="767"/>
      <c r="FZ36" s="43">
        <f t="shared" si="416"/>
        <v>0</v>
      </c>
      <c r="GA36" s="43">
        <f t="shared" si="417"/>
        <v>0</v>
      </c>
      <c r="GB36" s="43">
        <f t="shared" si="418"/>
        <v>0</v>
      </c>
      <c r="GC36" s="43">
        <f t="shared" si="419"/>
        <v>0</v>
      </c>
      <c r="GD36" s="43">
        <f t="shared" si="420"/>
        <v>0</v>
      </c>
      <c r="GE36" s="43">
        <f t="shared" si="421"/>
        <v>0</v>
      </c>
      <c r="GF36" s="43">
        <f t="shared" si="422"/>
        <v>0</v>
      </c>
      <c r="GG36" s="43">
        <f t="shared" si="423"/>
        <v>0</v>
      </c>
      <c r="GH36" s="43">
        <f t="shared" si="424"/>
        <v>0</v>
      </c>
      <c r="GI36" s="43">
        <f t="shared" si="425"/>
        <v>0</v>
      </c>
      <c r="GJ36" s="43">
        <f t="shared" si="426"/>
        <v>0</v>
      </c>
      <c r="GK36" s="43">
        <f t="shared" si="427"/>
        <v>0</v>
      </c>
      <c r="GL36" s="43">
        <f t="shared" si="428"/>
        <v>0</v>
      </c>
      <c r="GM36" s="43">
        <f t="shared" si="429"/>
        <v>0</v>
      </c>
      <c r="GN36" s="43">
        <f t="shared" si="430"/>
        <v>0</v>
      </c>
      <c r="GO36" s="767"/>
      <c r="GP36" s="43">
        <f t="shared" si="431"/>
        <v>0</v>
      </c>
      <c r="GQ36" s="43">
        <f t="shared" si="432"/>
        <v>0</v>
      </c>
      <c r="GR36" s="43">
        <f t="shared" si="433"/>
        <v>0</v>
      </c>
      <c r="GS36" s="43">
        <f t="shared" si="434"/>
        <v>0</v>
      </c>
      <c r="GT36" s="43">
        <f t="shared" si="435"/>
        <v>0</v>
      </c>
      <c r="GU36" s="43">
        <f t="shared" si="436"/>
        <v>0</v>
      </c>
      <c r="GV36" s="43">
        <f t="shared" si="437"/>
        <v>0</v>
      </c>
      <c r="GW36" s="43">
        <f t="shared" si="438"/>
        <v>0</v>
      </c>
      <c r="GX36" s="43">
        <f t="shared" si="439"/>
        <v>0</v>
      </c>
      <c r="GY36" s="43">
        <f t="shared" si="440"/>
        <v>0</v>
      </c>
      <c r="GZ36" s="43">
        <f t="shared" si="441"/>
        <v>0</v>
      </c>
      <c r="HA36" s="43">
        <f t="shared" si="442"/>
        <v>0</v>
      </c>
      <c r="HB36" s="43">
        <f t="shared" si="443"/>
        <v>0</v>
      </c>
      <c r="HC36" s="43">
        <f t="shared" si="444"/>
        <v>0</v>
      </c>
      <c r="HD36" s="43">
        <f t="shared" si="445"/>
        <v>0</v>
      </c>
      <c r="HE36" s="767"/>
      <c r="HF36" s="43">
        <f t="shared" si="446"/>
        <v>0</v>
      </c>
      <c r="HG36" s="43">
        <f t="shared" si="447"/>
        <v>0</v>
      </c>
      <c r="HH36" s="43">
        <f t="shared" si="448"/>
        <v>0</v>
      </c>
      <c r="HI36" s="43">
        <f t="shared" si="449"/>
        <v>0</v>
      </c>
      <c r="HJ36" s="43">
        <f t="shared" si="450"/>
        <v>0</v>
      </c>
      <c r="HK36" s="43">
        <f t="shared" si="451"/>
        <v>0</v>
      </c>
      <c r="HL36" s="43">
        <f t="shared" si="452"/>
        <v>0</v>
      </c>
      <c r="HM36" s="43">
        <f t="shared" si="453"/>
        <v>0</v>
      </c>
      <c r="HN36" s="43">
        <f t="shared" si="454"/>
        <v>0</v>
      </c>
      <c r="HO36" s="43">
        <f t="shared" si="455"/>
        <v>0</v>
      </c>
      <c r="HP36" s="43">
        <f t="shared" si="456"/>
        <v>0</v>
      </c>
      <c r="HQ36" s="43">
        <f t="shared" si="457"/>
        <v>0</v>
      </c>
      <c r="HR36" s="43">
        <f t="shared" si="458"/>
        <v>0</v>
      </c>
      <c r="HS36" s="43">
        <f t="shared" si="459"/>
        <v>0</v>
      </c>
      <c r="HT36" s="43">
        <f t="shared" si="460"/>
        <v>0</v>
      </c>
      <c r="HU36" s="767"/>
      <c r="HV36" s="43">
        <f t="shared" si="461"/>
        <v>0</v>
      </c>
      <c r="HW36" s="43">
        <f t="shared" si="462"/>
        <v>0</v>
      </c>
      <c r="HX36" s="43">
        <f t="shared" si="463"/>
        <v>0</v>
      </c>
      <c r="HY36" s="43">
        <f t="shared" si="464"/>
        <v>0</v>
      </c>
      <c r="HZ36" s="43">
        <f t="shared" si="465"/>
        <v>0</v>
      </c>
      <c r="IA36" s="43">
        <f t="shared" si="466"/>
        <v>0</v>
      </c>
      <c r="IB36" s="43">
        <f t="shared" si="467"/>
        <v>0</v>
      </c>
      <c r="IC36" s="43">
        <f t="shared" si="468"/>
        <v>0</v>
      </c>
      <c r="ID36" s="43">
        <f t="shared" si="469"/>
        <v>0</v>
      </c>
      <c r="IE36" s="43">
        <f t="shared" si="470"/>
        <v>0</v>
      </c>
      <c r="IF36" s="43">
        <f t="shared" si="471"/>
        <v>0</v>
      </c>
      <c r="IG36" s="43">
        <f t="shared" si="472"/>
        <v>0</v>
      </c>
      <c r="IH36" s="43">
        <f t="shared" si="473"/>
        <v>0</v>
      </c>
      <c r="II36" s="43">
        <f t="shared" si="474"/>
        <v>0</v>
      </c>
      <c r="IJ36" s="786">
        <f t="shared" si="475"/>
        <v>0</v>
      </c>
      <c r="IK36" s="794"/>
    </row>
    <row r="37" spans="1:245">
      <c r="A37" s="642">
        <f t="shared" si="476"/>
        <v>7</v>
      </c>
      <c r="B37" s="762" t="str">
        <f t="shared" si="264"/>
        <v>CIS Training Supervisor</v>
      </c>
      <c r="C37" s="775"/>
      <c r="D37" s="769"/>
      <c r="E37" s="52" t="str">
        <f t="shared" si="265"/>
        <v>CIS Training SupervisorContr_Sub</v>
      </c>
      <c r="F37" s="793"/>
      <c r="G37" s="43"/>
      <c r="H37" s="43"/>
      <c r="I37" s="43"/>
      <c r="J37" s="43"/>
      <c r="K37" s="43"/>
      <c r="L37" s="43"/>
      <c r="M37" s="43"/>
      <c r="N37" s="43"/>
      <c r="O37" s="43"/>
      <c r="P37" s="43"/>
      <c r="Q37" s="43"/>
      <c r="R37" s="43"/>
      <c r="S37" s="43"/>
      <c r="T37" s="43"/>
      <c r="U37" s="767"/>
      <c r="V37" s="43">
        <f t="shared" si="266"/>
        <v>0</v>
      </c>
      <c r="W37" s="43">
        <f t="shared" si="267"/>
        <v>0</v>
      </c>
      <c r="X37" s="43">
        <f t="shared" si="268"/>
        <v>0</v>
      </c>
      <c r="Y37" s="43">
        <f t="shared" si="269"/>
        <v>0</v>
      </c>
      <c r="Z37" s="43">
        <f t="shared" si="270"/>
        <v>0</v>
      </c>
      <c r="AA37" s="43">
        <f t="shared" si="271"/>
        <v>0</v>
      </c>
      <c r="AB37" s="43">
        <f t="shared" si="272"/>
        <v>0</v>
      </c>
      <c r="AC37" s="43">
        <f t="shared" si="273"/>
        <v>0</v>
      </c>
      <c r="AD37" s="43">
        <f t="shared" si="274"/>
        <v>0</v>
      </c>
      <c r="AE37" s="43">
        <f t="shared" si="275"/>
        <v>0</v>
      </c>
      <c r="AF37" s="43">
        <f t="shared" si="276"/>
        <v>0</v>
      </c>
      <c r="AG37" s="43">
        <f t="shared" si="277"/>
        <v>0</v>
      </c>
      <c r="AH37" s="43">
        <f t="shared" si="278"/>
        <v>0</v>
      </c>
      <c r="AI37" s="43">
        <f t="shared" si="279"/>
        <v>0</v>
      </c>
      <c r="AJ37" s="43">
        <f t="shared" si="280"/>
        <v>0</v>
      </c>
      <c r="AK37" s="767"/>
      <c r="AL37" s="43">
        <f t="shared" si="281"/>
        <v>0</v>
      </c>
      <c r="AM37" s="43">
        <f t="shared" si="282"/>
        <v>0</v>
      </c>
      <c r="AN37" s="43">
        <f t="shared" si="283"/>
        <v>0</v>
      </c>
      <c r="AO37" s="43">
        <f t="shared" si="284"/>
        <v>0</v>
      </c>
      <c r="AP37" s="43">
        <f t="shared" si="285"/>
        <v>0</v>
      </c>
      <c r="AQ37" s="43">
        <f t="shared" si="286"/>
        <v>0</v>
      </c>
      <c r="AR37" s="43">
        <f t="shared" si="287"/>
        <v>0</v>
      </c>
      <c r="AS37" s="43">
        <f t="shared" si="288"/>
        <v>0</v>
      </c>
      <c r="AT37" s="43">
        <f t="shared" si="289"/>
        <v>0</v>
      </c>
      <c r="AU37" s="43">
        <f t="shared" si="290"/>
        <v>0</v>
      </c>
      <c r="AV37" s="43">
        <f t="shared" si="291"/>
        <v>0</v>
      </c>
      <c r="AW37" s="43">
        <f t="shared" si="292"/>
        <v>0</v>
      </c>
      <c r="AX37" s="43">
        <f t="shared" si="293"/>
        <v>0</v>
      </c>
      <c r="AY37" s="43">
        <f t="shared" si="294"/>
        <v>0</v>
      </c>
      <c r="AZ37" s="43">
        <f t="shared" si="295"/>
        <v>0</v>
      </c>
      <c r="BA37" s="767"/>
      <c r="BB37" s="43">
        <f t="shared" si="296"/>
        <v>0</v>
      </c>
      <c r="BC37" s="43">
        <f t="shared" si="297"/>
        <v>0</v>
      </c>
      <c r="BD37" s="43">
        <f t="shared" si="298"/>
        <v>0</v>
      </c>
      <c r="BE37" s="43">
        <f t="shared" si="299"/>
        <v>0</v>
      </c>
      <c r="BF37" s="43">
        <f t="shared" si="300"/>
        <v>0</v>
      </c>
      <c r="BG37" s="43">
        <f t="shared" si="301"/>
        <v>0</v>
      </c>
      <c r="BH37" s="43">
        <f t="shared" si="302"/>
        <v>0</v>
      </c>
      <c r="BI37" s="43">
        <f t="shared" si="303"/>
        <v>0</v>
      </c>
      <c r="BJ37" s="43">
        <f t="shared" si="304"/>
        <v>0</v>
      </c>
      <c r="BK37" s="43">
        <f t="shared" si="305"/>
        <v>0</v>
      </c>
      <c r="BL37" s="43">
        <f t="shared" si="306"/>
        <v>0</v>
      </c>
      <c r="BM37" s="43">
        <f t="shared" si="307"/>
        <v>0</v>
      </c>
      <c r="BN37" s="43">
        <f t="shared" si="308"/>
        <v>0</v>
      </c>
      <c r="BO37" s="43">
        <f t="shared" si="309"/>
        <v>0</v>
      </c>
      <c r="BP37" s="43">
        <f t="shared" si="310"/>
        <v>0</v>
      </c>
      <c r="BQ37" s="767"/>
      <c r="BR37" s="43">
        <f t="shared" si="311"/>
        <v>0</v>
      </c>
      <c r="BS37" s="43">
        <f t="shared" si="312"/>
        <v>0</v>
      </c>
      <c r="BT37" s="43">
        <f t="shared" si="313"/>
        <v>0</v>
      </c>
      <c r="BU37" s="43">
        <f t="shared" si="314"/>
        <v>0</v>
      </c>
      <c r="BV37" s="43">
        <f t="shared" si="315"/>
        <v>0</v>
      </c>
      <c r="BW37" s="43">
        <f t="shared" si="316"/>
        <v>0</v>
      </c>
      <c r="BX37" s="43">
        <f t="shared" si="317"/>
        <v>0</v>
      </c>
      <c r="BY37" s="43">
        <f t="shared" si="318"/>
        <v>0</v>
      </c>
      <c r="BZ37" s="43">
        <f t="shared" si="319"/>
        <v>0</v>
      </c>
      <c r="CA37" s="43">
        <f t="shared" si="320"/>
        <v>0</v>
      </c>
      <c r="CB37" s="43">
        <f t="shared" si="321"/>
        <v>0</v>
      </c>
      <c r="CC37" s="43">
        <f t="shared" si="322"/>
        <v>0</v>
      </c>
      <c r="CD37" s="43">
        <f t="shared" si="323"/>
        <v>0</v>
      </c>
      <c r="CE37" s="43">
        <f t="shared" si="324"/>
        <v>0</v>
      </c>
      <c r="CF37" s="43">
        <f t="shared" si="325"/>
        <v>0</v>
      </c>
      <c r="CG37" s="767"/>
      <c r="CH37" s="43">
        <f t="shared" si="326"/>
        <v>0</v>
      </c>
      <c r="CI37" s="43">
        <f t="shared" si="327"/>
        <v>0</v>
      </c>
      <c r="CJ37" s="43">
        <f t="shared" si="328"/>
        <v>0</v>
      </c>
      <c r="CK37" s="43">
        <f t="shared" si="329"/>
        <v>0</v>
      </c>
      <c r="CL37" s="43">
        <f t="shared" si="330"/>
        <v>0</v>
      </c>
      <c r="CM37" s="43">
        <f t="shared" si="331"/>
        <v>0</v>
      </c>
      <c r="CN37" s="43">
        <f t="shared" si="332"/>
        <v>0</v>
      </c>
      <c r="CO37" s="43">
        <f t="shared" si="333"/>
        <v>0</v>
      </c>
      <c r="CP37" s="43">
        <f t="shared" si="334"/>
        <v>0</v>
      </c>
      <c r="CQ37" s="43">
        <f t="shared" si="335"/>
        <v>0</v>
      </c>
      <c r="CR37" s="43">
        <f t="shared" si="336"/>
        <v>0</v>
      </c>
      <c r="CS37" s="43">
        <f t="shared" si="337"/>
        <v>0</v>
      </c>
      <c r="CT37" s="43">
        <f t="shared" si="338"/>
        <v>0</v>
      </c>
      <c r="CU37" s="43">
        <f t="shared" si="339"/>
        <v>0</v>
      </c>
      <c r="CV37" s="43">
        <f t="shared" si="340"/>
        <v>0</v>
      </c>
      <c r="CW37" s="767"/>
      <c r="CX37" s="43">
        <f t="shared" si="341"/>
        <v>0</v>
      </c>
      <c r="CY37" s="43">
        <f t="shared" si="342"/>
        <v>0</v>
      </c>
      <c r="CZ37" s="43">
        <f t="shared" si="343"/>
        <v>0</v>
      </c>
      <c r="DA37" s="43">
        <f t="shared" si="344"/>
        <v>0</v>
      </c>
      <c r="DB37" s="43">
        <f t="shared" si="345"/>
        <v>0</v>
      </c>
      <c r="DC37" s="43">
        <f t="shared" si="346"/>
        <v>0</v>
      </c>
      <c r="DD37" s="43">
        <f t="shared" si="347"/>
        <v>0</v>
      </c>
      <c r="DE37" s="43">
        <f t="shared" si="348"/>
        <v>0</v>
      </c>
      <c r="DF37" s="43">
        <f t="shared" si="349"/>
        <v>0</v>
      </c>
      <c r="DG37" s="43">
        <f t="shared" si="350"/>
        <v>0</v>
      </c>
      <c r="DH37" s="43">
        <f t="shared" si="351"/>
        <v>0</v>
      </c>
      <c r="DI37" s="43">
        <f t="shared" si="352"/>
        <v>0</v>
      </c>
      <c r="DJ37" s="43">
        <f t="shared" si="353"/>
        <v>0</v>
      </c>
      <c r="DK37" s="43">
        <f t="shared" si="354"/>
        <v>0</v>
      </c>
      <c r="DL37" s="43">
        <f t="shared" si="355"/>
        <v>0</v>
      </c>
      <c r="DM37" s="767"/>
      <c r="DN37" s="43">
        <f t="shared" si="356"/>
        <v>0</v>
      </c>
      <c r="DO37" s="43">
        <f t="shared" si="357"/>
        <v>0</v>
      </c>
      <c r="DP37" s="43">
        <f t="shared" si="358"/>
        <v>0</v>
      </c>
      <c r="DQ37" s="43">
        <f t="shared" si="359"/>
        <v>0</v>
      </c>
      <c r="DR37" s="43">
        <f t="shared" si="360"/>
        <v>0</v>
      </c>
      <c r="DS37" s="43">
        <f t="shared" si="361"/>
        <v>0</v>
      </c>
      <c r="DT37" s="43">
        <f t="shared" si="362"/>
        <v>0</v>
      </c>
      <c r="DU37" s="43">
        <f t="shared" si="363"/>
        <v>0</v>
      </c>
      <c r="DV37" s="43">
        <f t="shared" si="364"/>
        <v>0</v>
      </c>
      <c r="DW37" s="43">
        <f t="shared" si="365"/>
        <v>0</v>
      </c>
      <c r="DX37" s="43">
        <f t="shared" si="366"/>
        <v>0</v>
      </c>
      <c r="DY37" s="43">
        <f t="shared" si="367"/>
        <v>0</v>
      </c>
      <c r="DZ37" s="43">
        <f t="shared" si="368"/>
        <v>0</v>
      </c>
      <c r="EA37" s="43">
        <f t="shared" si="369"/>
        <v>0</v>
      </c>
      <c r="EB37" s="43">
        <f t="shared" si="370"/>
        <v>0</v>
      </c>
      <c r="EC37" s="767"/>
      <c r="ED37" s="43">
        <f t="shared" si="371"/>
        <v>0</v>
      </c>
      <c r="EE37" s="43">
        <f t="shared" si="372"/>
        <v>0</v>
      </c>
      <c r="EF37" s="43">
        <f t="shared" si="373"/>
        <v>0</v>
      </c>
      <c r="EG37" s="43">
        <f t="shared" si="374"/>
        <v>0</v>
      </c>
      <c r="EH37" s="43">
        <f t="shared" si="375"/>
        <v>0</v>
      </c>
      <c r="EI37" s="43">
        <f t="shared" si="376"/>
        <v>0</v>
      </c>
      <c r="EJ37" s="43">
        <f t="shared" si="377"/>
        <v>0</v>
      </c>
      <c r="EK37" s="43">
        <f t="shared" si="378"/>
        <v>0</v>
      </c>
      <c r="EL37" s="43">
        <f t="shared" si="379"/>
        <v>0</v>
      </c>
      <c r="EM37" s="43">
        <f t="shared" si="380"/>
        <v>0</v>
      </c>
      <c r="EN37" s="43">
        <f t="shared" si="381"/>
        <v>0</v>
      </c>
      <c r="EO37" s="43">
        <f t="shared" si="382"/>
        <v>0</v>
      </c>
      <c r="EP37" s="43">
        <f t="shared" si="383"/>
        <v>0</v>
      </c>
      <c r="EQ37" s="43">
        <f t="shared" si="384"/>
        <v>0</v>
      </c>
      <c r="ER37" s="43">
        <f t="shared" si="385"/>
        <v>0</v>
      </c>
      <c r="ES37" s="767"/>
      <c r="ET37" s="43">
        <f t="shared" si="386"/>
        <v>0</v>
      </c>
      <c r="EU37" s="43">
        <f t="shared" si="387"/>
        <v>0</v>
      </c>
      <c r="EV37" s="43">
        <f t="shared" si="388"/>
        <v>0</v>
      </c>
      <c r="EW37" s="43">
        <f t="shared" si="389"/>
        <v>0</v>
      </c>
      <c r="EX37" s="43">
        <f t="shared" si="390"/>
        <v>0</v>
      </c>
      <c r="EY37" s="43">
        <f t="shared" si="391"/>
        <v>0</v>
      </c>
      <c r="EZ37" s="43">
        <f t="shared" si="392"/>
        <v>0</v>
      </c>
      <c r="FA37" s="43">
        <f t="shared" si="393"/>
        <v>0</v>
      </c>
      <c r="FB37" s="43">
        <f t="shared" si="394"/>
        <v>0</v>
      </c>
      <c r="FC37" s="43">
        <f t="shared" si="395"/>
        <v>0</v>
      </c>
      <c r="FD37" s="43">
        <f t="shared" si="396"/>
        <v>0</v>
      </c>
      <c r="FE37" s="43">
        <f t="shared" si="397"/>
        <v>0</v>
      </c>
      <c r="FF37" s="43">
        <f t="shared" si="398"/>
        <v>0</v>
      </c>
      <c r="FG37" s="43">
        <f t="shared" si="399"/>
        <v>0</v>
      </c>
      <c r="FH37" s="43">
        <f t="shared" si="400"/>
        <v>0</v>
      </c>
      <c r="FI37" s="767"/>
      <c r="FJ37" s="43">
        <f t="shared" si="401"/>
        <v>0</v>
      </c>
      <c r="FK37" s="43">
        <f t="shared" si="402"/>
        <v>0</v>
      </c>
      <c r="FL37" s="43">
        <f t="shared" si="403"/>
        <v>0</v>
      </c>
      <c r="FM37" s="43">
        <f t="shared" si="404"/>
        <v>0</v>
      </c>
      <c r="FN37" s="43">
        <f t="shared" si="405"/>
        <v>0</v>
      </c>
      <c r="FO37" s="43">
        <f t="shared" si="406"/>
        <v>0</v>
      </c>
      <c r="FP37" s="43">
        <f t="shared" si="407"/>
        <v>0</v>
      </c>
      <c r="FQ37" s="43">
        <f t="shared" si="408"/>
        <v>0</v>
      </c>
      <c r="FR37" s="43">
        <f t="shared" si="409"/>
        <v>0</v>
      </c>
      <c r="FS37" s="43">
        <f t="shared" si="410"/>
        <v>0</v>
      </c>
      <c r="FT37" s="43">
        <f t="shared" si="411"/>
        <v>0</v>
      </c>
      <c r="FU37" s="43">
        <f t="shared" si="412"/>
        <v>0</v>
      </c>
      <c r="FV37" s="43">
        <f t="shared" si="413"/>
        <v>0</v>
      </c>
      <c r="FW37" s="43">
        <f t="shared" si="414"/>
        <v>0</v>
      </c>
      <c r="FX37" s="43">
        <f t="shared" si="415"/>
        <v>0</v>
      </c>
      <c r="FY37" s="767"/>
      <c r="FZ37" s="43">
        <f t="shared" si="416"/>
        <v>0</v>
      </c>
      <c r="GA37" s="43">
        <f t="shared" si="417"/>
        <v>0</v>
      </c>
      <c r="GB37" s="43">
        <f t="shared" si="418"/>
        <v>0</v>
      </c>
      <c r="GC37" s="43">
        <f t="shared" si="419"/>
        <v>0</v>
      </c>
      <c r="GD37" s="43">
        <f t="shared" si="420"/>
        <v>0</v>
      </c>
      <c r="GE37" s="43">
        <f t="shared" si="421"/>
        <v>0</v>
      </c>
      <c r="GF37" s="43">
        <f t="shared" si="422"/>
        <v>0</v>
      </c>
      <c r="GG37" s="43">
        <f t="shared" si="423"/>
        <v>0</v>
      </c>
      <c r="GH37" s="43">
        <f t="shared" si="424"/>
        <v>0</v>
      </c>
      <c r="GI37" s="43">
        <f t="shared" si="425"/>
        <v>0</v>
      </c>
      <c r="GJ37" s="43">
        <f t="shared" si="426"/>
        <v>0</v>
      </c>
      <c r="GK37" s="43">
        <f t="shared" si="427"/>
        <v>0</v>
      </c>
      <c r="GL37" s="43">
        <f t="shared" si="428"/>
        <v>0</v>
      </c>
      <c r="GM37" s="43">
        <f t="shared" si="429"/>
        <v>0</v>
      </c>
      <c r="GN37" s="43">
        <f t="shared" si="430"/>
        <v>0</v>
      </c>
      <c r="GO37" s="767"/>
      <c r="GP37" s="43">
        <f t="shared" si="431"/>
        <v>0</v>
      </c>
      <c r="GQ37" s="43">
        <f t="shared" si="432"/>
        <v>0</v>
      </c>
      <c r="GR37" s="43">
        <f t="shared" si="433"/>
        <v>0</v>
      </c>
      <c r="GS37" s="43">
        <f t="shared" si="434"/>
        <v>0</v>
      </c>
      <c r="GT37" s="43">
        <f t="shared" si="435"/>
        <v>0</v>
      </c>
      <c r="GU37" s="43">
        <f t="shared" si="436"/>
        <v>0</v>
      </c>
      <c r="GV37" s="43">
        <f t="shared" si="437"/>
        <v>0</v>
      </c>
      <c r="GW37" s="43">
        <f t="shared" si="438"/>
        <v>0</v>
      </c>
      <c r="GX37" s="43">
        <f t="shared" si="439"/>
        <v>0</v>
      </c>
      <c r="GY37" s="43">
        <f t="shared" si="440"/>
        <v>0</v>
      </c>
      <c r="GZ37" s="43">
        <f t="shared" si="441"/>
        <v>0</v>
      </c>
      <c r="HA37" s="43">
        <f t="shared" si="442"/>
        <v>0</v>
      </c>
      <c r="HB37" s="43">
        <f t="shared" si="443"/>
        <v>0</v>
      </c>
      <c r="HC37" s="43">
        <f t="shared" si="444"/>
        <v>0</v>
      </c>
      <c r="HD37" s="43">
        <f t="shared" si="445"/>
        <v>0</v>
      </c>
      <c r="HE37" s="767"/>
      <c r="HF37" s="43">
        <f t="shared" si="446"/>
        <v>0</v>
      </c>
      <c r="HG37" s="43">
        <f t="shared" si="447"/>
        <v>0</v>
      </c>
      <c r="HH37" s="43">
        <f t="shared" si="448"/>
        <v>0</v>
      </c>
      <c r="HI37" s="43">
        <f t="shared" si="449"/>
        <v>0</v>
      </c>
      <c r="HJ37" s="43">
        <f t="shared" si="450"/>
        <v>0</v>
      </c>
      <c r="HK37" s="43">
        <f t="shared" si="451"/>
        <v>0</v>
      </c>
      <c r="HL37" s="43">
        <f t="shared" si="452"/>
        <v>0</v>
      </c>
      <c r="HM37" s="43">
        <f t="shared" si="453"/>
        <v>0</v>
      </c>
      <c r="HN37" s="43">
        <f t="shared" si="454"/>
        <v>0</v>
      </c>
      <c r="HO37" s="43">
        <f t="shared" si="455"/>
        <v>0</v>
      </c>
      <c r="HP37" s="43">
        <f t="shared" si="456"/>
        <v>0</v>
      </c>
      <c r="HQ37" s="43">
        <f t="shared" si="457"/>
        <v>0</v>
      </c>
      <c r="HR37" s="43">
        <f t="shared" si="458"/>
        <v>0</v>
      </c>
      <c r="HS37" s="43">
        <f t="shared" si="459"/>
        <v>0</v>
      </c>
      <c r="HT37" s="43">
        <f t="shared" si="460"/>
        <v>0</v>
      </c>
      <c r="HU37" s="767"/>
      <c r="HV37" s="43">
        <f t="shared" si="461"/>
        <v>0</v>
      </c>
      <c r="HW37" s="43">
        <f t="shared" si="462"/>
        <v>0</v>
      </c>
      <c r="HX37" s="43">
        <f t="shared" si="463"/>
        <v>0</v>
      </c>
      <c r="HY37" s="43">
        <f t="shared" si="464"/>
        <v>0</v>
      </c>
      <c r="HZ37" s="43">
        <f t="shared" si="465"/>
        <v>0</v>
      </c>
      <c r="IA37" s="43">
        <f t="shared" si="466"/>
        <v>0</v>
      </c>
      <c r="IB37" s="43">
        <f t="shared" si="467"/>
        <v>0</v>
      </c>
      <c r="IC37" s="43">
        <f t="shared" si="468"/>
        <v>0</v>
      </c>
      <c r="ID37" s="43">
        <f t="shared" si="469"/>
        <v>0</v>
      </c>
      <c r="IE37" s="43">
        <f t="shared" si="470"/>
        <v>0</v>
      </c>
      <c r="IF37" s="43">
        <f t="shared" si="471"/>
        <v>0</v>
      </c>
      <c r="IG37" s="43">
        <f t="shared" si="472"/>
        <v>0</v>
      </c>
      <c r="IH37" s="43">
        <f t="shared" si="473"/>
        <v>0</v>
      </c>
      <c r="II37" s="43">
        <f t="shared" si="474"/>
        <v>0</v>
      </c>
      <c r="IJ37" s="786">
        <f t="shared" si="475"/>
        <v>0</v>
      </c>
      <c r="IK37" s="794"/>
    </row>
    <row r="38" spans="1:245">
      <c r="A38" s="642">
        <f t="shared" si="476"/>
        <v>8</v>
      </c>
      <c r="B38" s="762" t="str">
        <f t="shared" si="264"/>
        <v>CIS Trainer</v>
      </c>
      <c r="C38" s="775"/>
      <c r="D38" s="769"/>
      <c r="E38" s="52" t="str">
        <f t="shared" si="265"/>
        <v>CIS TrainerContr_Sub</v>
      </c>
      <c r="F38" s="793"/>
      <c r="G38" s="43"/>
      <c r="H38" s="43"/>
      <c r="I38" s="43"/>
      <c r="J38" s="43"/>
      <c r="K38" s="43"/>
      <c r="L38" s="43"/>
      <c r="M38" s="43"/>
      <c r="N38" s="43"/>
      <c r="O38" s="43"/>
      <c r="P38" s="43"/>
      <c r="Q38" s="43"/>
      <c r="R38" s="43"/>
      <c r="S38" s="43"/>
      <c r="T38" s="43"/>
      <c r="U38" s="767"/>
      <c r="V38" s="43">
        <f t="shared" si="266"/>
        <v>0</v>
      </c>
      <c r="W38" s="43">
        <f t="shared" si="267"/>
        <v>0</v>
      </c>
      <c r="X38" s="43">
        <f t="shared" si="268"/>
        <v>0</v>
      </c>
      <c r="Y38" s="43">
        <f t="shared" si="269"/>
        <v>0</v>
      </c>
      <c r="Z38" s="43">
        <f t="shared" si="270"/>
        <v>0</v>
      </c>
      <c r="AA38" s="43">
        <f t="shared" si="271"/>
        <v>0</v>
      </c>
      <c r="AB38" s="43">
        <f t="shared" si="272"/>
        <v>0</v>
      </c>
      <c r="AC38" s="43">
        <f t="shared" si="273"/>
        <v>0</v>
      </c>
      <c r="AD38" s="43">
        <f t="shared" si="274"/>
        <v>0</v>
      </c>
      <c r="AE38" s="43">
        <f t="shared" si="275"/>
        <v>0</v>
      </c>
      <c r="AF38" s="43">
        <f t="shared" si="276"/>
        <v>0</v>
      </c>
      <c r="AG38" s="43">
        <f t="shared" si="277"/>
        <v>0</v>
      </c>
      <c r="AH38" s="43">
        <f t="shared" si="278"/>
        <v>0</v>
      </c>
      <c r="AI38" s="43">
        <f t="shared" si="279"/>
        <v>0</v>
      </c>
      <c r="AJ38" s="43">
        <f t="shared" si="280"/>
        <v>0</v>
      </c>
      <c r="AK38" s="767"/>
      <c r="AL38" s="43">
        <f t="shared" si="281"/>
        <v>0</v>
      </c>
      <c r="AM38" s="43">
        <f t="shared" si="282"/>
        <v>0</v>
      </c>
      <c r="AN38" s="43">
        <f t="shared" si="283"/>
        <v>0</v>
      </c>
      <c r="AO38" s="43">
        <f t="shared" si="284"/>
        <v>0</v>
      </c>
      <c r="AP38" s="43">
        <f t="shared" si="285"/>
        <v>0</v>
      </c>
      <c r="AQ38" s="43">
        <f t="shared" si="286"/>
        <v>0</v>
      </c>
      <c r="AR38" s="43">
        <f t="shared" si="287"/>
        <v>0</v>
      </c>
      <c r="AS38" s="43">
        <f t="shared" si="288"/>
        <v>0</v>
      </c>
      <c r="AT38" s="43">
        <f t="shared" si="289"/>
        <v>0</v>
      </c>
      <c r="AU38" s="43">
        <f t="shared" si="290"/>
        <v>0</v>
      </c>
      <c r="AV38" s="43">
        <f t="shared" si="291"/>
        <v>0</v>
      </c>
      <c r="AW38" s="43">
        <f t="shared" si="292"/>
        <v>0</v>
      </c>
      <c r="AX38" s="43">
        <f t="shared" si="293"/>
        <v>0</v>
      </c>
      <c r="AY38" s="43">
        <f t="shared" si="294"/>
        <v>0</v>
      </c>
      <c r="AZ38" s="43">
        <f t="shared" si="295"/>
        <v>0</v>
      </c>
      <c r="BA38" s="767"/>
      <c r="BB38" s="43">
        <f t="shared" si="296"/>
        <v>0</v>
      </c>
      <c r="BC38" s="43">
        <f t="shared" si="297"/>
        <v>0</v>
      </c>
      <c r="BD38" s="43">
        <f t="shared" si="298"/>
        <v>0</v>
      </c>
      <c r="BE38" s="43">
        <f t="shared" si="299"/>
        <v>0</v>
      </c>
      <c r="BF38" s="43">
        <f t="shared" si="300"/>
        <v>0</v>
      </c>
      <c r="BG38" s="43">
        <f t="shared" si="301"/>
        <v>0</v>
      </c>
      <c r="BH38" s="43">
        <f t="shared" si="302"/>
        <v>0</v>
      </c>
      <c r="BI38" s="43">
        <f t="shared" si="303"/>
        <v>0</v>
      </c>
      <c r="BJ38" s="43">
        <f t="shared" si="304"/>
        <v>0</v>
      </c>
      <c r="BK38" s="43">
        <f t="shared" si="305"/>
        <v>0</v>
      </c>
      <c r="BL38" s="43">
        <f t="shared" si="306"/>
        <v>0</v>
      </c>
      <c r="BM38" s="43">
        <f t="shared" si="307"/>
        <v>0</v>
      </c>
      <c r="BN38" s="43">
        <f t="shared" si="308"/>
        <v>0</v>
      </c>
      <c r="BO38" s="43">
        <f t="shared" si="309"/>
        <v>0</v>
      </c>
      <c r="BP38" s="43">
        <f t="shared" si="310"/>
        <v>0</v>
      </c>
      <c r="BQ38" s="767"/>
      <c r="BR38" s="43">
        <f t="shared" si="311"/>
        <v>0</v>
      </c>
      <c r="BS38" s="43">
        <f t="shared" si="312"/>
        <v>0</v>
      </c>
      <c r="BT38" s="43">
        <f t="shared" si="313"/>
        <v>0</v>
      </c>
      <c r="BU38" s="43">
        <f t="shared" si="314"/>
        <v>0</v>
      </c>
      <c r="BV38" s="43">
        <f t="shared" si="315"/>
        <v>0</v>
      </c>
      <c r="BW38" s="43">
        <f t="shared" si="316"/>
        <v>0</v>
      </c>
      <c r="BX38" s="43">
        <f t="shared" si="317"/>
        <v>0</v>
      </c>
      <c r="BY38" s="43">
        <f t="shared" si="318"/>
        <v>0</v>
      </c>
      <c r="BZ38" s="43">
        <f t="shared" si="319"/>
        <v>0</v>
      </c>
      <c r="CA38" s="43">
        <f t="shared" si="320"/>
        <v>0</v>
      </c>
      <c r="CB38" s="43">
        <f t="shared" si="321"/>
        <v>0</v>
      </c>
      <c r="CC38" s="43">
        <f t="shared" si="322"/>
        <v>0</v>
      </c>
      <c r="CD38" s="43">
        <f t="shared" si="323"/>
        <v>0</v>
      </c>
      <c r="CE38" s="43">
        <f t="shared" si="324"/>
        <v>0</v>
      </c>
      <c r="CF38" s="43">
        <f t="shared" si="325"/>
        <v>0</v>
      </c>
      <c r="CG38" s="767"/>
      <c r="CH38" s="43">
        <f t="shared" si="326"/>
        <v>0</v>
      </c>
      <c r="CI38" s="43">
        <f t="shared" si="327"/>
        <v>0</v>
      </c>
      <c r="CJ38" s="43">
        <f t="shared" si="328"/>
        <v>0</v>
      </c>
      <c r="CK38" s="43">
        <f t="shared" si="329"/>
        <v>0</v>
      </c>
      <c r="CL38" s="43">
        <f t="shared" si="330"/>
        <v>0</v>
      </c>
      <c r="CM38" s="43">
        <f t="shared" si="331"/>
        <v>0</v>
      </c>
      <c r="CN38" s="43">
        <f t="shared" si="332"/>
        <v>0</v>
      </c>
      <c r="CO38" s="43">
        <f t="shared" si="333"/>
        <v>0</v>
      </c>
      <c r="CP38" s="43">
        <f t="shared" si="334"/>
        <v>0</v>
      </c>
      <c r="CQ38" s="43">
        <f t="shared" si="335"/>
        <v>0</v>
      </c>
      <c r="CR38" s="43">
        <f t="shared" si="336"/>
        <v>0</v>
      </c>
      <c r="CS38" s="43">
        <f t="shared" si="337"/>
        <v>0</v>
      </c>
      <c r="CT38" s="43">
        <f t="shared" si="338"/>
        <v>0</v>
      </c>
      <c r="CU38" s="43">
        <f t="shared" si="339"/>
        <v>0</v>
      </c>
      <c r="CV38" s="43">
        <f t="shared" si="340"/>
        <v>0</v>
      </c>
      <c r="CW38" s="767"/>
      <c r="CX38" s="43">
        <f t="shared" si="341"/>
        <v>0</v>
      </c>
      <c r="CY38" s="43">
        <f t="shared" si="342"/>
        <v>0</v>
      </c>
      <c r="CZ38" s="43">
        <f t="shared" si="343"/>
        <v>0</v>
      </c>
      <c r="DA38" s="43">
        <f t="shared" si="344"/>
        <v>0</v>
      </c>
      <c r="DB38" s="43">
        <f t="shared" si="345"/>
        <v>0</v>
      </c>
      <c r="DC38" s="43">
        <f t="shared" si="346"/>
        <v>0</v>
      </c>
      <c r="DD38" s="43">
        <f t="shared" si="347"/>
        <v>0</v>
      </c>
      <c r="DE38" s="43">
        <f t="shared" si="348"/>
        <v>0</v>
      </c>
      <c r="DF38" s="43">
        <f t="shared" si="349"/>
        <v>0</v>
      </c>
      <c r="DG38" s="43">
        <f t="shared" si="350"/>
        <v>0</v>
      </c>
      <c r="DH38" s="43">
        <f t="shared" si="351"/>
        <v>0</v>
      </c>
      <c r="DI38" s="43">
        <f t="shared" si="352"/>
        <v>0</v>
      </c>
      <c r="DJ38" s="43">
        <f t="shared" si="353"/>
        <v>0</v>
      </c>
      <c r="DK38" s="43">
        <f t="shared" si="354"/>
        <v>0</v>
      </c>
      <c r="DL38" s="43">
        <f t="shared" si="355"/>
        <v>0</v>
      </c>
      <c r="DM38" s="767"/>
      <c r="DN38" s="43">
        <f t="shared" si="356"/>
        <v>0</v>
      </c>
      <c r="DO38" s="43">
        <f t="shared" si="357"/>
        <v>0</v>
      </c>
      <c r="DP38" s="43">
        <f t="shared" si="358"/>
        <v>0</v>
      </c>
      <c r="DQ38" s="43">
        <f t="shared" si="359"/>
        <v>0</v>
      </c>
      <c r="DR38" s="43">
        <f t="shared" si="360"/>
        <v>0</v>
      </c>
      <c r="DS38" s="43">
        <f t="shared" si="361"/>
        <v>0</v>
      </c>
      <c r="DT38" s="43">
        <f t="shared" si="362"/>
        <v>0</v>
      </c>
      <c r="DU38" s="43">
        <f t="shared" si="363"/>
        <v>0</v>
      </c>
      <c r="DV38" s="43">
        <f t="shared" si="364"/>
        <v>0</v>
      </c>
      <c r="DW38" s="43">
        <f t="shared" si="365"/>
        <v>0</v>
      </c>
      <c r="DX38" s="43">
        <f t="shared" si="366"/>
        <v>0</v>
      </c>
      <c r="DY38" s="43">
        <f t="shared" si="367"/>
        <v>0</v>
      </c>
      <c r="DZ38" s="43">
        <f t="shared" si="368"/>
        <v>0</v>
      </c>
      <c r="EA38" s="43">
        <f t="shared" si="369"/>
        <v>0</v>
      </c>
      <c r="EB38" s="43">
        <f t="shared" si="370"/>
        <v>0</v>
      </c>
      <c r="EC38" s="767"/>
      <c r="ED38" s="43">
        <f t="shared" si="371"/>
        <v>0</v>
      </c>
      <c r="EE38" s="43">
        <f t="shared" si="372"/>
        <v>0</v>
      </c>
      <c r="EF38" s="43">
        <f t="shared" si="373"/>
        <v>0</v>
      </c>
      <c r="EG38" s="43">
        <f t="shared" si="374"/>
        <v>0</v>
      </c>
      <c r="EH38" s="43">
        <f t="shared" si="375"/>
        <v>0</v>
      </c>
      <c r="EI38" s="43">
        <f t="shared" si="376"/>
        <v>0</v>
      </c>
      <c r="EJ38" s="43">
        <f t="shared" si="377"/>
        <v>0</v>
      </c>
      <c r="EK38" s="43">
        <f t="shared" si="378"/>
        <v>0</v>
      </c>
      <c r="EL38" s="43">
        <f t="shared" si="379"/>
        <v>0</v>
      </c>
      <c r="EM38" s="43">
        <f t="shared" si="380"/>
        <v>0</v>
      </c>
      <c r="EN38" s="43">
        <f t="shared" si="381"/>
        <v>0</v>
      </c>
      <c r="EO38" s="43">
        <f t="shared" si="382"/>
        <v>0</v>
      </c>
      <c r="EP38" s="43">
        <f t="shared" si="383"/>
        <v>0</v>
      </c>
      <c r="EQ38" s="43">
        <f t="shared" si="384"/>
        <v>0</v>
      </c>
      <c r="ER38" s="43">
        <f t="shared" si="385"/>
        <v>0</v>
      </c>
      <c r="ES38" s="767"/>
      <c r="ET38" s="43">
        <f t="shared" si="386"/>
        <v>0</v>
      </c>
      <c r="EU38" s="43">
        <f t="shared" si="387"/>
        <v>0</v>
      </c>
      <c r="EV38" s="43">
        <f t="shared" si="388"/>
        <v>0</v>
      </c>
      <c r="EW38" s="43">
        <f t="shared" si="389"/>
        <v>0</v>
      </c>
      <c r="EX38" s="43">
        <f t="shared" si="390"/>
        <v>0</v>
      </c>
      <c r="EY38" s="43">
        <f t="shared" si="391"/>
        <v>0</v>
      </c>
      <c r="EZ38" s="43">
        <f t="shared" si="392"/>
        <v>0</v>
      </c>
      <c r="FA38" s="43">
        <f t="shared" si="393"/>
        <v>0</v>
      </c>
      <c r="FB38" s="43">
        <f t="shared" si="394"/>
        <v>0</v>
      </c>
      <c r="FC38" s="43">
        <f t="shared" si="395"/>
        <v>0</v>
      </c>
      <c r="FD38" s="43">
        <f t="shared" si="396"/>
        <v>0</v>
      </c>
      <c r="FE38" s="43">
        <f t="shared" si="397"/>
        <v>0</v>
      </c>
      <c r="FF38" s="43">
        <f t="shared" si="398"/>
        <v>0</v>
      </c>
      <c r="FG38" s="43">
        <f t="shared" si="399"/>
        <v>0</v>
      </c>
      <c r="FH38" s="43">
        <f t="shared" si="400"/>
        <v>0</v>
      </c>
      <c r="FI38" s="767"/>
      <c r="FJ38" s="43">
        <f t="shared" si="401"/>
        <v>0</v>
      </c>
      <c r="FK38" s="43">
        <f t="shared" si="402"/>
        <v>0</v>
      </c>
      <c r="FL38" s="43">
        <f t="shared" si="403"/>
        <v>0</v>
      </c>
      <c r="FM38" s="43">
        <f t="shared" si="404"/>
        <v>0</v>
      </c>
      <c r="FN38" s="43">
        <f t="shared" si="405"/>
        <v>0</v>
      </c>
      <c r="FO38" s="43">
        <f t="shared" si="406"/>
        <v>0</v>
      </c>
      <c r="FP38" s="43">
        <f t="shared" si="407"/>
        <v>0</v>
      </c>
      <c r="FQ38" s="43">
        <f t="shared" si="408"/>
        <v>0</v>
      </c>
      <c r="FR38" s="43">
        <f t="shared" si="409"/>
        <v>0</v>
      </c>
      <c r="FS38" s="43">
        <f t="shared" si="410"/>
        <v>0</v>
      </c>
      <c r="FT38" s="43">
        <f t="shared" si="411"/>
        <v>0</v>
      </c>
      <c r="FU38" s="43">
        <f t="shared" si="412"/>
        <v>0</v>
      </c>
      <c r="FV38" s="43">
        <f t="shared" si="413"/>
        <v>0</v>
      </c>
      <c r="FW38" s="43">
        <f t="shared" si="414"/>
        <v>0</v>
      </c>
      <c r="FX38" s="43">
        <f t="shared" si="415"/>
        <v>0</v>
      </c>
      <c r="FY38" s="767"/>
      <c r="FZ38" s="43">
        <f t="shared" si="416"/>
        <v>0</v>
      </c>
      <c r="GA38" s="43">
        <f t="shared" si="417"/>
        <v>0</v>
      </c>
      <c r="GB38" s="43">
        <f t="shared" si="418"/>
        <v>0</v>
      </c>
      <c r="GC38" s="43">
        <f t="shared" si="419"/>
        <v>0</v>
      </c>
      <c r="GD38" s="43">
        <f t="shared" si="420"/>
        <v>0</v>
      </c>
      <c r="GE38" s="43">
        <f t="shared" si="421"/>
        <v>0</v>
      </c>
      <c r="GF38" s="43">
        <f t="shared" si="422"/>
        <v>0</v>
      </c>
      <c r="GG38" s="43">
        <f t="shared" si="423"/>
        <v>0</v>
      </c>
      <c r="GH38" s="43">
        <f t="shared" si="424"/>
        <v>0</v>
      </c>
      <c r="GI38" s="43">
        <f t="shared" si="425"/>
        <v>0</v>
      </c>
      <c r="GJ38" s="43">
        <f t="shared" si="426"/>
        <v>0</v>
      </c>
      <c r="GK38" s="43">
        <f t="shared" si="427"/>
        <v>0</v>
      </c>
      <c r="GL38" s="43">
        <f t="shared" si="428"/>
        <v>0</v>
      </c>
      <c r="GM38" s="43">
        <f t="shared" si="429"/>
        <v>0</v>
      </c>
      <c r="GN38" s="43">
        <f t="shared" si="430"/>
        <v>0</v>
      </c>
      <c r="GO38" s="767"/>
      <c r="GP38" s="43">
        <f t="shared" si="431"/>
        <v>0</v>
      </c>
      <c r="GQ38" s="43">
        <f t="shared" si="432"/>
        <v>0</v>
      </c>
      <c r="GR38" s="43">
        <f t="shared" si="433"/>
        <v>0</v>
      </c>
      <c r="GS38" s="43">
        <f t="shared" si="434"/>
        <v>0</v>
      </c>
      <c r="GT38" s="43">
        <f t="shared" si="435"/>
        <v>0</v>
      </c>
      <c r="GU38" s="43">
        <f t="shared" si="436"/>
        <v>0</v>
      </c>
      <c r="GV38" s="43">
        <f t="shared" si="437"/>
        <v>0</v>
      </c>
      <c r="GW38" s="43">
        <f t="shared" si="438"/>
        <v>0</v>
      </c>
      <c r="GX38" s="43">
        <f t="shared" si="439"/>
        <v>0</v>
      </c>
      <c r="GY38" s="43">
        <f t="shared" si="440"/>
        <v>0</v>
      </c>
      <c r="GZ38" s="43">
        <f t="shared" si="441"/>
        <v>0</v>
      </c>
      <c r="HA38" s="43">
        <f t="shared" si="442"/>
        <v>0</v>
      </c>
      <c r="HB38" s="43">
        <f t="shared" si="443"/>
        <v>0</v>
      </c>
      <c r="HC38" s="43">
        <f t="shared" si="444"/>
        <v>0</v>
      </c>
      <c r="HD38" s="43">
        <f t="shared" si="445"/>
        <v>0</v>
      </c>
      <c r="HE38" s="767"/>
      <c r="HF38" s="43">
        <f t="shared" si="446"/>
        <v>0</v>
      </c>
      <c r="HG38" s="43">
        <f t="shared" si="447"/>
        <v>0</v>
      </c>
      <c r="HH38" s="43">
        <f t="shared" si="448"/>
        <v>0</v>
      </c>
      <c r="HI38" s="43">
        <f t="shared" si="449"/>
        <v>0</v>
      </c>
      <c r="HJ38" s="43">
        <f t="shared" si="450"/>
        <v>0</v>
      </c>
      <c r="HK38" s="43">
        <f t="shared" si="451"/>
        <v>0</v>
      </c>
      <c r="HL38" s="43">
        <f t="shared" si="452"/>
        <v>0</v>
      </c>
      <c r="HM38" s="43">
        <f t="shared" si="453"/>
        <v>0</v>
      </c>
      <c r="HN38" s="43">
        <f t="shared" si="454"/>
        <v>0</v>
      </c>
      <c r="HO38" s="43">
        <f t="shared" si="455"/>
        <v>0</v>
      </c>
      <c r="HP38" s="43">
        <f t="shared" si="456"/>
        <v>0</v>
      </c>
      <c r="HQ38" s="43">
        <f t="shared" si="457"/>
        <v>0</v>
      </c>
      <c r="HR38" s="43">
        <f t="shared" si="458"/>
        <v>0</v>
      </c>
      <c r="HS38" s="43">
        <f t="shared" si="459"/>
        <v>0</v>
      </c>
      <c r="HT38" s="43">
        <f t="shared" si="460"/>
        <v>0</v>
      </c>
      <c r="HU38" s="767"/>
      <c r="HV38" s="43">
        <f t="shared" si="461"/>
        <v>0</v>
      </c>
      <c r="HW38" s="43">
        <f t="shared" si="462"/>
        <v>0</v>
      </c>
      <c r="HX38" s="43">
        <f t="shared" si="463"/>
        <v>0</v>
      </c>
      <c r="HY38" s="43">
        <f t="shared" si="464"/>
        <v>0</v>
      </c>
      <c r="HZ38" s="43">
        <f t="shared" si="465"/>
        <v>0</v>
      </c>
      <c r="IA38" s="43">
        <f t="shared" si="466"/>
        <v>0</v>
      </c>
      <c r="IB38" s="43">
        <f t="shared" si="467"/>
        <v>0</v>
      </c>
      <c r="IC38" s="43">
        <f t="shared" si="468"/>
        <v>0</v>
      </c>
      <c r="ID38" s="43">
        <f t="shared" si="469"/>
        <v>0</v>
      </c>
      <c r="IE38" s="43">
        <f t="shared" si="470"/>
        <v>0</v>
      </c>
      <c r="IF38" s="43">
        <f t="shared" si="471"/>
        <v>0</v>
      </c>
      <c r="IG38" s="43">
        <f t="shared" si="472"/>
        <v>0</v>
      </c>
      <c r="IH38" s="43">
        <f t="shared" si="473"/>
        <v>0</v>
      </c>
      <c r="II38" s="43">
        <f t="shared" si="474"/>
        <v>0</v>
      </c>
      <c r="IJ38" s="786">
        <f t="shared" si="475"/>
        <v>0</v>
      </c>
      <c r="IK38" s="794"/>
    </row>
    <row r="39" spans="1:245">
      <c r="A39" s="642">
        <f t="shared" si="476"/>
        <v>9</v>
      </c>
      <c r="B39" s="762" t="str">
        <f t="shared" si="264"/>
        <v>Radio Technician</v>
      </c>
      <c r="C39" s="775"/>
      <c r="D39" s="769"/>
      <c r="E39" s="52" t="str">
        <f t="shared" si="265"/>
        <v>Radio TechnicianContr_Sub</v>
      </c>
      <c r="F39" s="793"/>
      <c r="G39" s="43"/>
      <c r="H39" s="43"/>
      <c r="I39" s="43"/>
      <c r="J39" s="43"/>
      <c r="K39" s="43"/>
      <c r="L39" s="43"/>
      <c r="M39" s="43"/>
      <c r="N39" s="43"/>
      <c r="O39" s="43"/>
      <c r="P39" s="43"/>
      <c r="Q39" s="43"/>
      <c r="R39" s="43"/>
      <c r="S39" s="43"/>
      <c r="T39" s="43"/>
      <c r="U39" s="767"/>
      <c r="V39" s="43">
        <f t="shared" si="266"/>
        <v>0</v>
      </c>
      <c r="W39" s="43">
        <f t="shared" si="267"/>
        <v>0</v>
      </c>
      <c r="X39" s="43">
        <f t="shared" si="268"/>
        <v>0</v>
      </c>
      <c r="Y39" s="43">
        <f t="shared" si="269"/>
        <v>0</v>
      </c>
      <c r="Z39" s="43">
        <f t="shared" si="270"/>
        <v>0</v>
      </c>
      <c r="AA39" s="43">
        <f t="shared" si="271"/>
        <v>0</v>
      </c>
      <c r="AB39" s="43">
        <f t="shared" si="272"/>
        <v>0</v>
      </c>
      <c r="AC39" s="43">
        <f t="shared" si="273"/>
        <v>0</v>
      </c>
      <c r="AD39" s="43">
        <f t="shared" si="274"/>
        <v>0</v>
      </c>
      <c r="AE39" s="43">
        <f t="shared" si="275"/>
        <v>0</v>
      </c>
      <c r="AF39" s="43">
        <f t="shared" si="276"/>
        <v>0</v>
      </c>
      <c r="AG39" s="43">
        <f t="shared" si="277"/>
        <v>0</v>
      </c>
      <c r="AH39" s="43">
        <f t="shared" si="278"/>
        <v>0</v>
      </c>
      <c r="AI39" s="43">
        <f t="shared" si="279"/>
        <v>0</v>
      </c>
      <c r="AJ39" s="43">
        <f t="shared" si="280"/>
        <v>0</v>
      </c>
      <c r="AK39" s="767"/>
      <c r="AL39" s="43">
        <f t="shared" si="281"/>
        <v>0</v>
      </c>
      <c r="AM39" s="43">
        <f t="shared" si="282"/>
        <v>0</v>
      </c>
      <c r="AN39" s="43">
        <f t="shared" si="283"/>
        <v>0</v>
      </c>
      <c r="AO39" s="43">
        <f t="shared" si="284"/>
        <v>0</v>
      </c>
      <c r="AP39" s="43">
        <f t="shared" si="285"/>
        <v>0</v>
      </c>
      <c r="AQ39" s="43">
        <f t="shared" si="286"/>
        <v>0</v>
      </c>
      <c r="AR39" s="43">
        <f t="shared" si="287"/>
        <v>0</v>
      </c>
      <c r="AS39" s="43">
        <f t="shared" si="288"/>
        <v>0</v>
      </c>
      <c r="AT39" s="43">
        <f t="shared" si="289"/>
        <v>0</v>
      </c>
      <c r="AU39" s="43">
        <f t="shared" si="290"/>
        <v>0</v>
      </c>
      <c r="AV39" s="43">
        <f t="shared" si="291"/>
        <v>0</v>
      </c>
      <c r="AW39" s="43">
        <f t="shared" si="292"/>
        <v>0</v>
      </c>
      <c r="AX39" s="43">
        <f t="shared" si="293"/>
        <v>0</v>
      </c>
      <c r="AY39" s="43">
        <f t="shared" si="294"/>
        <v>0</v>
      </c>
      <c r="AZ39" s="43">
        <f t="shared" si="295"/>
        <v>0</v>
      </c>
      <c r="BA39" s="767"/>
      <c r="BB39" s="43">
        <f t="shared" si="296"/>
        <v>0</v>
      </c>
      <c r="BC39" s="43">
        <f t="shared" si="297"/>
        <v>0</v>
      </c>
      <c r="BD39" s="43">
        <f t="shared" si="298"/>
        <v>0</v>
      </c>
      <c r="BE39" s="43">
        <f t="shared" si="299"/>
        <v>0</v>
      </c>
      <c r="BF39" s="43">
        <f t="shared" si="300"/>
        <v>0</v>
      </c>
      <c r="BG39" s="43">
        <f t="shared" si="301"/>
        <v>0</v>
      </c>
      <c r="BH39" s="43">
        <f t="shared" si="302"/>
        <v>0</v>
      </c>
      <c r="BI39" s="43">
        <f t="shared" si="303"/>
        <v>0</v>
      </c>
      <c r="BJ39" s="43">
        <f t="shared" si="304"/>
        <v>0</v>
      </c>
      <c r="BK39" s="43">
        <f t="shared" si="305"/>
        <v>0</v>
      </c>
      <c r="BL39" s="43">
        <f t="shared" si="306"/>
        <v>0</v>
      </c>
      <c r="BM39" s="43">
        <f t="shared" si="307"/>
        <v>0</v>
      </c>
      <c r="BN39" s="43">
        <f t="shared" si="308"/>
        <v>0</v>
      </c>
      <c r="BO39" s="43">
        <f t="shared" si="309"/>
        <v>0</v>
      </c>
      <c r="BP39" s="43">
        <f t="shared" si="310"/>
        <v>0</v>
      </c>
      <c r="BQ39" s="767"/>
      <c r="BR39" s="43">
        <f t="shared" si="311"/>
        <v>0</v>
      </c>
      <c r="BS39" s="43">
        <f t="shared" si="312"/>
        <v>0</v>
      </c>
      <c r="BT39" s="43">
        <f t="shared" si="313"/>
        <v>0</v>
      </c>
      <c r="BU39" s="43">
        <f t="shared" si="314"/>
        <v>0</v>
      </c>
      <c r="BV39" s="43">
        <f t="shared" si="315"/>
        <v>0</v>
      </c>
      <c r="BW39" s="43">
        <f t="shared" si="316"/>
        <v>0</v>
      </c>
      <c r="BX39" s="43">
        <f t="shared" si="317"/>
        <v>0</v>
      </c>
      <c r="BY39" s="43">
        <f t="shared" si="318"/>
        <v>0</v>
      </c>
      <c r="BZ39" s="43">
        <f t="shared" si="319"/>
        <v>0</v>
      </c>
      <c r="CA39" s="43">
        <f t="shared" si="320"/>
        <v>0</v>
      </c>
      <c r="CB39" s="43">
        <f t="shared" si="321"/>
        <v>0</v>
      </c>
      <c r="CC39" s="43">
        <f t="shared" si="322"/>
        <v>0</v>
      </c>
      <c r="CD39" s="43">
        <f t="shared" si="323"/>
        <v>0</v>
      </c>
      <c r="CE39" s="43">
        <f t="shared" si="324"/>
        <v>0</v>
      </c>
      <c r="CF39" s="43">
        <f t="shared" si="325"/>
        <v>0</v>
      </c>
      <c r="CG39" s="767"/>
      <c r="CH39" s="43">
        <f t="shared" si="326"/>
        <v>0</v>
      </c>
      <c r="CI39" s="43">
        <f t="shared" si="327"/>
        <v>0</v>
      </c>
      <c r="CJ39" s="43">
        <f t="shared" si="328"/>
        <v>0</v>
      </c>
      <c r="CK39" s="43">
        <f t="shared" si="329"/>
        <v>0</v>
      </c>
      <c r="CL39" s="43">
        <f t="shared" si="330"/>
        <v>0</v>
      </c>
      <c r="CM39" s="43">
        <f t="shared" si="331"/>
        <v>0</v>
      </c>
      <c r="CN39" s="43">
        <f t="shared" si="332"/>
        <v>0</v>
      </c>
      <c r="CO39" s="43">
        <f t="shared" si="333"/>
        <v>0</v>
      </c>
      <c r="CP39" s="43">
        <f t="shared" si="334"/>
        <v>0</v>
      </c>
      <c r="CQ39" s="43">
        <f t="shared" si="335"/>
        <v>0</v>
      </c>
      <c r="CR39" s="43">
        <f t="shared" si="336"/>
        <v>0</v>
      </c>
      <c r="CS39" s="43">
        <f t="shared" si="337"/>
        <v>0</v>
      </c>
      <c r="CT39" s="43">
        <f t="shared" si="338"/>
        <v>0</v>
      </c>
      <c r="CU39" s="43">
        <f t="shared" si="339"/>
        <v>0</v>
      </c>
      <c r="CV39" s="43">
        <f t="shared" si="340"/>
        <v>0</v>
      </c>
      <c r="CW39" s="767"/>
      <c r="CX39" s="43">
        <f t="shared" si="341"/>
        <v>0</v>
      </c>
      <c r="CY39" s="43">
        <f t="shared" si="342"/>
        <v>0</v>
      </c>
      <c r="CZ39" s="43">
        <f t="shared" si="343"/>
        <v>0</v>
      </c>
      <c r="DA39" s="43">
        <f t="shared" si="344"/>
        <v>0</v>
      </c>
      <c r="DB39" s="43">
        <f t="shared" si="345"/>
        <v>0</v>
      </c>
      <c r="DC39" s="43">
        <f t="shared" si="346"/>
        <v>0</v>
      </c>
      <c r="DD39" s="43">
        <f t="shared" si="347"/>
        <v>0</v>
      </c>
      <c r="DE39" s="43">
        <f t="shared" si="348"/>
        <v>0</v>
      </c>
      <c r="DF39" s="43">
        <f t="shared" si="349"/>
        <v>0</v>
      </c>
      <c r="DG39" s="43">
        <f t="shared" si="350"/>
        <v>0</v>
      </c>
      <c r="DH39" s="43">
        <f t="shared" si="351"/>
        <v>0</v>
      </c>
      <c r="DI39" s="43">
        <f t="shared" si="352"/>
        <v>0</v>
      </c>
      <c r="DJ39" s="43">
        <f t="shared" si="353"/>
        <v>0</v>
      </c>
      <c r="DK39" s="43">
        <f t="shared" si="354"/>
        <v>0</v>
      </c>
      <c r="DL39" s="43">
        <f t="shared" si="355"/>
        <v>0</v>
      </c>
      <c r="DM39" s="767"/>
      <c r="DN39" s="43">
        <f t="shared" si="356"/>
        <v>0</v>
      </c>
      <c r="DO39" s="43">
        <f t="shared" si="357"/>
        <v>0</v>
      </c>
      <c r="DP39" s="43">
        <f t="shared" si="358"/>
        <v>0</v>
      </c>
      <c r="DQ39" s="43">
        <f t="shared" si="359"/>
        <v>0</v>
      </c>
      <c r="DR39" s="43">
        <f t="shared" si="360"/>
        <v>0</v>
      </c>
      <c r="DS39" s="43">
        <f t="shared" si="361"/>
        <v>0</v>
      </c>
      <c r="DT39" s="43">
        <f t="shared" si="362"/>
        <v>0</v>
      </c>
      <c r="DU39" s="43">
        <f t="shared" si="363"/>
        <v>0</v>
      </c>
      <c r="DV39" s="43">
        <f t="shared" si="364"/>
        <v>0</v>
      </c>
      <c r="DW39" s="43">
        <f t="shared" si="365"/>
        <v>0</v>
      </c>
      <c r="DX39" s="43">
        <f t="shared" si="366"/>
        <v>0</v>
      </c>
      <c r="DY39" s="43">
        <f t="shared" si="367"/>
        <v>0</v>
      </c>
      <c r="DZ39" s="43">
        <f t="shared" si="368"/>
        <v>0</v>
      </c>
      <c r="EA39" s="43">
        <f t="shared" si="369"/>
        <v>0</v>
      </c>
      <c r="EB39" s="43">
        <f t="shared" si="370"/>
        <v>0</v>
      </c>
      <c r="EC39" s="767"/>
      <c r="ED39" s="43">
        <f t="shared" si="371"/>
        <v>0</v>
      </c>
      <c r="EE39" s="43">
        <f t="shared" si="372"/>
        <v>0</v>
      </c>
      <c r="EF39" s="43">
        <f t="shared" si="373"/>
        <v>0</v>
      </c>
      <c r="EG39" s="43">
        <f t="shared" si="374"/>
        <v>0</v>
      </c>
      <c r="EH39" s="43">
        <f t="shared" si="375"/>
        <v>0</v>
      </c>
      <c r="EI39" s="43">
        <f t="shared" si="376"/>
        <v>0</v>
      </c>
      <c r="EJ39" s="43">
        <f t="shared" si="377"/>
        <v>0</v>
      </c>
      <c r="EK39" s="43">
        <f t="shared" si="378"/>
        <v>0</v>
      </c>
      <c r="EL39" s="43">
        <f t="shared" si="379"/>
        <v>0</v>
      </c>
      <c r="EM39" s="43">
        <f t="shared" si="380"/>
        <v>0</v>
      </c>
      <c r="EN39" s="43">
        <f t="shared" si="381"/>
        <v>0</v>
      </c>
      <c r="EO39" s="43">
        <f t="shared" si="382"/>
        <v>0</v>
      </c>
      <c r="EP39" s="43">
        <f t="shared" si="383"/>
        <v>0</v>
      </c>
      <c r="EQ39" s="43">
        <f t="shared" si="384"/>
        <v>0</v>
      </c>
      <c r="ER39" s="43">
        <f t="shared" si="385"/>
        <v>0</v>
      </c>
      <c r="ES39" s="767"/>
      <c r="ET39" s="43">
        <f t="shared" si="386"/>
        <v>0</v>
      </c>
      <c r="EU39" s="43">
        <f t="shared" si="387"/>
        <v>0</v>
      </c>
      <c r="EV39" s="43">
        <f t="shared" si="388"/>
        <v>0</v>
      </c>
      <c r="EW39" s="43">
        <f t="shared" si="389"/>
        <v>0</v>
      </c>
      <c r="EX39" s="43">
        <f t="shared" si="390"/>
        <v>0</v>
      </c>
      <c r="EY39" s="43">
        <f t="shared" si="391"/>
        <v>0</v>
      </c>
      <c r="EZ39" s="43">
        <f t="shared" si="392"/>
        <v>0</v>
      </c>
      <c r="FA39" s="43">
        <f t="shared" si="393"/>
        <v>0</v>
      </c>
      <c r="FB39" s="43">
        <f t="shared" si="394"/>
        <v>0</v>
      </c>
      <c r="FC39" s="43">
        <f t="shared" si="395"/>
        <v>0</v>
      </c>
      <c r="FD39" s="43">
        <f t="shared" si="396"/>
        <v>0</v>
      </c>
      <c r="FE39" s="43">
        <f t="shared" si="397"/>
        <v>0</v>
      </c>
      <c r="FF39" s="43">
        <f t="shared" si="398"/>
        <v>0</v>
      </c>
      <c r="FG39" s="43">
        <f t="shared" si="399"/>
        <v>0</v>
      </c>
      <c r="FH39" s="43">
        <f t="shared" si="400"/>
        <v>0</v>
      </c>
      <c r="FI39" s="767"/>
      <c r="FJ39" s="43">
        <f t="shared" si="401"/>
        <v>0</v>
      </c>
      <c r="FK39" s="43">
        <f t="shared" si="402"/>
        <v>0</v>
      </c>
      <c r="FL39" s="43">
        <f t="shared" si="403"/>
        <v>0</v>
      </c>
      <c r="FM39" s="43">
        <f t="shared" si="404"/>
        <v>0</v>
      </c>
      <c r="FN39" s="43">
        <f t="shared" si="405"/>
        <v>0</v>
      </c>
      <c r="FO39" s="43">
        <f t="shared" si="406"/>
        <v>0</v>
      </c>
      <c r="FP39" s="43">
        <f t="shared" si="407"/>
        <v>0</v>
      </c>
      <c r="FQ39" s="43">
        <f t="shared" si="408"/>
        <v>0</v>
      </c>
      <c r="FR39" s="43">
        <f t="shared" si="409"/>
        <v>0</v>
      </c>
      <c r="FS39" s="43">
        <f t="shared" si="410"/>
        <v>0</v>
      </c>
      <c r="FT39" s="43">
        <f t="shared" si="411"/>
        <v>0</v>
      </c>
      <c r="FU39" s="43">
        <f t="shared" si="412"/>
        <v>0</v>
      </c>
      <c r="FV39" s="43">
        <f t="shared" si="413"/>
        <v>0</v>
      </c>
      <c r="FW39" s="43">
        <f t="shared" si="414"/>
        <v>0</v>
      </c>
      <c r="FX39" s="43">
        <f t="shared" si="415"/>
        <v>0</v>
      </c>
      <c r="FY39" s="767"/>
      <c r="FZ39" s="43">
        <f t="shared" si="416"/>
        <v>0</v>
      </c>
      <c r="GA39" s="43">
        <f t="shared" si="417"/>
        <v>0</v>
      </c>
      <c r="GB39" s="43">
        <f t="shared" si="418"/>
        <v>0</v>
      </c>
      <c r="GC39" s="43">
        <f t="shared" si="419"/>
        <v>0</v>
      </c>
      <c r="GD39" s="43">
        <f t="shared" si="420"/>
        <v>0</v>
      </c>
      <c r="GE39" s="43">
        <f t="shared" si="421"/>
        <v>0</v>
      </c>
      <c r="GF39" s="43">
        <f t="shared" si="422"/>
        <v>0</v>
      </c>
      <c r="GG39" s="43">
        <f t="shared" si="423"/>
        <v>0</v>
      </c>
      <c r="GH39" s="43">
        <f t="shared" si="424"/>
        <v>0</v>
      </c>
      <c r="GI39" s="43">
        <f t="shared" si="425"/>
        <v>0</v>
      </c>
      <c r="GJ39" s="43">
        <f t="shared" si="426"/>
        <v>0</v>
      </c>
      <c r="GK39" s="43">
        <f t="shared" si="427"/>
        <v>0</v>
      </c>
      <c r="GL39" s="43">
        <f t="shared" si="428"/>
        <v>0</v>
      </c>
      <c r="GM39" s="43">
        <f t="shared" si="429"/>
        <v>0</v>
      </c>
      <c r="GN39" s="43">
        <f t="shared" si="430"/>
        <v>0</v>
      </c>
      <c r="GO39" s="767"/>
      <c r="GP39" s="43">
        <f t="shared" si="431"/>
        <v>0</v>
      </c>
      <c r="GQ39" s="43">
        <f t="shared" si="432"/>
        <v>0</v>
      </c>
      <c r="GR39" s="43">
        <f t="shared" si="433"/>
        <v>0</v>
      </c>
      <c r="GS39" s="43">
        <f t="shared" si="434"/>
        <v>0</v>
      </c>
      <c r="GT39" s="43">
        <f t="shared" si="435"/>
        <v>0</v>
      </c>
      <c r="GU39" s="43">
        <f t="shared" si="436"/>
        <v>0</v>
      </c>
      <c r="GV39" s="43">
        <f t="shared" si="437"/>
        <v>0</v>
      </c>
      <c r="GW39" s="43">
        <f t="shared" si="438"/>
        <v>0</v>
      </c>
      <c r="GX39" s="43">
        <f t="shared" si="439"/>
        <v>0</v>
      </c>
      <c r="GY39" s="43">
        <f t="shared" si="440"/>
        <v>0</v>
      </c>
      <c r="GZ39" s="43">
        <f t="shared" si="441"/>
        <v>0</v>
      </c>
      <c r="HA39" s="43">
        <f t="shared" si="442"/>
        <v>0</v>
      </c>
      <c r="HB39" s="43">
        <f t="shared" si="443"/>
        <v>0</v>
      </c>
      <c r="HC39" s="43">
        <f t="shared" si="444"/>
        <v>0</v>
      </c>
      <c r="HD39" s="43">
        <f t="shared" si="445"/>
        <v>0</v>
      </c>
      <c r="HE39" s="767"/>
      <c r="HF39" s="43">
        <f t="shared" si="446"/>
        <v>0</v>
      </c>
      <c r="HG39" s="43">
        <f t="shared" si="447"/>
        <v>0</v>
      </c>
      <c r="HH39" s="43">
        <f t="shared" si="448"/>
        <v>0</v>
      </c>
      <c r="HI39" s="43">
        <f t="shared" si="449"/>
        <v>0</v>
      </c>
      <c r="HJ39" s="43">
        <f t="shared" si="450"/>
        <v>0</v>
      </c>
      <c r="HK39" s="43">
        <f t="shared" si="451"/>
        <v>0</v>
      </c>
      <c r="HL39" s="43">
        <f t="shared" si="452"/>
        <v>0</v>
      </c>
      <c r="HM39" s="43">
        <f t="shared" si="453"/>
        <v>0</v>
      </c>
      <c r="HN39" s="43">
        <f t="shared" si="454"/>
        <v>0</v>
      </c>
      <c r="HO39" s="43">
        <f t="shared" si="455"/>
        <v>0</v>
      </c>
      <c r="HP39" s="43">
        <f t="shared" si="456"/>
        <v>0</v>
      </c>
      <c r="HQ39" s="43">
        <f t="shared" si="457"/>
        <v>0</v>
      </c>
      <c r="HR39" s="43">
        <f t="shared" si="458"/>
        <v>0</v>
      </c>
      <c r="HS39" s="43">
        <f t="shared" si="459"/>
        <v>0</v>
      </c>
      <c r="HT39" s="43">
        <f t="shared" si="460"/>
        <v>0</v>
      </c>
      <c r="HU39" s="767"/>
      <c r="HV39" s="43">
        <f t="shared" si="461"/>
        <v>0</v>
      </c>
      <c r="HW39" s="43">
        <f t="shared" si="462"/>
        <v>0</v>
      </c>
      <c r="HX39" s="43">
        <f t="shared" si="463"/>
        <v>0</v>
      </c>
      <c r="HY39" s="43">
        <f t="shared" si="464"/>
        <v>0</v>
      </c>
      <c r="HZ39" s="43">
        <f t="shared" si="465"/>
        <v>0</v>
      </c>
      <c r="IA39" s="43">
        <f t="shared" si="466"/>
        <v>0</v>
      </c>
      <c r="IB39" s="43">
        <f t="shared" si="467"/>
        <v>0</v>
      </c>
      <c r="IC39" s="43">
        <f t="shared" si="468"/>
        <v>0</v>
      </c>
      <c r="ID39" s="43">
        <f t="shared" si="469"/>
        <v>0</v>
      </c>
      <c r="IE39" s="43">
        <f t="shared" si="470"/>
        <v>0</v>
      </c>
      <c r="IF39" s="43">
        <f t="shared" si="471"/>
        <v>0</v>
      </c>
      <c r="IG39" s="43">
        <f t="shared" si="472"/>
        <v>0</v>
      </c>
      <c r="IH39" s="43">
        <f t="shared" si="473"/>
        <v>0</v>
      </c>
      <c r="II39" s="43">
        <f t="shared" si="474"/>
        <v>0</v>
      </c>
      <c r="IJ39" s="786">
        <f t="shared" si="475"/>
        <v>0</v>
      </c>
      <c r="IK39" s="794"/>
    </row>
    <row r="40" spans="1:245">
      <c r="A40" s="642">
        <f t="shared" si="476"/>
        <v>10</v>
      </c>
      <c r="B40" s="762" t="str">
        <f t="shared" si="264"/>
        <v>Radio Technician</v>
      </c>
      <c r="C40" s="775"/>
      <c r="D40" s="769"/>
      <c r="E40" s="52" t="str">
        <f t="shared" si="265"/>
        <v>Radio TechnicianContr_Sub</v>
      </c>
      <c r="F40" s="793"/>
      <c r="G40" s="43"/>
      <c r="H40" s="43"/>
      <c r="I40" s="43"/>
      <c r="J40" s="43"/>
      <c r="K40" s="43"/>
      <c r="L40" s="43"/>
      <c r="M40" s="43"/>
      <c r="N40" s="43"/>
      <c r="O40" s="43"/>
      <c r="P40" s="43"/>
      <c r="Q40" s="43"/>
      <c r="R40" s="43"/>
      <c r="S40" s="43"/>
      <c r="T40" s="43"/>
      <c r="U40" s="767"/>
      <c r="V40" s="43">
        <f t="shared" si="266"/>
        <v>0</v>
      </c>
      <c r="W40" s="43">
        <f t="shared" si="267"/>
        <v>0</v>
      </c>
      <c r="X40" s="43">
        <f t="shared" si="268"/>
        <v>0</v>
      </c>
      <c r="Y40" s="43">
        <f t="shared" si="269"/>
        <v>0</v>
      </c>
      <c r="Z40" s="43">
        <f t="shared" si="270"/>
        <v>0</v>
      </c>
      <c r="AA40" s="43">
        <f t="shared" si="271"/>
        <v>0</v>
      </c>
      <c r="AB40" s="43">
        <f t="shared" si="272"/>
        <v>0</v>
      </c>
      <c r="AC40" s="43">
        <f t="shared" si="273"/>
        <v>0</v>
      </c>
      <c r="AD40" s="43">
        <f t="shared" si="274"/>
        <v>0</v>
      </c>
      <c r="AE40" s="43">
        <f t="shared" si="275"/>
        <v>0</v>
      </c>
      <c r="AF40" s="43">
        <f t="shared" si="276"/>
        <v>0</v>
      </c>
      <c r="AG40" s="43">
        <f t="shared" si="277"/>
        <v>0</v>
      </c>
      <c r="AH40" s="43">
        <f t="shared" si="278"/>
        <v>0</v>
      </c>
      <c r="AI40" s="43">
        <f t="shared" si="279"/>
        <v>0</v>
      </c>
      <c r="AJ40" s="43">
        <f t="shared" si="280"/>
        <v>0</v>
      </c>
      <c r="AK40" s="767"/>
      <c r="AL40" s="43">
        <f t="shared" si="281"/>
        <v>0</v>
      </c>
      <c r="AM40" s="43">
        <f t="shared" si="282"/>
        <v>0</v>
      </c>
      <c r="AN40" s="43">
        <f t="shared" si="283"/>
        <v>0</v>
      </c>
      <c r="AO40" s="43">
        <f t="shared" si="284"/>
        <v>0</v>
      </c>
      <c r="AP40" s="43">
        <f t="shared" si="285"/>
        <v>0</v>
      </c>
      <c r="AQ40" s="43">
        <f t="shared" si="286"/>
        <v>0</v>
      </c>
      <c r="AR40" s="43">
        <f t="shared" si="287"/>
        <v>0</v>
      </c>
      <c r="AS40" s="43">
        <f t="shared" si="288"/>
        <v>0</v>
      </c>
      <c r="AT40" s="43">
        <f t="shared" si="289"/>
        <v>0</v>
      </c>
      <c r="AU40" s="43">
        <f t="shared" si="290"/>
        <v>0</v>
      </c>
      <c r="AV40" s="43">
        <f t="shared" si="291"/>
        <v>0</v>
      </c>
      <c r="AW40" s="43">
        <f t="shared" si="292"/>
        <v>0</v>
      </c>
      <c r="AX40" s="43">
        <f t="shared" si="293"/>
        <v>0</v>
      </c>
      <c r="AY40" s="43">
        <f t="shared" si="294"/>
        <v>0</v>
      </c>
      <c r="AZ40" s="43">
        <f t="shared" si="295"/>
        <v>0</v>
      </c>
      <c r="BA40" s="767"/>
      <c r="BB40" s="43">
        <f t="shared" si="296"/>
        <v>0</v>
      </c>
      <c r="BC40" s="43">
        <f t="shared" si="297"/>
        <v>0</v>
      </c>
      <c r="BD40" s="43">
        <f t="shared" si="298"/>
        <v>0</v>
      </c>
      <c r="BE40" s="43">
        <f t="shared" si="299"/>
        <v>0</v>
      </c>
      <c r="BF40" s="43">
        <f t="shared" si="300"/>
        <v>0</v>
      </c>
      <c r="BG40" s="43">
        <f t="shared" si="301"/>
        <v>0</v>
      </c>
      <c r="BH40" s="43">
        <f t="shared" si="302"/>
        <v>0</v>
      </c>
      <c r="BI40" s="43">
        <f t="shared" si="303"/>
        <v>0</v>
      </c>
      <c r="BJ40" s="43">
        <f t="shared" si="304"/>
        <v>0</v>
      </c>
      <c r="BK40" s="43">
        <f t="shared" si="305"/>
        <v>0</v>
      </c>
      <c r="BL40" s="43">
        <f t="shared" si="306"/>
        <v>0</v>
      </c>
      <c r="BM40" s="43">
        <f t="shared" si="307"/>
        <v>0</v>
      </c>
      <c r="BN40" s="43">
        <f t="shared" si="308"/>
        <v>0</v>
      </c>
      <c r="BO40" s="43">
        <f t="shared" si="309"/>
        <v>0</v>
      </c>
      <c r="BP40" s="43">
        <f t="shared" si="310"/>
        <v>0</v>
      </c>
      <c r="BQ40" s="767"/>
      <c r="BR40" s="43">
        <f t="shared" si="311"/>
        <v>0</v>
      </c>
      <c r="BS40" s="43">
        <f t="shared" si="312"/>
        <v>0</v>
      </c>
      <c r="BT40" s="43">
        <f t="shared" si="313"/>
        <v>0</v>
      </c>
      <c r="BU40" s="43">
        <f t="shared" si="314"/>
        <v>0</v>
      </c>
      <c r="BV40" s="43">
        <f t="shared" si="315"/>
        <v>0</v>
      </c>
      <c r="BW40" s="43">
        <f t="shared" si="316"/>
        <v>0</v>
      </c>
      <c r="BX40" s="43">
        <f t="shared" si="317"/>
        <v>0</v>
      </c>
      <c r="BY40" s="43">
        <f t="shared" si="318"/>
        <v>0</v>
      </c>
      <c r="BZ40" s="43">
        <f t="shared" si="319"/>
        <v>0</v>
      </c>
      <c r="CA40" s="43">
        <f t="shared" si="320"/>
        <v>0</v>
      </c>
      <c r="CB40" s="43">
        <f t="shared" si="321"/>
        <v>0</v>
      </c>
      <c r="CC40" s="43">
        <f t="shared" si="322"/>
        <v>0</v>
      </c>
      <c r="CD40" s="43">
        <f t="shared" si="323"/>
        <v>0</v>
      </c>
      <c r="CE40" s="43">
        <f t="shared" si="324"/>
        <v>0</v>
      </c>
      <c r="CF40" s="43">
        <f t="shared" si="325"/>
        <v>0</v>
      </c>
      <c r="CG40" s="767"/>
      <c r="CH40" s="43">
        <f t="shared" si="326"/>
        <v>0</v>
      </c>
      <c r="CI40" s="43">
        <f t="shared" si="327"/>
        <v>0</v>
      </c>
      <c r="CJ40" s="43">
        <f t="shared" si="328"/>
        <v>0</v>
      </c>
      <c r="CK40" s="43">
        <f t="shared" si="329"/>
        <v>0</v>
      </c>
      <c r="CL40" s="43">
        <f t="shared" si="330"/>
        <v>0</v>
      </c>
      <c r="CM40" s="43">
        <f t="shared" si="331"/>
        <v>0</v>
      </c>
      <c r="CN40" s="43">
        <f t="shared" si="332"/>
        <v>0</v>
      </c>
      <c r="CO40" s="43">
        <f t="shared" si="333"/>
        <v>0</v>
      </c>
      <c r="CP40" s="43">
        <f t="shared" si="334"/>
        <v>0</v>
      </c>
      <c r="CQ40" s="43">
        <f t="shared" si="335"/>
        <v>0</v>
      </c>
      <c r="CR40" s="43">
        <f t="shared" si="336"/>
        <v>0</v>
      </c>
      <c r="CS40" s="43">
        <f t="shared" si="337"/>
        <v>0</v>
      </c>
      <c r="CT40" s="43">
        <f t="shared" si="338"/>
        <v>0</v>
      </c>
      <c r="CU40" s="43">
        <f t="shared" si="339"/>
        <v>0</v>
      </c>
      <c r="CV40" s="43">
        <f t="shared" si="340"/>
        <v>0</v>
      </c>
      <c r="CW40" s="767"/>
      <c r="CX40" s="43">
        <f t="shared" si="341"/>
        <v>0</v>
      </c>
      <c r="CY40" s="43">
        <f t="shared" si="342"/>
        <v>0</v>
      </c>
      <c r="CZ40" s="43">
        <f t="shared" si="343"/>
        <v>0</v>
      </c>
      <c r="DA40" s="43">
        <f t="shared" si="344"/>
        <v>0</v>
      </c>
      <c r="DB40" s="43">
        <f t="shared" si="345"/>
        <v>0</v>
      </c>
      <c r="DC40" s="43">
        <f t="shared" si="346"/>
        <v>0</v>
      </c>
      <c r="DD40" s="43">
        <f t="shared" si="347"/>
        <v>0</v>
      </c>
      <c r="DE40" s="43">
        <f t="shared" si="348"/>
        <v>0</v>
      </c>
      <c r="DF40" s="43">
        <f t="shared" si="349"/>
        <v>0</v>
      </c>
      <c r="DG40" s="43">
        <f t="shared" si="350"/>
        <v>0</v>
      </c>
      <c r="DH40" s="43">
        <f t="shared" si="351"/>
        <v>0</v>
      </c>
      <c r="DI40" s="43">
        <f t="shared" si="352"/>
        <v>0</v>
      </c>
      <c r="DJ40" s="43">
        <f t="shared" si="353"/>
        <v>0</v>
      </c>
      <c r="DK40" s="43">
        <f t="shared" si="354"/>
        <v>0</v>
      </c>
      <c r="DL40" s="43">
        <f t="shared" si="355"/>
        <v>0</v>
      </c>
      <c r="DM40" s="767"/>
      <c r="DN40" s="43">
        <f t="shared" si="356"/>
        <v>0</v>
      </c>
      <c r="DO40" s="43">
        <f t="shared" si="357"/>
        <v>0</v>
      </c>
      <c r="DP40" s="43">
        <f t="shared" si="358"/>
        <v>0</v>
      </c>
      <c r="DQ40" s="43">
        <f t="shared" si="359"/>
        <v>0</v>
      </c>
      <c r="DR40" s="43">
        <f t="shared" si="360"/>
        <v>0</v>
      </c>
      <c r="DS40" s="43">
        <f t="shared" si="361"/>
        <v>0</v>
      </c>
      <c r="DT40" s="43">
        <f t="shared" si="362"/>
        <v>0</v>
      </c>
      <c r="DU40" s="43">
        <f t="shared" si="363"/>
        <v>0</v>
      </c>
      <c r="DV40" s="43">
        <f t="shared" si="364"/>
        <v>0</v>
      </c>
      <c r="DW40" s="43">
        <f t="shared" si="365"/>
        <v>0</v>
      </c>
      <c r="DX40" s="43">
        <f t="shared" si="366"/>
        <v>0</v>
      </c>
      <c r="DY40" s="43">
        <f t="shared" si="367"/>
        <v>0</v>
      </c>
      <c r="DZ40" s="43">
        <f t="shared" si="368"/>
        <v>0</v>
      </c>
      <c r="EA40" s="43">
        <f t="shared" si="369"/>
        <v>0</v>
      </c>
      <c r="EB40" s="43">
        <f t="shared" si="370"/>
        <v>0</v>
      </c>
      <c r="EC40" s="767"/>
      <c r="ED40" s="43">
        <f t="shared" si="371"/>
        <v>0</v>
      </c>
      <c r="EE40" s="43">
        <f t="shared" si="372"/>
        <v>0</v>
      </c>
      <c r="EF40" s="43">
        <f t="shared" si="373"/>
        <v>0</v>
      </c>
      <c r="EG40" s="43">
        <f t="shared" si="374"/>
        <v>0</v>
      </c>
      <c r="EH40" s="43">
        <f t="shared" si="375"/>
        <v>0</v>
      </c>
      <c r="EI40" s="43">
        <f t="shared" si="376"/>
        <v>0</v>
      </c>
      <c r="EJ40" s="43">
        <f t="shared" si="377"/>
        <v>0</v>
      </c>
      <c r="EK40" s="43">
        <f t="shared" si="378"/>
        <v>0</v>
      </c>
      <c r="EL40" s="43">
        <f t="shared" si="379"/>
        <v>0</v>
      </c>
      <c r="EM40" s="43">
        <f t="shared" si="380"/>
        <v>0</v>
      </c>
      <c r="EN40" s="43">
        <f t="shared" si="381"/>
        <v>0</v>
      </c>
      <c r="EO40" s="43">
        <f t="shared" si="382"/>
        <v>0</v>
      </c>
      <c r="EP40" s="43">
        <f t="shared" si="383"/>
        <v>0</v>
      </c>
      <c r="EQ40" s="43">
        <f t="shared" si="384"/>
        <v>0</v>
      </c>
      <c r="ER40" s="43">
        <f t="shared" si="385"/>
        <v>0</v>
      </c>
      <c r="ES40" s="767"/>
      <c r="ET40" s="43">
        <f t="shared" si="386"/>
        <v>0</v>
      </c>
      <c r="EU40" s="43">
        <f t="shared" si="387"/>
        <v>0</v>
      </c>
      <c r="EV40" s="43">
        <f t="shared" si="388"/>
        <v>0</v>
      </c>
      <c r="EW40" s="43">
        <f t="shared" si="389"/>
        <v>0</v>
      </c>
      <c r="EX40" s="43">
        <f t="shared" si="390"/>
        <v>0</v>
      </c>
      <c r="EY40" s="43">
        <f t="shared" si="391"/>
        <v>0</v>
      </c>
      <c r="EZ40" s="43">
        <f t="shared" si="392"/>
        <v>0</v>
      </c>
      <c r="FA40" s="43">
        <f t="shared" si="393"/>
        <v>0</v>
      </c>
      <c r="FB40" s="43">
        <f t="shared" si="394"/>
        <v>0</v>
      </c>
      <c r="FC40" s="43">
        <f t="shared" si="395"/>
        <v>0</v>
      </c>
      <c r="FD40" s="43">
        <f t="shared" si="396"/>
        <v>0</v>
      </c>
      <c r="FE40" s="43">
        <f t="shared" si="397"/>
        <v>0</v>
      </c>
      <c r="FF40" s="43">
        <f t="shared" si="398"/>
        <v>0</v>
      </c>
      <c r="FG40" s="43">
        <f t="shared" si="399"/>
        <v>0</v>
      </c>
      <c r="FH40" s="43">
        <f t="shared" si="400"/>
        <v>0</v>
      </c>
      <c r="FI40" s="767"/>
      <c r="FJ40" s="43">
        <f t="shared" si="401"/>
        <v>0</v>
      </c>
      <c r="FK40" s="43">
        <f t="shared" si="402"/>
        <v>0</v>
      </c>
      <c r="FL40" s="43">
        <f t="shared" si="403"/>
        <v>0</v>
      </c>
      <c r="FM40" s="43">
        <f t="shared" si="404"/>
        <v>0</v>
      </c>
      <c r="FN40" s="43">
        <f t="shared" si="405"/>
        <v>0</v>
      </c>
      <c r="FO40" s="43">
        <f t="shared" si="406"/>
        <v>0</v>
      </c>
      <c r="FP40" s="43">
        <f t="shared" si="407"/>
        <v>0</v>
      </c>
      <c r="FQ40" s="43">
        <f t="shared" si="408"/>
        <v>0</v>
      </c>
      <c r="FR40" s="43">
        <f t="shared" si="409"/>
        <v>0</v>
      </c>
      <c r="FS40" s="43">
        <f t="shared" si="410"/>
        <v>0</v>
      </c>
      <c r="FT40" s="43">
        <f t="shared" si="411"/>
        <v>0</v>
      </c>
      <c r="FU40" s="43">
        <f t="shared" si="412"/>
        <v>0</v>
      </c>
      <c r="FV40" s="43">
        <f t="shared" si="413"/>
        <v>0</v>
      </c>
      <c r="FW40" s="43">
        <f t="shared" si="414"/>
        <v>0</v>
      </c>
      <c r="FX40" s="43">
        <f t="shared" si="415"/>
        <v>0</v>
      </c>
      <c r="FY40" s="767"/>
      <c r="FZ40" s="43">
        <f t="shared" si="416"/>
        <v>0</v>
      </c>
      <c r="GA40" s="43">
        <f t="shared" si="417"/>
        <v>0</v>
      </c>
      <c r="GB40" s="43">
        <f t="shared" si="418"/>
        <v>0</v>
      </c>
      <c r="GC40" s="43">
        <f t="shared" si="419"/>
        <v>0</v>
      </c>
      <c r="GD40" s="43">
        <f t="shared" si="420"/>
        <v>0</v>
      </c>
      <c r="GE40" s="43">
        <f t="shared" si="421"/>
        <v>0</v>
      </c>
      <c r="GF40" s="43">
        <f t="shared" si="422"/>
        <v>0</v>
      </c>
      <c r="GG40" s="43">
        <f t="shared" si="423"/>
        <v>0</v>
      </c>
      <c r="GH40" s="43">
        <f t="shared" si="424"/>
        <v>0</v>
      </c>
      <c r="GI40" s="43">
        <f t="shared" si="425"/>
        <v>0</v>
      </c>
      <c r="GJ40" s="43">
        <f t="shared" si="426"/>
        <v>0</v>
      </c>
      <c r="GK40" s="43">
        <f t="shared" si="427"/>
        <v>0</v>
      </c>
      <c r="GL40" s="43">
        <f t="shared" si="428"/>
        <v>0</v>
      </c>
      <c r="GM40" s="43">
        <f t="shared" si="429"/>
        <v>0</v>
      </c>
      <c r="GN40" s="43">
        <f t="shared" si="430"/>
        <v>0</v>
      </c>
      <c r="GO40" s="767"/>
      <c r="GP40" s="43">
        <f t="shared" si="431"/>
        <v>0</v>
      </c>
      <c r="GQ40" s="43">
        <f t="shared" si="432"/>
        <v>0</v>
      </c>
      <c r="GR40" s="43">
        <f t="shared" si="433"/>
        <v>0</v>
      </c>
      <c r="GS40" s="43">
        <f t="shared" si="434"/>
        <v>0</v>
      </c>
      <c r="GT40" s="43">
        <f t="shared" si="435"/>
        <v>0</v>
      </c>
      <c r="GU40" s="43">
        <f t="shared" si="436"/>
        <v>0</v>
      </c>
      <c r="GV40" s="43">
        <f t="shared" si="437"/>
        <v>0</v>
      </c>
      <c r="GW40" s="43">
        <f t="shared" si="438"/>
        <v>0</v>
      </c>
      <c r="GX40" s="43">
        <f t="shared" si="439"/>
        <v>0</v>
      </c>
      <c r="GY40" s="43">
        <f t="shared" si="440"/>
        <v>0</v>
      </c>
      <c r="GZ40" s="43">
        <f t="shared" si="441"/>
        <v>0</v>
      </c>
      <c r="HA40" s="43">
        <f t="shared" si="442"/>
        <v>0</v>
      </c>
      <c r="HB40" s="43">
        <f t="shared" si="443"/>
        <v>0</v>
      </c>
      <c r="HC40" s="43">
        <f t="shared" si="444"/>
        <v>0</v>
      </c>
      <c r="HD40" s="43">
        <f t="shared" si="445"/>
        <v>0</v>
      </c>
      <c r="HE40" s="767"/>
      <c r="HF40" s="43">
        <f t="shared" si="446"/>
        <v>0</v>
      </c>
      <c r="HG40" s="43">
        <f t="shared" si="447"/>
        <v>0</v>
      </c>
      <c r="HH40" s="43">
        <f t="shared" si="448"/>
        <v>0</v>
      </c>
      <c r="HI40" s="43">
        <f t="shared" si="449"/>
        <v>0</v>
      </c>
      <c r="HJ40" s="43">
        <f t="shared" si="450"/>
        <v>0</v>
      </c>
      <c r="HK40" s="43">
        <f t="shared" si="451"/>
        <v>0</v>
      </c>
      <c r="HL40" s="43">
        <f t="shared" si="452"/>
        <v>0</v>
      </c>
      <c r="HM40" s="43">
        <f t="shared" si="453"/>
        <v>0</v>
      </c>
      <c r="HN40" s="43">
        <f t="shared" si="454"/>
        <v>0</v>
      </c>
      <c r="HO40" s="43">
        <f t="shared" si="455"/>
        <v>0</v>
      </c>
      <c r="HP40" s="43">
        <f t="shared" si="456"/>
        <v>0</v>
      </c>
      <c r="HQ40" s="43">
        <f t="shared" si="457"/>
        <v>0</v>
      </c>
      <c r="HR40" s="43">
        <f t="shared" si="458"/>
        <v>0</v>
      </c>
      <c r="HS40" s="43">
        <f t="shared" si="459"/>
        <v>0</v>
      </c>
      <c r="HT40" s="43">
        <f t="shared" si="460"/>
        <v>0</v>
      </c>
      <c r="HU40" s="767"/>
      <c r="HV40" s="43">
        <f t="shared" si="461"/>
        <v>0</v>
      </c>
      <c r="HW40" s="43">
        <f t="shared" si="462"/>
        <v>0</v>
      </c>
      <c r="HX40" s="43">
        <f t="shared" si="463"/>
        <v>0</v>
      </c>
      <c r="HY40" s="43">
        <f t="shared" si="464"/>
        <v>0</v>
      </c>
      <c r="HZ40" s="43">
        <f t="shared" si="465"/>
        <v>0</v>
      </c>
      <c r="IA40" s="43">
        <f t="shared" si="466"/>
        <v>0</v>
      </c>
      <c r="IB40" s="43">
        <f t="shared" si="467"/>
        <v>0</v>
      </c>
      <c r="IC40" s="43">
        <f t="shared" si="468"/>
        <v>0</v>
      </c>
      <c r="ID40" s="43">
        <f t="shared" si="469"/>
        <v>0</v>
      </c>
      <c r="IE40" s="43">
        <f t="shared" si="470"/>
        <v>0</v>
      </c>
      <c r="IF40" s="43">
        <f t="shared" si="471"/>
        <v>0</v>
      </c>
      <c r="IG40" s="43">
        <f t="shared" si="472"/>
        <v>0</v>
      </c>
      <c r="IH40" s="43">
        <f t="shared" si="473"/>
        <v>0</v>
      </c>
      <c r="II40" s="43">
        <f t="shared" si="474"/>
        <v>0</v>
      </c>
      <c r="IJ40" s="786">
        <f t="shared" si="475"/>
        <v>0</v>
      </c>
      <c r="IK40" s="794"/>
    </row>
    <row r="41" spans="1:245">
      <c r="A41" s="642">
        <f t="shared" si="476"/>
        <v>11</v>
      </c>
      <c r="B41" s="762" t="str">
        <f t="shared" si="264"/>
        <v>Network Administrator</v>
      </c>
      <c r="C41" s="775"/>
      <c r="D41" s="769"/>
      <c r="E41" s="52" t="str">
        <f t="shared" si="265"/>
        <v>Network AdministratorContr_Sub</v>
      </c>
      <c r="F41" s="793"/>
      <c r="G41" s="43"/>
      <c r="H41" s="43"/>
      <c r="I41" s="43"/>
      <c r="J41" s="43"/>
      <c r="K41" s="43"/>
      <c r="L41" s="43"/>
      <c r="M41" s="43"/>
      <c r="N41" s="43"/>
      <c r="O41" s="43"/>
      <c r="P41" s="43"/>
      <c r="Q41" s="43"/>
      <c r="R41" s="43"/>
      <c r="S41" s="43"/>
      <c r="T41" s="43"/>
      <c r="U41" s="767"/>
      <c r="V41" s="43">
        <f t="shared" si="266"/>
        <v>0</v>
      </c>
      <c r="W41" s="43">
        <f t="shared" si="267"/>
        <v>0</v>
      </c>
      <c r="X41" s="43">
        <f t="shared" si="268"/>
        <v>0</v>
      </c>
      <c r="Y41" s="43">
        <f t="shared" si="269"/>
        <v>0</v>
      </c>
      <c r="Z41" s="43">
        <f t="shared" si="270"/>
        <v>0</v>
      </c>
      <c r="AA41" s="43">
        <f t="shared" si="271"/>
        <v>0</v>
      </c>
      <c r="AB41" s="43">
        <f t="shared" si="272"/>
        <v>0</v>
      </c>
      <c r="AC41" s="43">
        <f t="shared" si="273"/>
        <v>0</v>
      </c>
      <c r="AD41" s="43">
        <f t="shared" si="274"/>
        <v>0</v>
      </c>
      <c r="AE41" s="43">
        <f t="shared" si="275"/>
        <v>0</v>
      </c>
      <c r="AF41" s="43">
        <f t="shared" si="276"/>
        <v>0</v>
      </c>
      <c r="AG41" s="43">
        <f t="shared" si="277"/>
        <v>0</v>
      </c>
      <c r="AH41" s="43">
        <f t="shared" si="278"/>
        <v>0</v>
      </c>
      <c r="AI41" s="43">
        <f t="shared" si="279"/>
        <v>0</v>
      </c>
      <c r="AJ41" s="43">
        <f t="shared" si="280"/>
        <v>0</v>
      </c>
      <c r="AK41" s="767"/>
      <c r="AL41" s="43">
        <f t="shared" si="281"/>
        <v>0</v>
      </c>
      <c r="AM41" s="43">
        <f t="shared" si="282"/>
        <v>0</v>
      </c>
      <c r="AN41" s="43">
        <f t="shared" si="283"/>
        <v>0</v>
      </c>
      <c r="AO41" s="43">
        <f t="shared" si="284"/>
        <v>0</v>
      </c>
      <c r="AP41" s="43">
        <f t="shared" si="285"/>
        <v>0</v>
      </c>
      <c r="AQ41" s="43">
        <f t="shared" si="286"/>
        <v>0</v>
      </c>
      <c r="AR41" s="43">
        <f t="shared" si="287"/>
        <v>0</v>
      </c>
      <c r="AS41" s="43">
        <f t="shared" si="288"/>
        <v>0</v>
      </c>
      <c r="AT41" s="43">
        <f t="shared" si="289"/>
        <v>0</v>
      </c>
      <c r="AU41" s="43">
        <f t="shared" si="290"/>
        <v>0</v>
      </c>
      <c r="AV41" s="43">
        <f t="shared" si="291"/>
        <v>0</v>
      </c>
      <c r="AW41" s="43">
        <f t="shared" si="292"/>
        <v>0</v>
      </c>
      <c r="AX41" s="43">
        <f t="shared" si="293"/>
        <v>0</v>
      </c>
      <c r="AY41" s="43">
        <f t="shared" si="294"/>
        <v>0</v>
      </c>
      <c r="AZ41" s="43">
        <f t="shared" si="295"/>
        <v>0</v>
      </c>
      <c r="BA41" s="767"/>
      <c r="BB41" s="43">
        <f t="shared" si="296"/>
        <v>0</v>
      </c>
      <c r="BC41" s="43">
        <f t="shared" si="297"/>
        <v>0</v>
      </c>
      <c r="BD41" s="43">
        <f t="shared" si="298"/>
        <v>0</v>
      </c>
      <c r="BE41" s="43">
        <f t="shared" si="299"/>
        <v>0</v>
      </c>
      <c r="BF41" s="43">
        <f t="shared" si="300"/>
        <v>0</v>
      </c>
      <c r="BG41" s="43">
        <f t="shared" si="301"/>
        <v>0</v>
      </c>
      <c r="BH41" s="43">
        <f t="shared" si="302"/>
        <v>0</v>
      </c>
      <c r="BI41" s="43">
        <f t="shared" si="303"/>
        <v>0</v>
      </c>
      <c r="BJ41" s="43">
        <f t="shared" si="304"/>
        <v>0</v>
      </c>
      <c r="BK41" s="43">
        <f t="shared" si="305"/>
        <v>0</v>
      </c>
      <c r="BL41" s="43">
        <f t="shared" si="306"/>
        <v>0</v>
      </c>
      <c r="BM41" s="43">
        <f t="shared" si="307"/>
        <v>0</v>
      </c>
      <c r="BN41" s="43">
        <f t="shared" si="308"/>
        <v>0</v>
      </c>
      <c r="BO41" s="43">
        <f t="shared" si="309"/>
        <v>0</v>
      </c>
      <c r="BP41" s="43">
        <f t="shared" si="310"/>
        <v>0</v>
      </c>
      <c r="BQ41" s="767"/>
      <c r="BR41" s="43">
        <f t="shared" si="311"/>
        <v>0</v>
      </c>
      <c r="BS41" s="43">
        <f t="shared" si="312"/>
        <v>0</v>
      </c>
      <c r="BT41" s="43">
        <f t="shared" si="313"/>
        <v>0</v>
      </c>
      <c r="BU41" s="43">
        <f t="shared" si="314"/>
        <v>0</v>
      </c>
      <c r="BV41" s="43">
        <f t="shared" si="315"/>
        <v>0</v>
      </c>
      <c r="BW41" s="43">
        <f t="shared" si="316"/>
        <v>0</v>
      </c>
      <c r="BX41" s="43">
        <f t="shared" si="317"/>
        <v>0</v>
      </c>
      <c r="BY41" s="43">
        <f t="shared" si="318"/>
        <v>0</v>
      </c>
      <c r="BZ41" s="43">
        <f t="shared" si="319"/>
        <v>0</v>
      </c>
      <c r="CA41" s="43">
        <f t="shared" si="320"/>
        <v>0</v>
      </c>
      <c r="CB41" s="43">
        <f t="shared" si="321"/>
        <v>0</v>
      </c>
      <c r="CC41" s="43">
        <f t="shared" si="322"/>
        <v>0</v>
      </c>
      <c r="CD41" s="43">
        <f t="shared" si="323"/>
        <v>0</v>
      </c>
      <c r="CE41" s="43">
        <f t="shared" si="324"/>
        <v>0</v>
      </c>
      <c r="CF41" s="43">
        <f t="shared" si="325"/>
        <v>0</v>
      </c>
      <c r="CG41" s="767"/>
      <c r="CH41" s="43">
        <f t="shared" si="326"/>
        <v>0</v>
      </c>
      <c r="CI41" s="43">
        <f t="shared" si="327"/>
        <v>0</v>
      </c>
      <c r="CJ41" s="43">
        <f t="shared" si="328"/>
        <v>0</v>
      </c>
      <c r="CK41" s="43">
        <f t="shared" si="329"/>
        <v>0</v>
      </c>
      <c r="CL41" s="43">
        <f t="shared" si="330"/>
        <v>0</v>
      </c>
      <c r="CM41" s="43">
        <f t="shared" si="331"/>
        <v>0</v>
      </c>
      <c r="CN41" s="43">
        <f t="shared" si="332"/>
        <v>0</v>
      </c>
      <c r="CO41" s="43">
        <f t="shared" si="333"/>
        <v>0</v>
      </c>
      <c r="CP41" s="43">
        <f t="shared" si="334"/>
        <v>0</v>
      </c>
      <c r="CQ41" s="43">
        <f t="shared" si="335"/>
        <v>0</v>
      </c>
      <c r="CR41" s="43">
        <f t="shared" si="336"/>
        <v>0</v>
      </c>
      <c r="CS41" s="43">
        <f t="shared" si="337"/>
        <v>0</v>
      </c>
      <c r="CT41" s="43">
        <f t="shared" si="338"/>
        <v>0</v>
      </c>
      <c r="CU41" s="43">
        <f t="shared" si="339"/>
        <v>0</v>
      </c>
      <c r="CV41" s="43">
        <f t="shared" si="340"/>
        <v>0</v>
      </c>
      <c r="CW41" s="767"/>
      <c r="CX41" s="43">
        <f t="shared" si="341"/>
        <v>0</v>
      </c>
      <c r="CY41" s="43">
        <f t="shared" si="342"/>
        <v>0</v>
      </c>
      <c r="CZ41" s="43">
        <f t="shared" si="343"/>
        <v>0</v>
      </c>
      <c r="DA41" s="43">
        <f t="shared" si="344"/>
        <v>0</v>
      </c>
      <c r="DB41" s="43">
        <f t="shared" si="345"/>
        <v>0</v>
      </c>
      <c r="DC41" s="43">
        <f t="shared" si="346"/>
        <v>0</v>
      </c>
      <c r="DD41" s="43">
        <f t="shared" si="347"/>
        <v>0</v>
      </c>
      <c r="DE41" s="43">
        <f t="shared" si="348"/>
        <v>0</v>
      </c>
      <c r="DF41" s="43">
        <f t="shared" si="349"/>
        <v>0</v>
      </c>
      <c r="DG41" s="43">
        <f t="shared" si="350"/>
        <v>0</v>
      </c>
      <c r="DH41" s="43">
        <f t="shared" si="351"/>
        <v>0</v>
      </c>
      <c r="DI41" s="43">
        <f t="shared" si="352"/>
        <v>0</v>
      </c>
      <c r="DJ41" s="43">
        <f t="shared" si="353"/>
        <v>0</v>
      </c>
      <c r="DK41" s="43">
        <f t="shared" si="354"/>
        <v>0</v>
      </c>
      <c r="DL41" s="43">
        <f t="shared" si="355"/>
        <v>0</v>
      </c>
      <c r="DM41" s="767"/>
      <c r="DN41" s="43">
        <f t="shared" si="356"/>
        <v>0</v>
      </c>
      <c r="DO41" s="43">
        <f t="shared" si="357"/>
        <v>0</v>
      </c>
      <c r="DP41" s="43">
        <f t="shared" si="358"/>
        <v>0</v>
      </c>
      <c r="DQ41" s="43">
        <f t="shared" si="359"/>
        <v>0</v>
      </c>
      <c r="DR41" s="43">
        <f t="shared" si="360"/>
        <v>0</v>
      </c>
      <c r="DS41" s="43">
        <f t="shared" si="361"/>
        <v>0</v>
      </c>
      <c r="DT41" s="43">
        <f t="shared" si="362"/>
        <v>0</v>
      </c>
      <c r="DU41" s="43">
        <f t="shared" si="363"/>
        <v>0</v>
      </c>
      <c r="DV41" s="43">
        <f t="shared" si="364"/>
        <v>0</v>
      </c>
      <c r="DW41" s="43">
        <f t="shared" si="365"/>
        <v>0</v>
      </c>
      <c r="DX41" s="43">
        <f t="shared" si="366"/>
        <v>0</v>
      </c>
      <c r="DY41" s="43">
        <f t="shared" si="367"/>
        <v>0</v>
      </c>
      <c r="DZ41" s="43">
        <f t="shared" si="368"/>
        <v>0</v>
      </c>
      <c r="EA41" s="43">
        <f t="shared" si="369"/>
        <v>0</v>
      </c>
      <c r="EB41" s="43">
        <f t="shared" si="370"/>
        <v>0</v>
      </c>
      <c r="EC41" s="767"/>
      <c r="ED41" s="43">
        <f t="shared" si="371"/>
        <v>0</v>
      </c>
      <c r="EE41" s="43">
        <f t="shared" si="372"/>
        <v>0</v>
      </c>
      <c r="EF41" s="43">
        <f t="shared" si="373"/>
        <v>0</v>
      </c>
      <c r="EG41" s="43">
        <f t="shared" si="374"/>
        <v>0</v>
      </c>
      <c r="EH41" s="43">
        <f t="shared" si="375"/>
        <v>0</v>
      </c>
      <c r="EI41" s="43">
        <f t="shared" si="376"/>
        <v>0</v>
      </c>
      <c r="EJ41" s="43">
        <f t="shared" si="377"/>
        <v>0</v>
      </c>
      <c r="EK41" s="43">
        <f t="shared" si="378"/>
        <v>0</v>
      </c>
      <c r="EL41" s="43">
        <f t="shared" si="379"/>
        <v>0</v>
      </c>
      <c r="EM41" s="43">
        <f t="shared" si="380"/>
        <v>0</v>
      </c>
      <c r="EN41" s="43">
        <f t="shared" si="381"/>
        <v>0</v>
      </c>
      <c r="EO41" s="43">
        <f t="shared" si="382"/>
        <v>0</v>
      </c>
      <c r="EP41" s="43">
        <f t="shared" si="383"/>
        <v>0</v>
      </c>
      <c r="EQ41" s="43">
        <f t="shared" si="384"/>
        <v>0</v>
      </c>
      <c r="ER41" s="43">
        <f t="shared" si="385"/>
        <v>0</v>
      </c>
      <c r="ES41" s="767"/>
      <c r="ET41" s="43">
        <f t="shared" si="386"/>
        <v>0</v>
      </c>
      <c r="EU41" s="43">
        <f t="shared" si="387"/>
        <v>0</v>
      </c>
      <c r="EV41" s="43">
        <f t="shared" si="388"/>
        <v>0</v>
      </c>
      <c r="EW41" s="43">
        <f t="shared" si="389"/>
        <v>0</v>
      </c>
      <c r="EX41" s="43">
        <f t="shared" si="390"/>
        <v>0</v>
      </c>
      <c r="EY41" s="43">
        <f t="shared" si="391"/>
        <v>0</v>
      </c>
      <c r="EZ41" s="43">
        <f t="shared" si="392"/>
        <v>0</v>
      </c>
      <c r="FA41" s="43">
        <f t="shared" si="393"/>
        <v>0</v>
      </c>
      <c r="FB41" s="43">
        <f t="shared" si="394"/>
        <v>0</v>
      </c>
      <c r="FC41" s="43">
        <f t="shared" si="395"/>
        <v>0</v>
      </c>
      <c r="FD41" s="43">
        <f t="shared" si="396"/>
        <v>0</v>
      </c>
      <c r="FE41" s="43">
        <f t="shared" si="397"/>
        <v>0</v>
      </c>
      <c r="FF41" s="43">
        <f t="shared" si="398"/>
        <v>0</v>
      </c>
      <c r="FG41" s="43">
        <f t="shared" si="399"/>
        <v>0</v>
      </c>
      <c r="FH41" s="43">
        <f t="shared" si="400"/>
        <v>0</v>
      </c>
      <c r="FI41" s="767"/>
      <c r="FJ41" s="43">
        <f t="shared" si="401"/>
        <v>0</v>
      </c>
      <c r="FK41" s="43">
        <f t="shared" si="402"/>
        <v>0</v>
      </c>
      <c r="FL41" s="43">
        <f t="shared" si="403"/>
        <v>0</v>
      </c>
      <c r="FM41" s="43">
        <f t="shared" si="404"/>
        <v>0</v>
      </c>
      <c r="FN41" s="43">
        <f t="shared" si="405"/>
        <v>0</v>
      </c>
      <c r="FO41" s="43">
        <f t="shared" si="406"/>
        <v>0</v>
      </c>
      <c r="FP41" s="43">
        <f t="shared" si="407"/>
        <v>0</v>
      </c>
      <c r="FQ41" s="43">
        <f t="shared" si="408"/>
        <v>0</v>
      </c>
      <c r="FR41" s="43">
        <f t="shared" si="409"/>
        <v>0</v>
      </c>
      <c r="FS41" s="43">
        <f t="shared" si="410"/>
        <v>0</v>
      </c>
      <c r="FT41" s="43">
        <f t="shared" si="411"/>
        <v>0</v>
      </c>
      <c r="FU41" s="43">
        <f t="shared" si="412"/>
        <v>0</v>
      </c>
      <c r="FV41" s="43">
        <f t="shared" si="413"/>
        <v>0</v>
      </c>
      <c r="FW41" s="43">
        <f t="shared" si="414"/>
        <v>0</v>
      </c>
      <c r="FX41" s="43">
        <f t="shared" si="415"/>
        <v>0</v>
      </c>
      <c r="FY41" s="767"/>
      <c r="FZ41" s="43">
        <f t="shared" si="416"/>
        <v>0</v>
      </c>
      <c r="GA41" s="43">
        <f t="shared" si="417"/>
        <v>0</v>
      </c>
      <c r="GB41" s="43">
        <f t="shared" si="418"/>
        <v>0</v>
      </c>
      <c r="GC41" s="43">
        <f t="shared" si="419"/>
        <v>0</v>
      </c>
      <c r="GD41" s="43">
        <f t="shared" si="420"/>
        <v>0</v>
      </c>
      <c r="GE41" s="43">
        <f t="shared" si="421"/>
        <v>0</v>
      </c>
      <c r="GF41" s="43">
        <f t="shared" si="422"/>
        <v>0</v>
      </c>
      <c r="GG41" s="43">
        <f t="shared" si="423"/>
        <v>0</v>
      </c>
      <c r="GH41" s="43">
        <f t="shared" si="424"/>
        <v>0</v>
      </c>
      <c r="GI41" s="43">
        <f t="shared" si="425"/>
        <v>0</v>
      </c>
      <c r="GJ41" s="43">
        <f t="shared" si="426"/>
        <v>0</v>
      </c>
      <c r="GK41" s="43">
        <f t="shared" si="427"/>
        <v>0</v>
      </c>
      <c r="GL41" s="43">
        <f t="shared" si="428"/>
        <v>0</v>
      </c>
      <c r="GM41" s="43">
        <f t="shared" si="429"/>
        <v>0</v>
      </c>
      <c r="GN41" s="43">
        <f t="shared" si="430"/>
        <v>0</v>
      </c>
      <c r="GO41" s="767"/>
      <c r="GP41" s="43">
        <f t="shared" si="431"/>
        <v>0</v>
      </c>
      <c r="GQ41" s="43">
        <f t="shared" si="432"/>
        <v>0</v>
      </c>
      <c r="GR41" s="43">
        <f t="shared" si="433"/>
        <v>0</v>
      </c>
      <c r="GS41" s="43">
        <f t="shared" si="434"/>
        <v>0</v>
      </c>
      <c r="GT41" s="43">
        <f t="shared" si="435"/>
        <v>0</v>
      </c>
      <c r="GU41" s="43">
        <f t="shared" si="436"/>
        <v>0</v>
      </c>
      <c r="GV41" s="43">
        <f t="shared" si="437"/>
        <v>0</v>
      </c>
      <c r="GW41" s="43">
        <f t="shared" si="438"/>
        <v>0</v>
      </c>
      <c r="GX41" s="43">
        <f t="shared" si="439"/>
        <v>0</v>
      </c>
      <c r="GY41" s="43">
        <f t="shared" si="440"/>
        <v>0</v>
      </c>
      <c r="GZ41" s="43">
        <f t="shared" si="441"/>
        <v>0</v>
      </c>
      <c r="HA41" s="43">
        <f t="shared" si="442"/>
        <v>0</v>
      </c>
      <c r="HB41" s="43">
        <f t="shared" si="443"/>
        <v>0</v>
      </c>
      <c r="HC41" s="43">
        <f t="shared" si="444"/>
        <v>0</v>
      </c>
      <c r="HD41" s="43">
        <f t="shared" si="445"/>
        <v>0</v>
      </c>
      <c r="HE41" s="767"/>
      <c r="HF41" s="43">
        <f t="shared" si="446"/>
        <v>0</v>
      </c>
      <c r="HG41" s="43">
        <f t="shared" si="447"/>
        <v>0</v>
      </c>
      <c r="HH41" s="43">
        <f t="shared" si="448"/>
        <v>0</v>
      </c>
      <c r="HI41" s="43">
        <f t="shared" si="449"/>
        <v>0</v>
      </c>
      <c r="HJ41" s="43">
        <f t="shared" si="450"/>
        <v>0</v>
      </c>
      <c r="HK41" s="43">
        <f t="shared" si="451"/>
        <v>0</v>
      </c>
      <c r="HL41" s="43">
        <f t="shared" si="452"/>
        <v>0</v>
      </c>
      <c r="HM41" s="43">
        <f t="shared" si="453"/>
        <v>0</v>
      </c>
      <c r="HN41" s="43">
        <f t="shared" si="454"/>
        <v>0</v>
      </c>
      <c r="HO41" s="43">
        <f t="shared" si="455"/>
        <v>0</v>
      </c>
      <c r="HP41" s="43">
        <f t="shared" si="456"/>
        <v>0</v>
      </c>
      <c r="HQ41" s="43">
        <f t="shared" si="457"/>
        <v>0</v>
      </c>
      <c r="HR41" s="43">
        <f t="shared" si="458"/>
        <v>0</v>
      </c>
      <c r="HS41" s="43">
        <f t="shared" si="459"/>
        <v>0</v>
      </c>
      <c r="HT41" s="43">
        <f t="shared" si="460"/>
        <v>0</v>
      </c>
      <c r="HU41" s="767"/>
      <c r="HV41" s="43">
        <f t="shared" si="461"/>
        <v>0</v>
      </c>
      <c r="HW41" s="43">
        <f t="shared" si="462"/>
        <v>0</v>
      </c>
      <c r="HX41" s="43">
        <f t="shared" si="463"/>
        <v>0</v>
      </c>
      <c r="HY41" s="43">
        <f t="shared" si="464"/>
        <v>0</v>
      </c>
      <c r="HZ41" s="43">
        <f t="shared" si="465"/>
        <v>0</v>
      </c>
      <c r="IA41" s="43">
        <f t="shared" si="466"/>
        <v>0</v>
      </c>
      <c r="IB41" s="43">
        <f t="shared" si="467"/>
        <v>0</v>
      </c>
      <c r="IC41" s="43">
        <f t="shared" si="468"/>
        <v>0</v>
      </c>
      <c r="ID41" s="43">
        <f t="shared" si="469"/>
        <v>0</v>
      </c>
      <c r="IE41" s="43">
        <f t="shared" si="470"/>
        <v>0</v>
      </c>
      <c r="IF41" s="43">
        <f t="shared" si="471"/>
        <v>0</v>
      </c>
      <c r="IG41" s="43">
        <f t="shared" si="472"/>
        <v>0</v>
      </c>
      <c r="IH41" s="43">
        <f t="shared" si="473"/>
        <v>0</v>
      </c>
      <c r="II41" s="43">
        <f t="shared" si="474"/>
        <v>0</v>
      </c>
      <c r="IJ41" s="786">
        <f t="shared" si="475"/>
        <v>0</v>
      </c>
      <c r="IK41" s="794"/>
    </row>
    <row r="42" spans="1:245">
      <c r="A42" s="642">
        <f t="shared" si="476"/>
        <v>12</v>
      </c>
      <c r="B42" s="762" t="str">
        <f t="shared" si="264"/>
        <v>System Administrator</v>
      </c>
      <c r="C42" s="775"/>
      <c r="D42" s="769"/>
      <c r="E42" s="52" t="str">
        <f t="shared" si="265"/>
        <v>System AdministratorContr_Sub</v>
      </c>
      <c r="F42" s="793"/>
      <c r="G42" s="43"/>
      <c r="H42" s="43"/>
      <c r="I42" s="43"/>
      <c r="J42" s="43"/>
      <c r="K42" s="43"/>
      <c r="L42" s="43"/>
      <c r="M42" s="43"/>
      <c r="N42" s="43"/>
      <c r="O42" s="43"/>
      <c r="P42" s="43"/>
      <c r="Q42" s="43"/>
      <c r="R42" s="43"/>
      <c r="S42" s="43"/>
      <c r="T42" s="43"/>
      <c r="U42" s="767"/>
      <c r="V42" s="43">
        <f t="shared" si="266"/>
        <v>0</v>
      </c>
      <c r="W42" s="43">
        <f t="shared" si="267"/>
        <v>0</v>
      </c>
      <c r="X42" s="43">
        <f t="shared" si="268"/>
        <v>0</v>
      </c>
      <c r="Y42" s="43">
        <f t="shared" si="269"/>
        <v>0</v>
      </c>
      <c r="Z42" s="43">
        <f t="shared" si="270"/>
        <v>0</v>
      </c>
      <c r="AA42" s="43">
        <f t="shared" si="271"/>
        <v>0</v>
      </c>
      <c r="AB42" s="43">
        <f t="shared" si="272"/>
        <v>0</v>
      </c>
      <c r="AC42" s="43">
        <f t="shared" si="273"/>
        <v>0</v>
      </c>
      <c r="AD42" s="43">
        <f t="shared" si="274"/>
        <v>0</v>
      </c>
      <c r="AE42" s="43">
        <f t="shared" si="275"/>
        <v>0</v>
      </c>
      <c r="AF42" s="43">
        <f t="shared" si="276"/>
        <v>0</v>
      </c>
      <c r="AG42" s="43">
        <f t="shared" si="277"/>
        <v>0</v>
      </c>
      <c r="AH42" s="43">
        <f t="shared" si="278"/>
        <v>0</v>
      </c>
      <c r="AI42" s="43">
        <f t="shared" si="279"/>
        <v>0</v>
      </c>
      <c r="AJ42" s="43">
        <f t="shared" si="280"/>
        <v>0</v>
      </c>
      <c r="AK42" s="767"/>
      <c r="AL42" s="43">
        <f t="shared" si="281"/>
        <v>0</v>
      </c>
      <c r="AM42" s="43">
        <f t="shared" si="282"/>
        <v>0</v>
      </c>
      <c r="AN42" s="43">
        <f t="shared" si="283"/>
        <v>0</v>
      </c>
      <c r="AO42" s="43">
        <f t="shared" si="284"/>
        <v>0</v>
      </c>
      <c r="AP42" s="43">
        <f t="shared" si="285"/>
        <v>0</v>
      </c>
      <c r="AQ42" s="43">
        <f t="shared" si="286"/>
        <v>0</v>
      </c>
      <c r="AR42" s="43">
        <f t="shared" si="287"/>
        <v>0</v>
      </c>
      <c r="AS42" s="43">
        <f t="shared" si="288"/>
        <v>0</v>
      </c>
      <c r="AT42" s="43">
        <f t="shared" si="289"/>
        <v>0</v>
      </c>
      <c r="AU42" s="43">
        <f t="shared" si="290"/>
        <v>0</v>
      </c>
      <c r="AV42" s="43">
        <f t="shared" si="291"/>
        <v>0</v>
      </c>
      <c r="AW42" s="43">
        <f t="shared" si="292"/>
        <v>0</v>
      </c>
      <c r="AX42" s="43">
        <f t="shared" si="293"/>
        <v>0</v>
      </c>
      <c r="AY42" s="43">
        <f t="shared" si="294"/>
        <v>0</v>
      </c>
      <c r="AZ42" s="43">
        <f t="shared" si="295"/>
        <v>0</v>
      </c>
      <c r="BA42" s="767"/>
      <c r="BB42" s="43">
        <f t="shared" si="296"/>
        <v>0</v>
      </c>
      <c r="BC42" s="43">
        <f t="shared" si="297"/>
        <v>0</v>
      </c>
      <c r="BD42" s="43">
        <f t="shared" si="298"/>
        <v>0</v>
      </c>
      <c r="BE42" s="43">
        <f t="shared" si="299"/>
        <v>0</v>
      </c>
      <c r="BF42" s="43">
        <f t="shared" si="300"/>
        <v>0</v>
      </c>
      <c r="BG42" s="43">
        <f t="shared" si="301"/>
        <v>0</v>
      </c>
      <c r="BH42" s="43">
        <f t="shared" si="302"/>
        <v>0</v>
      </c>
      <c r="BI42" s="43">
        <f t="shared" si="303"/>
        <v>0</v>
      </c>
      <c r="BJ42" s="43">
        <f t="shared" si="304"/>
        <v>0</v>
      </c>
      <c r="BK42" s="43">
        <f t="shared" si="305"/>
        <v>0</v>
      </c>
      <c r="BL42" s="43">
        <f t="shared" si="306"/>
        <v>0</v>
      </c>
      <c r="BM42" s="43">
        <f t="shared" si="307"/>
        <v>0</v>
      </c>
      <c r="BN42" s="43">
        <f t="shared" si="308"/>
        <v>0</v>
      </c>
      <c r="BO42" s="43">
        <f t="shared" si="309"/>
        <v>0</v>
      </c>
      <c r="BP42" s="43">
        <f t="shared" si="310"/>
        <v>0</v>
      </c>
      <c r="BQ42" s="767"/>
      <c r="BR42" s="43">
        <f t="shared" si="311"/>
        <v>0</v>
      </c>
      <c r="BS42" s="43">
        <f t="shared" si="312"/>
        <v>0</v>
      </c>
      <c r="BT42" s="43">
        <f t="shared" si="313"/>
        <v>0</v>
      </c>
      <c r="BU42" s="43">
        <f t="shared" si="314"/>
        <v>0</v>
      </c>
      <c r="BV42" s="43">
        <f t="shared" si="315"/>
        <v>0</v>
      </c>
      <c r="BW42" s="43">
        <f t="shared" si="316"/>
        <v>0</v>
      </c>
      <c r="BX42" s="43">
        <f t="shared" si="317"/>
        <v>0</v>
      </c>
      <c r="BY42" s="43">
        <f t="shared" si="318"/>
        <v>0</v>
      </c>
      <c r="BZ42" s="43">
        <f t="shared" si="319"/>
        <v>0</v>
      </c>
      <c r="CA42" s="43">
        <f t="shared" si="320"/>
        <v>0</v>
      </c>
      <c r="CB42" s="43">
        <f t="shared" si="321"/>
        <v>0</v>
      </c>
      <c r="CC42" s="43">
        <f t="shared" si="322"/>
        <v>0</v>
      </c>
      <c r="CD42" s="43">
        <f t="shared" si="323"/>
        <v>0</v>
      </c>
      <c r="CE42" s="43">
        <f t="shared" si="324"/>
        <v>0</v>
      </c>
      <c r="CF42" s="43">
        <f t="shared" si="325"/>
        <v>0</v>
      </c>
      <c r="CG42" s="767"/>
      <c r="CH42" s="43">
        <f t="shared" si="326"/>
        <v>0</v>
      </c>
      <c r="CI42" s="43">
        <f t="shared" si="327"/>
        <v>0</v>
      </c>
      <c r="CJ42" s="43">
        <f t="shared" si="328"/>
        <v>0</v>
      </c>
      <c r="CK42" s="43">
        <f t="shared" si="329"/>
        <v>0</v>
      </c>
      <c r="CL42" s="43">
        <f t="shared" si="330"/>
        <v>0</v>
      </c>
      <c r="CM42" s="43">
        <f t="shared" si="331"/>
        <v>0</v>
      </c>
      <c r="CN42" s="43">
        <f t="shared" si="332"/>
        <v>0</v>
      </c>
      <c r="CO42" s="43">
        <f t="shared" si="333"/>
        <v>0</v>
      </c>
      <c r="CP42" s="43">
        <f t="shared" si="334"/>
        <v>0</v>
      </c>
      <c r="CQ42" s="43">
        <f t="shared" si="335"/>
        <v>0</v>
      </c>
      <c r="CR42" s="43">
        <f t="shared" si="336"/>
        <v>0</v>
      </c>
      <c r="CS42" s="43">
        <f t="shared" si="337"/>
        <v>0</v>
      </c>
      <c r="CT42" s="43">
        <f t="shared" si="338"/>
        <v>0</v>
      </c>
      <c r="CU42" s="43">
        <f t="shared" si="339"/>
        <v>0</v>
      </c>
      <c r="CV42" s="43">
        <f t="shared" si="340"/>
        <v>0</v>
      </c>
      <c r="CW42" s="767"/>
      <c r="CX42" s="43">
        <f t="shared" si="341"/>
        <v>0</v>
      </c>
      <c r="CY42" s="43">
        <f t="shared" si="342"/>
        <v>0</v>
      </c>
      <c r="CZ42" s="43">
        <f t="shared" si="343"/>
        <v>0</v>
      </c>
      <c r="DA42" s="43">
        <f t="shared" si="344"/>
        <v>0</v>
      </c>
      <c r="DB42" s="43">
        <f t="shared" si="345"/>
        <v>0</v>
      </c>
      <c r="DC42" s="43">
        <f t="shared" si="346"/>
        <v>0</v>
      </c>
      <c r="DD42" s="43">
        <f t="shared" si="347"/>
        <v>0</v>
      </c>
      <c r="DE42" s="43">
        <f t="shared" si="348"/>
        <v>0</v>
      </c>
      <c r="DF42" s="43">
        <f t="shared" si="349"/>
        <v>0</v>
      </c>
      <c r="DG42" s="43">
        <f t="shared" si="350"/>
        <v>0</v>
      </c>
      <c r="DH42" s="43">
        <f t="shared" si="351"/>
        <v>0</v>
      </c>
      <c r="DI42" s="43">
        <f t="shared" si="352"/>
        <v>0</v>
      </c>
      <c r="DJ42" s="43">
        <f t="shared" si="353"/>
        <v>0</v>
      </c>
      <c r="DK42" s="43">
        <f t="shared" si="354"/>
        <v>0</v>
      </c>
      <c r="DL42" s="43">
        <f t="shared" si="355"/>
        <v>0</v>
      </c>
      <c r="DM42" s="767"/>
      <c r="DN42" s="43">
        <f t="shared" si="356"/>
        <v>0</v>
      </c>
      <c r="DO42" s="43">
        <f t="shared" si="357"/>
        <v>0</v>
      </c>
      <c r="DP42" s="43">
        <f t="shared" si="358"/>
        <v>0</v>
      </c>
      <c r="DQ42" s="43">
        <f t="shared" si="359"/>
        <v>0</v>
      </c>
      <c r="DR42" s="43">
        <f t="shared" si="360"/>
        <v>0</v>
      </c>
      <c r="DS42" s="43">
        <f t="shared" si="361"/>
        <v>0</v>
      </c>
      <c r="DT42" s="43">
        <f t="shared" si="362"/>
        <v>0</v>
      </c>
      <c r="DU42" s="43">
        <f t="shared" si="363"/>
        <v>0</v>
      </c>
      <c r="DV42" s="43">
        <f t="shared" si="364"/>
        <v>0</v>
      </c>
      <c r="DW42" s="43">
        <f t="shared" si="365"/>
        <v>0</v>
      </c>
      <c r="DX42" s="43">
        <f t="shared" si="366"/>
        <v>0</v>
      </c>
      <c r="DY42" s="43">
        <f t="shared" si="367"/>
        <v>0</v>
      </c>
      <c r="DZ42" s="43">
        <f t="shared" si="368"/>
        <v>0</v>
      </c>
      <c r="EA42" s="43">
        <f t="shared" si="369"/>
        <v>0</v>
      </c>
      <c r="EB42" s="43">
        <f t="shared" si="370"/>
        <v>0</v>
      </c>
      <c r="EC42" s="767"/>
      <c r="ED42" s="43">
        <f t="shared" si="371"/>
        <v>0</v>
      </c>
      <c r="EE42" s="43">
        <f t="shared" si="372"/>
        <v>0</v>
      </c>
      <c r="EF42" s="43">
        <f t="shared" si="373"/>
        <v>0</v>
      </c>
      <c r="EG42" s="43">
        <f t="shared" si="374"/>
        <v>0</v>
      </c>
      <c r="EH42" s="43">
        <f t="shared" si="375"/>
        <v>0</v>
      </c>
      <c r="EI42" s="43">
        <f t="shared" si="376"/>
        <v>0</v>
      </c>
      <c r="EJ42" s="43">
        <f t="shared" si="377"/>
        <v>0</v>
      </c>
      <c r="EK42" s="43">
        <f t="shared" si="378"/>
        <v>0</v>
      </c>
      <c r="EL42" s="43">
        <f t="shared" si="379"/>
        <v>0</v>
      </c>
      <c r="EM42" s="43">
        <f t="shared" si="380"/>
        <v>0</v>
      </c>
      <c r="EN42" s="43">
        <f t="shared" si="381"/>
        <v>0</v>
      </c>
      <c r="EO42" s="43">
        <f t="shared" si="382"/>
        <v>0</v>
      </c>
      <c r="EP42" s="43">
        <f t="shared" si="383"/>
        <v>0</v>
      </c>
      <c r="EQ42" s="43">
        <f t="shared" si="384"/>
        <v>0</v>
      </c>
      <c r="ER42" s="43">
        <f t="shared" si="385"/>
        <v>0</v>
      </c>
      <c r="ES42" s="767"/>
      <c r="ET42" s="43">
        <f t="shared" si="386"/>
        <v>0</v>
      </c>
      <c r="EU42" s="43">
        <f t="shared" si="387"/>
        <v>0</v>
      </c>
      <c r="EV42" s="43">
        <f t="shared" si="388"/>
        <v>0</v>
      </c>
      <c r="EW42" s="43">
        <f t="shared" si="389"/>
        <v>0</v>
      </c>
      <c r="EX42" s="43">
        <f t="shared" si="390"/>
        <v>0</v>
      </c>
      <c r="EY42" s="43">
        <f t="shared" si="391"/>
        <v>0</v>
      </c>
      <c r="EZ42" s="43">
        <f t="shared" si="392"/>
        <v>0</v>
      </c>
      <c r="FA42" s="43">
        <f t="shared" si="393"/>
        <v>0</v>
      </c>
      <c r="FB42" s="43">
        <f t="shared" si="394"/>
        <v>0</v>
      </c>
      <c r="FC42" s="43">
        <f t="shared" si="395"/>
        <v>0</v>
      </c>
      <c r="FD42" s="43">
        <f t="shared" si="396"/>
        <v>0</v>
      </c>
      <c r="FE42" s="43">
        <f t="shared" si="397"/>
        <v>0</v>
      </c>
      <c r="FF42" s="43">
        <f t="shared" si="398"/>
        <v>0</v>
      </c>
      <c r="FG42" s="43">
        <f t="shared" si="399"/>
        <v>0</v>
      </c>
      <c r="FH42" s="43">
        <f t="shared" si="400"/>
        <v>0</v>
      </c>
      <c r="FI42" s="767"/>
      <c r="FJ42" s="43">
        <f t="shared" si="401"/>
        <v>0</v>
      </c>
      <c r="FK42" s="43">
        <f t="shared" si="402"/>
        <v>0</v>
      </c>
      <c r="FL42" s="43">
        <f t="shared" si="403"/>
        <v>0</v>
      </c>
      <c r="FM42" s="43">
        <f t="shared" si="404"/>
        <v>0</v>
      </c>
      <c r="FN42" s="43">
        <f t="shared" si="405"/>
        <v>0</v>
      </c>
      <c r="FO42" s="43">
        <f t="shared" si="406"/>
        <v>0</v>
      </c>
      <c r="FP42" s="43">
        <f t="shared" si="407"/>
        <v>0</v>
      </c>
      <c r="FQ42" s="43">
        <f t="shared" si="408"/>
        <v>0</v>
      </c>
      <c r="FR42" s="43">
        <f t="shared" si="409"/>
        <v>0</v>
      </c>
      <c r="FS42" s="43">
        <f t="shared" si="410"/>
        <v>0</v>
      </c>
      <c r="FT42" s="43">
        <f t="shared" si="411"/>
        <v>0</v>
      </c>
      <c r="FU42" s="43">
        <f t="shared" si="412"/>
        <v>0</v>
      </c>
      <c r="FV42" s="43">
        <f t="shared" si="413"/>
        <v>0</v>
      </c>
      <c r="FW42" s="43">
        <f t="shared" si="414"/>
        <v>0</v>
      </c>
      <c r="FX42" s="43">
        <f t="shared" si="415"/>
        <v>0</v>
      </c>
      <c r="FY42" s="767"/>
      <c r="FZ42" s="43">
        <f t="shared" si="416"/>
        <v>0</v>
      </c>
      <c r="GA42" s="43">
        <f t="shared" si="417"/>
        <v>0</v>
      </c>
      <c r="GB42" s="43">
        <f t="shared" si="418"/>
        <v>0</v>
      </c>
      <c r="GC42" s="43">
        <f t="shared" si="419"/>
        <v>0</v>
      </c>
      <c r="GD42" s="43">
        <f t="shared" si="420"/>
        <v>0</v>
      </c>
      <c r="GE42" s="43">
        <f t="shared" si="421"/>
        <v>0</v>
      </c>
      <c r="GF42" s="43">
        <f t="shared" si="422"/>
        <v>0</v>
      </c>
      <c r="GG42" s="43">
        <f t="shared" si="423"/>
        <v>0</v>
      </c>
      <c r="GH42" s="43">
        <f t="shared" si="424"/>
        <v>0</v>
      </c>
      <c r="GI42" s="43">
        <f t="shared" si="425"/>
        <v>0</v>
      </c>
      <c r="GJ42" s="43">
        <f t="shared" si="426"/>
        <v>0</v>
      </c>
      <c r="GK42" s="43">
        <f t="shared" si="427"/>
        <v>0</v>
      </c>
      <c r="GL42" s="43">
        <f t="shared" si="428"/>
        <v>0</v>
      </c>
      <c r="GM42" s="43">
        <f t="shared" si="429"/>
        <v>0</v>
      </c>
      <c r="GN42" s="43">
        <f t="shared" si="430"/>
        <v>0</v>
      </c>
      <c r="GO42" s="767"/>
      <c r="GP42" s="43">
        <f t="shared" si="431"/>
        <v>0</v>
      </c>
      <c r="GQ42" s="43">
        <f t="shared" si="432"/>
        <v>0</v>
      </c>
      <c r="GR42" s="43">
        <f t="shared" si="433"/>
        <v>0</v>
      </c>
      <c r="GS42" s="43">
        <f t="shared" si="434"/>
        <v>0</v>
      </c>
      <c r="GT42" s="43">
        <f t="shared" si="435"/>
        <v>0</v>
      </c>
      <c r="GU42" s="43">
        <f t="shared" si="436"/>
        <v>0</v>
      </c>
      <c r="GV42" s="43">
        <f t="shared" si="437"/>
        <v>0</v>
      </c>
      <c r="GW42" s="43">
        <f t="shared" si="438"/>
        <v>0</v>
      </c>
      <c r="GX42" s="43">
        <f t="shared" si="439"/>
        <v>0</v>
      </c>
      <c r="GY42" s="43">
        <f t="shared" si="440"/>
        <v>0</v>
      </c>
      <c r="GZ42" s="43">
        <f t="shared" si="441"/>
        <v>0</v>
      </c>
      <c r="HA42" s="43">
        <f t="shared" si="442"/>
        <v>0</v>
      </c>
      <c r="HB42" s="43">
        <f t="shared" si="443"/>
        <v>0</v>
      </c>
      <c r="HC42" s="43">
        <f t="shared" si="444"/>
        <v>0</v>
      </c>
      <c r="HD42" s="43">
        <f t="shared" si="445"/>
        <v>0</v>
      </c>
      <c r="HE42" s="767"/>
      <c r="HF42" s="43">
        <f t="shared" si="446"/>
        <v>0</v>
      </c>
      <c r="HG42" s="43">
        <f t="shared" si="447"/>
        <v>0</v>
      </c>
      <c r="HH42" s="43">
        <f t="shared" si="448"/>
        <v>0</v>
      </c>
      <c r="HI42" s="43">
        <f t="shared" si="449"/>
        <v>0</v>
      </c>
      <c r="HJ42" s="43">
        <f t="shared" si="450"/>
        <v>0</v>
      </c>
      <c r="HK42" s="43">
        <f t="shared" si="451"/>
        <v>0</v>
      </c>
      <c r="HL42" s="43">
        <f t="shared" si="452"/>
        <v>0</v>
      </c>
      <c r="HM42" s="43">
        <f t="shared" si="453"/>
        <v>0</v>
      </c>
      <c r="HN42" s="43">
        <f t="shared" si="454"/>
        <v>0</v>
      </c>
      <c r="HO42" s="43">
        <f t="shared" si="455"/>
        <v>0</v>
      </c>
      <c r="HP42" s="43">
        <f t="shared" si="456"/>
        <v>0</v>
      </c>
      <c r="HQ42" s="43">
        <f t="shared" si="457"/>
        <v>0</v>
      </c>
      <c r="HR42" s="43">
        <f t="shared" si="458"/>
        <v>0</v>
      </c>
      <c r="HS42" s="43">
        <f t="shared" si="459"/>
        <v>0</v>
      </c>
      <c r="HT42" s="43">
        <f t="shared" si="460"/>
        <v>0</v>
      </c>
      <c r="HU42" s="767"/>
      <c r="HV42" s="43">
        <f t="shared" si="461"/>
        <v>0</v>
      </c>
      <c r="HW42" s="43">
        <f t="shared" si="462"/>
        <v>0</v>
      </c>
      <c r="HX42" s="43">
        <f t="shared" si="463"/>
        <v>0</v>
      </c>
      <c r="HY42" s="43">
        <f t="shared" si="464"/>
        <v>0</v>
      </c>
      <c r="HZ42" s="43">
        <f t="shared" si="465"/>
        <v>0</v>
      </c>
      <c r="IA42" s="43">
        <f t="shared" si="466"/>
        <v>0</v>
      </c>
      <c r="IB42" s="43">
        <f t="shared" si="467"/>
        <v>0</v>
      </c>
      <c r="IC42" s="43">
        <f t="shared" si="468"/>
        <v>0</v>
      </c>
      <c r="ID42" s="43">
        <f t="shared" si="469"/>
        <v>0</v>
      </c>
      <c r="IE42" s="43">
        <f t="shared" si="470"/>
        <v>0</v>
      </c>
      <c r="IF42" s="43">
        <f t="shared" si="471"/>
        <v>0</v>
      </c>
      <c r="IG42" s="43">
        <f t="shared" si="472"/>
        <v>0</v>
      </c>
      <c r="IH42" s="43">
        <f t="shared" si="473"/>
        <v>0</v>
      </c>
      <c r="II42" s="43">
        <f t="shared" si="474"/>
        <v>0</v>
      </c>
      <c r="IJ42" s="786">
        <f t="shared" si="475"/>
        <v>0</v>
      </c>
      <c r="IK42" s="794"/>
    </row>
    <row r="43" spans="1:245">
      <c r="A43" s="642">
        <f t="shared" si="476"/>
        <v>13</v>
      </c>
      <c r="B43" s="762" t="str">
        <f t="shared" si="264"/>
        <v>Configuration Manager</v>
      </c>
      <c r="C43" s="775"/>
      <c r="D43" s="769"/>
      <c r="E43" s="52" t="str">
        <f t="shared" si="265"/>
        <v>Configuration ManagerContr_Sub</v>
      </c>
      <c r="F43" s="793"/>
      <c r="G43" s="43"/>
      <c r="H43" s="43"/>
      <c r="I43" s="43"/>
      <c r="J43" s="43"/>
      <c r="K43" s="43"/>
      <c r="L43" s="43"/>
      <c r="M43" s="43"/>
      <c r="N43" s="43"/>
      <c r="O43" s="43"/>
      <c r="P43" s="43"/>
      <c r="Q43" s="43"/>
      <c r="R43" s="43"/>
      <c r="S43" s="43"/>
      <c r="T43" s="43"/>
      <c r="U43" s="767"/>
      <c r="V43" s="43">
        <f t="shared" si="266"/>
        <v>0</v>
      </c>
      <c r="W43" s="43">
        <f t="shared" si="267"/>
        <v>0</v>
      </c>
      <c r="X43" s="43">
        <f t="shared" si="268"/>
        <v>0</v>
      </c>
      <c r="Y43" s="43">
        <f t="shared" si="269"/>
        <v>0</v>
      </c>
      <c r="Z43" s="43">
        <f t="shared" si="270"/>
        <v>0</v>
      </c>
      <c r="AA43" s="43">
        <f t="shared" si="271"/>
        <v>0</v>
      </c>
      <c r="AB43" s="43">
        <f t="shared" si="272"/>
        <v>0</v>
      </c>
      <c r="AC43" s="43">
        <f t="shared" si="273"/>
        <v>0</v>
      </c>
      <c r="AD43" s="43">
        <f t="shared" si="274"/>
        <v>0</v>
      </c>
      <c r="AE43" s="43">
        <f t="shared" si="275"/>
        <v>0</v>
      </c>
      <c r="AF43" s="43">
        <f t="shared" si="276"/>
        <v>0</v>
      </c>
      <c r="AG43" s="43">
        <f t="shared" si="277"/>
        <v>0</v>
      </c>
      <c r="AH43" s="43">
        <f t="shared" si="278"/>
        <v>0</v>
      </c>
      <c r="AI43" s="43">
        <f t="shared" si="279"/>
        <v>0</v>
      </c>
      <c r="AJ43" s="43">
        <f t="shared" si="280"/>
        <v>0</v>
      </c>
      <c r="AK43" s="767"/>
      <c r="AL43" s="43">
        <f t="shared" si="281"/>
        <v>0</v>
      </c>
      <c r="AM43" s="43">
        <f t="shared" si="282"/>
        <v>0</v>
      </c>
      <c r="AN43" s="43">
        <f t="shared" si="283"/>
        <v>0</v>
      </c>
      <c r="AO43" s="43">
        <f t="shared" si="284"/>
        <v>0</v>
      </c>
      <c r="AP43" s="43">
        <f t="shared" si="285"/>
        <v>0</v>
      </c>
      <c r="AQ43" s="43">
        <f t="shared" si="286"/>
        <v>0</v>
      </c>
      <c r="AR43" s="43">
        <f t="shared" si="287"/>
        <v>0</v>
      </c>
      <c r="AS43" s="43">
        <f t="shared" si="288"/>
        <v>0</v>
      </c>
      <c r="AT43" s="43">
        <f t="shared" si="289"/>
        <v>0</v>
      </c>
      <c r="AU43" s="43">
        <f t="shared" si="290"/>
        <v>0</v>
      </c>
      <c r="AV43" s="43">
        <f t="shared" si="291"/>
        <v>0</v>
      </c>
      <c r="AW43" s="43">
        <f t="shared" si="292"/>
        <v>0</v>
      </c>
      <c r="AX43" s="43">
        <f t="shared" si="293"/>
        <v>0</v>
      </c>
      <c r="AY43" s="43">
        <f t="shared" si="294"/>
        <v>0</v>
      </c>
      <c r="AZ43" s="43">
        <f t="shared" si="295"/>
        <v>0</v>
      </c>
      <c r="BA43" s="767"/>
      <c r="BB43" s="43">
        <f t="shared" si="296"/>
        <v>0</v>
      </c>
      <c r="BC43" s="43">
        <f t="shared" si="297"/>
        <v>0</v>
      </c>
      <c r="BD43" s="43">
        <f t="shared" si="298"/>
        <v>0</v>
      </c>
      <c r="BE43" s="43">
        <f t="shared" si="299"/>
        <v>0</v>
      </c>
      <c r="BF43" s="43">
        <f t="shared" si="300"/>
        <v>0</v>
      </c>
      <c r="BG43" s="43">
        <f t="shared" si="301"/>
        <v>0</v>
      </c>
      <c r="BH43" s="43">
        <f t="shared" si="302"/>
        <v>0</v>
      </c>
      <c r="BI43" s="43">
        <f t="shared" si="303"/>
        <v>0</v>
      </c>
      <c r="BJ43" s="43">
        <f t="shared" si="304"/>
        <v>0</v>
      </c>
      <c r="BK43" s="43">
        <f t="shared" si="305"/>
        <v>0</v>
      </c>
      <c r="BL43" s="43">
        <f t="shared" si="306"/>
        <v>0</v>
      </c>
      <c r="BM43" s="43">
        <f t="shared" si="307"/>
        <v>0</v>
      </c>
      <c r="BN43" s="43">
        <f t="shared" si="308"/>
        <v>0</v>
      </c>
      <c r="BO43" s="43">
        <f t="shared" si="309"/>
        <v>0</v>
      </c>
      <c r="BP43" s="43">
        <f t="shared" si="310"/>
        <v>0</v>
      </c>
      <c r="BQ43" s="767"/>
      <c r="BR43" s="43">
        <f t="shared" si="311"/>
        <v>0</v>
      </c>
      <c r="BS43" s="43">
        <f t="shared" si="312"/>
        <v>0</v>
      </c>
      <c r="BT43" s="43">
        <f t="shared" si="313"/>
        <v>0</v>
      </c>
      <c r="BU43" s="43">
        <f t="shared" si="314"/>
        <v>0</v>
      </c>
      <c r="BV43" s="43">
        <f t="shared" si="315"/>
        <v>0</v>
      </c>
      <c r="BW43" s="43">
        <f t="shared" si="316"/>
        <v>0</v>
      </c>
      <c r="BX43" s="43">
        <f t="shared" si="317"/>
        <v>0</v>
      </c>
      <c r="BY43" s="43">
        <f t="shared" si="318"/>
        <v>0</v>
      </c>
      <c r="BZ43" s="43">
        <f t="shared" si="319"/>
        <v>0</v>
      </c>
      <c r="CA43" s="43">
        <f t="shared" si="320"/>
        <v>0</v>
      </c>
      <c r="CB43" s="43">
        <f t="shared" si="321"/>
        <v>0</v>
      </c>
      <c r="CC43" s="43">
        <f t="shared" si="322"/>
        <v>0</v>
      </c>
      <c r="CD43" s="43">
        <f t="shared" si="323"/>
        <v>0</v>
      </c>
      <c r="CE43" s="43">
        <f t="shared" si="324"/>
        <v>0</v>
      </c>
      <c r="CF43" s="43">
        <f t="shared" si="325"/>
        <v>0</v>
      </c>
      <c r="CG43" s="767"/>
      <c r="CH43" s="43">
        <f t="shared" si="326"/>
        <v>0</v>
      </c>
      <c r="CI43" s="43">
        <f t="shared" si="327"/>
        <v>0</v>
      </c>
      <c r="CJ43" s="43">
        <f t="shared" si="328"/>
        <v>0</v>
      </c>
      <c r="CK43" s="43">
        <f t="shared" si="329"/>
        <v>0</v>
      </c>
      <c r="CL43" s="43">
        <f t="shared" si="330"/>
        <v>0</v>
      </c>
      <c r="CM43" s="43">
        <f t="shared" si="331"/>
        <v>0</v>
      </c>
      <c r="CN43" s="43">
        <f t="shared" si="332"/>
        <v>0</v>
      </c>
      <c r="CO43" s="43">
        <f t="shared" si="333"/>
        <v>0</v>
      </c>
      <c r="CP43" s="43">
        <f t="shared" si="334"/>
        <v>0</v>
      </c>
      <c r="CQ43" s="43">
        <f t="shared" si="335"/>
        <v>0</v>
      </c>
      <c r="CR43" s="43">
        <f t="shared" si="336"/>
        <v>0</v>
      </c>
      <c r="CS43" s="43">
        <f t="shared" si="337"/>
        <v>0</v>
      </c>
      <c r="CT43" s="43">
        <f t="shared" si="338"/>
        <v>0</v>
      </c>
      <c r="CU43" s="43">
        <f t="shared" si="339"/>
        <v>0</v>
      </c>
      <c r="CV43" s="43">
        <f t="shared" si="340"/>
        <v>0</v>
      </c>
      <c r="CW43" s="767"/>
      <c r="CX43" s="43">
        <f t="shared" si="341"/>
        <v>0</v>
      </c>
      <c r="CY43" s="43">
        <f t="shared" si="342"/>
        <v>0</v>
      </c>
      <c r="CZ43" s="43">
        <f t="shared" si="343"/>
        <v>0</v>
      </c>
      <c r="DA43" s="43">
        <f t="shared" si="344"/>
        <v>0</v>
      </c>
      <c r="DB43" s="43">
        <f t="shared" si="345"/>
        <v>0</v>
      </c>
      <c r="DC43" s="43">
        <f t="shared" si="346"/>
        <v>0</v>
      </c>
      <c r="DD43" s="43">
        <f t="shared" si="347"/>
        <v>0</v>
      </c>
      <c r="DE43" s="43">
        <f t="shared" si="348"/>
        <v>0</v>
      </c>
      <c r="DF43" s="43">
        <f t="shared" si="349"/>
        <v>0</v>
      </c>
      <c r="DG43" s="43">
        <f t="shared" si="350"/>
        <v>0</v>
      </c>
      <c r="DH43" s="43">
        <f t="shared" si="351"/>
        <v>0</v>
      </c>
      <c r="DI43" s="43">
        <f t="shared" si="352"/>
        <v>0</v>
      </c>
      <c r="DJ43" s="43">
        <f t="shared" si="353"/>
        <v>0</v>
      </c>
      <c r="DK43" s="43">
        <f t="shared" si="354"/>
        <v>0</v>
      </c>
      <c r="DL43" s="43">
        <f t="shared" si="355"/>
        <v>0</v>
      </c>
      <c r="DM43" s="767"/>
      <c r="DN43" s="43">
        <f t="shared" si="356"/>
        <v>0</v>
      </c>
      <c r="DO43" s="43">
        <f t="shared" si="357"/>
        <v>0</v>
      </c>
      <c r="DP43" s="43">
        <f t="shared" si="358"/>
        <v>0</v>
      </c>
      <c r="DQ43" s="43">
        <f t="shared" si="359"/>
        <v>0</v>
      </c>
      <c r="DR43" s="43">
        <f t="shared" si="360"/>
        <v>0</v>
      </c>
      <c r="DS43" s="43">
        <f t="shared" si="361"/>
        <v>0</v>
      </c>
      <c r="DT43" s="43">
        <f t="shared" si="362"/>
        <v>0</v>
      </c>
      <c r="DU43" s="43">
        <f t="shared" si="363"/>
        <v>0</v>
      </c>
      <c r="DV43" s="43">
        <f t="shared" si="364"/>
        <v>0</v>
      </c>
      <c r="DW43" s="43">
        <f t="shared" si="365"/>
        <v>0</v>
      </c>
      <c r="DX43" s="43">
        <f t="shared" si="366"/>
        <v>0</v>
      </c>
      <c r="DY43" s="43">
        <f t="shared" si="367"/>
        <v>0</v>
      </c>
      <c r="DZ43" s="43">
        <f t="shared" si="368"/>
        <v>0</v>
      </c>
      <c r="EA43" s="43">
        <f t="shared" si="369"/>
        <v>0</v>
      </c>
      <c r="EB43" s="43">
        <f t="shared" si="370"/>
        <v>0</v>
      </c>
      <c r="EC43" s="767"/>
      <c r="ED43" s="43">
        <f t="shared" si="371"/>
        <v>0</v>
      </c>
      <c r="EE43" s="43">
        <f t="shared" si="372"/>
        <v>0</v>
      </c>
      <c r="EF43" s="43">
        <f t="shared" si="373"/>
        <v>0</v>
      </c>
      <c r="EG43" s="43">
        <f t="shared" si="374"/>
        <v>0</v>
      </c>
      <c r="EH43" s="43">
        <f t="shared" si="375"/>
        <v>0</v>
      </c>
      <c r="EI43" s="43">
        <f t="shared" si="376"/>
        <v>0</v>
      </c>
      <c r="EJ43" s="43">
        <f t="shared" si="377"/>
        <v>0</v>
      </c>
      <c r="EK43" s="43">
        <f t="shared" si="378"/>
        <v>0</v>
      </c>
      <c r="EL43" s="43">
        <f t="shared" si="379"/>
        <v>0</v>
      </c>
      <c r="EM43" s="43">
        <f t="shared" si="380"/>
        <v>0</v>
      </c>
      <c r="EN43" s="43">
        <f t="shared" si="381"/>
        <v>0</v>
      </c>
      <c r="EO43" s="43">
        <f t="shared" si="382"/>
        <v>0</v>
      </c>
      <c r="EP43" s="43">
        <f t="shared" si="383"/>
        <v>0</v>
      </c>
      <c r="EQ43" s="43">
        <f t="shared" si="384"/>
        <v>0</v>
      </c>
      <c r="ER43" s="43">
        <f t="shared" si="385"/>
        <v>0</v>
      </c>
      <c r="ES43" s="767"/>
      <c r="ET43" s="43">
        <f t="shared" si="386"/>
        <v>0</v>
      </c>
      <c r="EU43" s="43">
        <f t="shared" si="387"/>
        <v>0</v>
      </c>
      <c r="EV43" s="43">
        <f t="shared" si="388"/>
        <v>0</v>
      </c>
      <c r="EW43" s="43">
        <f t="shared" si="389"/>
        <v>0</v>
      </c>
      <c r="EX43" s="43">
        <f t="shared" si="390"/>
        <v>0</v>
      </c>
      <c r="EY43" s="43">
        <f t="shared" si="391"/>
        <v>0</v>
      </c>
      <c r="EZ43" s="43">
        <f t="shared" si="392"/>
        <v>0</v>
      </c>
      <c r="FA43" s="43">
        <f t="shared" si="393"/>
        <v>0</v>
      </c>
      <c r="FB43" s="43">
        <f t="shared" si="394"/>
        <v>0</v>
      </c>
      <c r="FC43" s="43">
        <f t="shared" si="395"/>
        <v>0</v>
      </c>
      <c r="FD43" s="43">
        <f t="shared" si="396"/>
        <v>0</v>
      </c>
      <c r="FE43" s="43">
        <f t="shared" si="397"/>
        <v>0</v>
      </c>
      <c r="FF43" s="43">
        <f t="shared" si="398"/>
        <v>0</v>
      </c>
      <c r="FG43" s="43">
        <f t="shared" si="399"/>
        <v>0</v>
      </c>
      <c r="FH43" s="43">
        <f t="shared" si="400"/>
        <v>0</v>
      </c>
      <c r="FI43" s="767"/>
      <c r="FJ43" s="43">
        <f t="shared" si="401"/>
        <v>0</v>
      </c>
      <c r="FK43" s="43">
        <f t="shared" si="402"/>
        <v>0</v>
      </c>
      <c r="FL43" s="43">
        <f t="shared" si="403"/>
        <v>0</v>
      </c>
      <c r="FM43" s="43">
        <f t="shared" si="404"/>
        <v>0</v>
      </c>
      <c r="FN43" s="43">
        <f t="shared" si="405"/>
        <v>0</v>
      </c>
      <c r="FO43" s="43">
        <f t="shared" si="406"/>
        <v>0</v>
      </c>
      <c r="FP43" s="43">
        <f t="shared" si="407"/>
        <v>0</v>
      </c>
      <c r="FQ43" s="43">
        <f t="shared" si="408"/>
        <v>0</v>
      </c>
      <c r="FR43" s="43">
        <f t="shared" si="409"/>
        <v>0</v>
      </c>
      <c r="FS43" s="43">
        <f t="shared" si="410"/>
        <v>0</v>
      </c>
      <c r="FT43" s="43">
        <f t="shared" si="411"/>
        <v>0</v>
      </c>
      <c r="FU43" s="43">
        <f t="shared" si="412"/>
        <v>0</v>
      </c>
      <c r="FV43" s="43">
        <f t="shared" si="413"/>
        <v>0</v>
      </c>
      <c r="FW43" s="43">
        <f t="shared" si="414"/>
        <v>0</v>
      </c>
      <c r="FX43" s="43">
        <f t="shared" si="415"/>
        <v>0</v>
      </c>
      <c r="FY43" s="767"/>
      <c r="FZ43" s="43">
        <f t="shared" si="416"/>
        <v>0</v>
      </c>
      <c r="GA43" s="43">
        <f t="shared" si="417"/>
        <v>0</v>
      </c>
      <c r="GB43" s="43">
        <f t="shared" si="418"/>
        <v>0</v>
      </c>
      <c r="GC43" s="43">
        <f t="shared" si="419"/>
        <v>0</v>
      </c>
      <c r="GD43" s="43">
        <f t="shared" si="420"/>
        <v>0</v>
      </c>
      <c r="GE43" s="43">
        <f t="shared" si="421"/>
        <v>0</v>
      </c>
      <c r="GF43" s="43">
        <f t="shared" si="422"/>
        <v>0</v>
      </c>
      <c r="GG43" s="43">
        <f t="shared" si="423"/>
        <v>0</v>
      </c>
      <c r="GH43" s="43">
        <f t="shared" si="424"/>
        <v>0</v>
      </c>
      <c r="GI43" s="43">
        <f t="shared" si="425"/>
        <v>0</v>
      </c>
      <c r="GJ43" s="43">
        <f t="shared" si="426"/>
        <v>0</v>
      </c>
      <c r="GK43" s="43">
        <f t="shared" si="427"/>
        <v>0</v>
      </c>
      <c r="GL43" s="43">
        <f t="shared" si="428"/>
        <v>0</v>
      </c>
      <c r="GM43" s="43">
        <f t="shared" si="429"/>
        <v>0</v>
      </c>
      <c r="GN43" s="43">
        <f t="shared" si="430"/>
        <v>0</v>
      </c>
      <c r="GO43" s="767"/>
      <c r="GP43" s="43">
        <f t="shared" si="431"/>
        <v>0</v>
      </c>
      <c r="GQ43" s="43">
        <f t="shared" si="432"/>
        <v>0</v>
      </c>
      <c r="GR43" s="43">
        <f t="shared" si="433"/>
        <v>0</v>
      </c>
      <c r="GS43" s="43">
        <f t="shared" si="434"/>
        <v>0</v>
      </c>
      <c r="GT43" s="43">
        <f t="shared" si="435"/>
        <v>0</v>
      </c>
      <c r="GU43" s="43">
        <f t="shared" si="436"/>
        <v>0</v>
      </c>
      <c r="GV43" s="43">
        <f t="shared" si="437"/>
        <v>0</v>
      </c>
      <c r="GW43" s="43">
        <f t="shared" si="438"/>
        <v>0</v>
      </c>
      <c r="GX43" s="43">
        <f t="shared" si="439"/>
        <v>0</v>
      </c>
      <c r="GY43" s="43">
        <f t="shared" si="440"/>
        <v>0</v>
      </c>
      <c r="GZ43" s="43">
        <f t="shared" si="441"/>
        <v>0</v>
      </c>
      <c r="HA43" s="43">
        <f t="shared" si="442"/>
        <v>0</v>
      </c>
      <c r="HB43" s="43">
        <f t="shared" si="443"/>
        <v>0</v>
      </c>
      <c r="HC43" s="43">
        <f t="shared" si="444"/>
        <v>0</v>
      </c>
      <c r="HD43" s="43">
        <f t="shared" si="445"/>
        <v>0</v>
      </c>
      <c r="HE43" s="767"/>
      <c r="HF43" s="43">
        <f t="shared" si="446"/>
        <v>0</v>
      </c>
      <c r="HG43" s="43">
        <f t="shared" si="447"/>
        <v>0</v>
      </c>
      <c r="HH43" s="43">
        <f t="shared" si="448"/>
        <v>0</v>
      </c>
      <c r="HI43" s="43">
        <f t="shared" si="449"/>
        <v>0</v>
      </c>
      <c r="HJ43" s="43">
        <f t="shared" si="450"/>
        <v>0</v>
      </c>
      <c r="HK43" s="43">
        <f t="shared" si="451"/>
        <v>0</v>
      </c>
      <c r="HL43" s="43">
        <f t="shared" si="452"/>
        <v>0</v>
      </c>
      <c r="HM43" s="43">
        <f t="shared" si="453"/>
        <v>0</v>
      </c>
      <c r="HN43" s="43">
        <f t="shared" si="454"/>
        <v>0</v>
      </c>
      <c r="HO43" s="43">
        <f t="shared" si="455"/>
        <v>0</v>
      </c>
      <c r="HP43" s="43">
        <f t="shared" si="456"/>
        <v>0</v>
      </c>
      <c r="HQ43" s="43">
        <f t="shared" si="457"/>
        <v>0</v>
      </c>
      <c r="HR43" s="43">
        <f t="shared" si="458"/>
        <v>0</v>
      </c>
      <c r="HS43" s="43">
        <f t="shared" si="459"/>
        <v>0</v>
      </c>
      <c r="HT43" s="43">
        <f t="shared" si="460"/>
        <v>0</v>
      </c>
      <c r="HU43" s="767"/>
      <c r="HV43" s="43">
        <f t="shared" si="461"/>
        <v>0</v>
      </c>
      <c r="HW43" s="43">
        <f t="shared" si="462"/>
        <v>0</v>
      </c>
      <c r="HX43" s="43">
        <f t="shared" si="463"/>
        <v>0</v>
      </c>
      <c r="HY43" s="43">
        <f t="shared" si="464"/>
        <v>0</v>
      </c>
      <c r="HZ43" s="43">
        <f t="shared" si="465"/>
        <v>0</v>
      </c>
      <c r="IA43" s="43">
        <f t="shared" si="466"/>
        <v>0</v>
      </c>
      <c r="IB43" s="43">
        <f t="shared" si="467"/>
        <v>0</v>
      </c>
      <c r="IC43" s="43">
        <f t="shared" si="468"/>
        <v>0</v>
      </c>
      <c r="ID43" s="43">
        <f t="shared" si="469"/>
        <v>0</v>
      </c>
      <c r="IE43" s="43">
        <f t="shared" si="470"/>
        <v>0</v>
      </c>
      <c r="IF43" s="43">
        <f t="shared" si="471"/>
        <v>0</v>
      </c>
      <c r="IG43" s="43">
        <f t="shared" si="472"/>
        <v>0</v>
      </c>
      <c r="IH43" s="43">
        <f t="shared" si="473"/>
        <v>0</v>
      </c>
      <c r="II43" s="43">
        <f t="shared" si="474"/>
        <v>0</v>
      </c>
      <c r="IJ43" s="786">
        <f t="shared" si="475"/>
        <v>0</v>
      </c>
      <c r="IK43" s="794"/>
    </row>
    <row r="44" spans="1:245">
      <c r="A44" s="642">
        <f t="shared" si="476"/>
        <v>14</v>
      </c>
      <c r="B44" s="762" t="str">
        <f t="shared" si="264"/>
        <v>Hardware Technician</v>
      </c>
      <c r="C44" s="775"/>
      <c r="D44" s="769"/>
      <c r="E44" s="52" t="str">
        <f t="shared" si="265"/>
        <v>Hardware TechnicianContr_Sub</v>
      </c>
      <c r="F44" s="793"/>
      <c r="G44" s="43"/>
      <c r="H44" s="43"/>
      <c r="I44" s="43"/>
      <c r="J44" s="43"/>
      <c r="K44" s="43"/>
      <c r="L44" s="43"/>
      <c r="M44" s="43"/>
      <c r="N44" s="43"/>
      <c r="O44" s="43"/>
      <c r="P44" s="43"/>
      <c r="Q44" s="43"/>
      <c r="R44" s="43"/>
      <c r="S44" s="43"/>
      <c r="T44" s="43"/>
      <c r="U44" s="767"/>
      <c r="V44" s="43">
        <f t="shared" ref="V44:AJ47" si="477">F44*(1+V$30)</f>
        <v>0</v>
      </c>
      <c r="W44" s="43">
        <f t="shared" si="477"/>
        <v>0</v>
      </c>
      <c r="X44" s="43">
        <f t="shared" si="477"/>
        <v>0</v>
      </c>
      <c r="Y44" s="43">
        <f t="shared" si="477"/>
        <v>0</v>
      </c>
      <c r="Z44" s="43">
        <f t="shared" si="477"/>
        <v>0</v>
      </c>
      <c r="AA44" s="43">
        <f t="shared" si="477"/>
        <v>0</v>
      </c>
      <c r="AB44" s="43">
        <f t="shared" si="477"/>
        <v>0</v>
      </c>
      <c r="AC44" s="43">
        <f t="shared" si="477"/>
        <v>0</v>
      </c>
      <c r="AD44" s="43">
        <f t="shared" si="477"/>
        <v>0</v>
      </c>
      <c r="AE44" s="43">
        <f t="shared" si="477"/>
        <v>0</v>
      </c>
      <c r="AF44" s="43">
        <f t="shared" si="477"/>
        <v>0</v>
      </c>
      <c r="AG44" s="43">
        <f t="shared" si="477"/>
        <v>0</v>
      </c>
      <c r="AH44" s="43">
        <f t="shared" si="477"/>
        <v>0</v>
      </c>
      <c r="AI44" s="43">
        <f t="shared" si="477"/>
        <v>0</v>
      </c>
      <c r="AJ44" s="43">
        <f t="shared" si="477"/>
        <v>0</v>
      </c>
      <c r="AK44" s="767"/>
      <c r="AL44" s="43">
        <f t="shared" ref="AL44:AZ47" si="478">V44*(1+AL$30)</f>
        <v>0</v>
      </c>
      <c r="AM44" s="43">
        <f t="shared" si="478"/>
        <v>0</v>
      </c>
      <c r="AN44" s="43">
        <f t="shared" si="478"/>
        <v>0</v>
      </c>
      <c r="AO44" s="43">
        <f t="shared" si="478"/>
        <v>0</v>
      </c>
      <c r="AP44" s="43">
        <f t="shared" si="478"/>
        <v>0</v>
      </c>
      <c r="AQ44" s="43">
        <f t="shared" si="478"/>
        <v>0</v>
      </c>
      <c r="AR44" s="43">
        <f t="shared" si="478"/>
        <v>0</v>
      </c>
      <c r="AS44" s="43">
        <f t="shared" si="478"/>
        <v>0</v>
      </c>
      <c r="AT44" s="43">
        <f t="shared" si="478"/>
        <v>0</v>
      </c>
      <c r="AU44" s="43">
        <f t="shared" si="478"/>
        <v>0</v>
      </c>
      <c r="AV44" s="43">
        <f t="shared" si="478"/>
        <v>0</v>
      </c>
      <c r="AW44" s="43">
        <f t="shared" si="478"/>
        <v>0</v>
      </c>
      <c r="AX44" s="43">
        <f t="shared" si="478"/>
        <v>0</v>
      </c>
      <c r="AY44" s="43">
        <f t="shared" si="478"/>
        <v>0</v>
      </c>
      <c r="AZ44" s="43">
        <f t="shared" si="478"/>
        <v>0</v>
      </c>
      <c r="BA44" s="767"/>
      <c r="BB44" s="43">
        <f t="shared" ref="BB44:BP47" si="479">AL44*(1+BB$30)</f>
        <v>0</v>
      </c>
      <c r="BC44" s="43">
        <f t="shared" si="479"/>
        <v>0</v>
      </c>
      <c r="BD44" s="43">
        <f t="shared" si="479"/>
        <v>0</v>
      </c>
      <c r="BE44" s="43">
        <f t="shared" si="479"/>
        <v>0</v>
      </c>
      <c r="BF44" s="43">
        <f t="shared" si="479"/>
        <v>0</v>
      </c>
      <c r="BG44" s="43">
        <f t="shared" si="479"/>
        <v>0</v>
      </c>
      <c r="BH44" s="43">
        <f t="shared" si="479"/>
        <v>0</v>
      </c>
      <c r="BI44" s="43">
        <f t="shared" si="479"/>
        <v>0</v>
      </c>
      <c r="BJ44" s="43">
        <f t="shared" si="479"/>
        <v>0</v>
      </c>
      <c r="BK44" s="43">
        <f t="shared" si="479"/>
        <v>0</v>
      </c>
      <c r="BL44" s="43">
        <f t="shared" si="479"/>
        <v>0</v>
      </c>
      <c r="BM44" s="43">
        <f t="shared" si="479"/>
        <v>0</v>
      </c>
      <c r="BN44" s="43">
        <f t="shared" si="479"/>
        <v>0</v>
      </c>
      <c r="BO44" s="43">
        <f t="shared" si="479"/>
        <v>0</v>
      </c>
      <c r="BP44" s="43">
        <f t="shared" si="479"/>
        <v>0</v>
      </c>
      <c r="BQ44" s="767"/>
      <c r="BR44" s="43">
        <f t="shared" ref="BR44:CF47" si="480">BB44*(1+BR$30)</f>
        <v>0</v>
      </c>
      <c r="BS44" s="43">
        <f t="shared" si="480"/>
        <v>0</v>
      </c>
      <c r="BT44" s="43">
        <f t="shared" si="480"/>
        <v>0</v>
      </c>
      <c r="BU44" s="43">
        <f t="shared" si="480"/>
        <v>0</v>
      </c>
      <c r="BV44" s="43">
        <f t="shared" si="480"/>
        <v>0</v>
      </c>
      <c r="BW44" s="43">
        <f t="shared" si="480"/>
        <v>0</v>
      </c>
      <c r="BX44" s="43">
        <f t="shared" si="480"/>
        <v>0</v>
      </c>
      <c r="BY44" s="43">
        <f t="shared" si="480"/>
        <v>0</v>
      </c>
      <c r="BZ44" s="43">
        <f t="shared" si="480"/>
        <v>0</v>
      </c>
      <c r="CA44" s="43">
        <f t="shared" si="480"/>
        <v>0</v>
      </c>
      <c r="CB44" s="43">
        <f t="shared" si="480"/>
        <v>0</v>
      </c>
      <c r="CC44" s="43">
        <f t="shared" si="480"/>
        <v>0</v>
      </c>
      <c r="CD44" s="43">
        <f t="shared" si="480"/>
        <v>0</v>
      </c>
      <c r="CE44" s="43">
        <f t="shared" si="480"/>
        <v>0</v>
      </c>
      <c r="CF44" s="43">
        <f t="shared" si="480"/>
        <v>0</v>
      </c>
      <c r="CG44" s="767"/>
      <c r="CH44" s="43">
        <f t="shared" ref="CH44:CV47" si="481">BR44*(1+CH$30)</f>
        <v>0</v>
      </c>
      <c r="CI44" s="43">
        <f t="shared" si="481"/>
        <v>0</v>
      </c>
      <c r="CJ44" s="43">
        <f t="shared" si="481"/>
        <v>0</v>
      </c>
      <c r="CK44" s="43">
        <f t="shared" si="481"/>
        <v>0</v>
      </c>
      <c r="CL44" s="43">
        <f t="shared" si="481"/>
        <v>0</v>
      </c>
      <c r="CM44" s="43">
        <f t="shared" si="481"/>
        <v>0</v>
      </c>
      <c r="CN44" s="43">
        <f t="shared" si="481"/>
        <v>0</v>
      </c>
      <c r="CO44" s="43">
        <f t="shared" si="481"/>
        <v>0</v>
      </c>
      <c r="CP44" s="43">
        <f t="shared" si="481"/>
        <v>0</v>
      </c>
      <c r="CQ44" s="43">
        <f t="shared" si="481"/>
        <v>0</v>
      </c>
      <c r="CR44" s="43">
        <f t="shared" si="481"/>
        <v>0</v>
      </c>
      <c r="CS44" s="43">
        <f t="shared" si="481"/>
        <v>0</v>
      </c>
      <c r="CT44" s="43">
        <f t="shared" si="481"/>
        <v>0</v>
      </c>
      <c r="CU44" s="43">
        <f t="shared" si="481"/>
        <v>0</v>
      </c>
      <c r="CV44" s="43">
        <f t="shared" si="481"/>
        <v>0</v>
      </c>
      <c r="CW44" s="767"/>
      <c r="CX44" s="43">
        <f t="shared" ref="CX44:DL47" si="482">CH44*(1+CX$30)</f>
        <v>0</v>
      </c>
      <c r="CY44" s="43">
        <f t="shared" si="482"/>
        <v>0</v>
      </c>
      <c r="CZ44" s="43">
        <f t="shared" si="482"/>
        <v>0</v>
      </c>
      <c r="DA44" s="43">
        <f t="shared" si="482"/>
        <v>0</v>
      </c>
      <c r="DB44" s="43">
        <f t="shared" si="482"/>
        <v>0</v>
      </c>
      <c r="DC44" s="43">
        <f t="shared" si="482"/>
        <v>0</v>
      </c>
      <c r="DD44" s="43">
        <f t="shared" si="482"/>
        <v>0</v>
      </c>
      <c r="DE44" s="43">
        <f t="shared" si="482"/>
        <v>0</v>
      </c>
      <c r="DF44" s="43">
        <f t="shared" si="482"/>
        <v>0</v>
      </c>
      <c r="DG44" s="43">
        <f t="shared" si="482"/>
        <v>0</v>
      </c>
      <c r="DH44" s="43">
        <f t="shared" si="482"/>
        <v>0</v>
      </c>
      <c r="DI44" s="43">
        <f t="shared" si="482"/>
        <v>0</v>
      </c>
      <c r="DJ44" s="43">
        <f t="shared" si="482"/>
        <v>0</v>
      </c>
      <c r="DK44" s="43">
        <f t="shared" si="482"/>
        <v>0</v>
      </c>
      <c r="DL44" s="43">
        <f t="shared" si="482"/>
        <v>0</v>
      </c>
      <c r="DM44" s="767"/>
      <c r="DN44" s="43">
        <f t="shared" ref="DN44:EB47" si="483">CX44*(1+DN$30)</f>
        <v>0</v>
      </c>
      <c r="DO44" s="43">
        <f t="shared" si="483"/>
        <v>0</v>
      </c>
      <c r="DP44" s="43">
        <f t="shared" si="483"/>
        <v>0</v>
      </c>
      <c r="DQ44" s="43">
        <f t="shared" si="483"/>
        <v>0</v>
      </c>
      <c r="DR44" s="43">
        <f t="shared" si="483"/>
        <v>0</v>
      </c>
      <c r="DS44" s="43">
        <f t="shared" si="483"/>
        <v>0</v>
      </c>
      <c r="DT44" s="43">
        <f t="shared" si="483"/>
        <v>0</v>
      </c>
      <c r="DU44" s="43">
        <f t="shared" si="483"/>
        <v>0</v>
      </c>
      <c r="DV44" s="43">
        <f t="shared" si="483"/>
        <v>0</v>
      </c>
      <c r="DW44" s="43">
        <f t="shared" si="483"/>
        <v>0</v>
      </c>
      <c r="DX44" s="43">
        <f t="shared" si="483"/>
        <v>0</v>
      </c>
      <c r="DY44" s="43">
        <f t="shared" si="483"/>
        <v>0</v>
      </c>
      <c r="DZ44" s="43">
        <f t="shared" si="483"/>
        <v>0</v>
      </c>
      <c r="EA44" s="43">
        <f t="shared" si="483"/>
        <v>0</v>
      </c>
      <c r="EB44" s="43">
        <f t="shared" si="483"/>
        <v>0</v>
      </c>
      <c r="EC44" s="767"/>
      <c r="ED44" s="43">
        <f t="shared" ref="ED44:ER47" si="484">DN44*(1+ED$30)</f>
        <v>0</v>
      </c>
      <c r="EE44" s="43">
        <f t="shared" si="484"/>
        <v>0</v>
      </c>
      <c r="EF44" s="43">
        <f t="shared" si="484"/>
        <v>0</v>
      </c>
      <c r="EG44" s="43">
        <f t="shared" si="484"/>
        <v>0</v>
      </c>
      <c r="EH44" s="43">
        <f t="shared" si="484"/>
        <v>0</v>
      </c>
      <c r="EI44" s="43">
        <f t="shared" si="484"/>
        <v>0</v>
      </c>
      <c r="EJ44" s="43">
        <f t="shared" si="484"/>
        <v>0</v>
      </c>
      <c r="EK44" s="43">
        <f t="shared" si="484"/>
        <v>0</v>
      </c>
      <c r="EL44" s="43">
        <f t="shared" si="484"/>
        <v>0</v>
      </c>
      <c r="EM44" s="43">
        <f t="shared" si="484"/>
        <v>0</v>
      </c>
      <c r="EN44" s="43">
        <f t="shared" si="484"/>
        <v>0</v>
      </c>
      <c r="EO44" s="43">
        <f t="shared" si="484"/>
        <v>0</v>
      </c>
      <c r="EP44" s="43">
        <f t="shared" si="484"/>
        <v>0</v>
      </c>
      <c r="EQ44" s="43">
        <f t="shared" si="484"/>
        <v>0</v>
      </c>
      <c r="ER44" s="43">
        <f t="shared" si="484"/>
        <v>0</v>
      </c>
      <c r="ES44" s="767"/>
      <c r="ET44" s="43">
        <f t="shared" ref="ET44:FH47" si="485">ED44*(1+ET$30)</f>
        <v>0</v>
      </c>
      <c r="EU44" s="43">
        <f t="shared" si="485"/>
        <v>0</v>
      </c>
      <c r="EV44" s="43">
        <f t="shared" si="485"/>
        <v>0</v>
      </c>
      <c r="EW44" s="43">
        <f t="shared" si="485"/>
        <v>0</v>
      </c>
      <c r="EX44" s="43">
        <f t="shared" si="485"/>
        <v>0</v>
      </c>
      <c r="EY44" s="43">
        <f t="shared" si="485"/>
        <v>0</v>
      </c>
      <c r="EZ44" s="43">
        <f t="shared" si="485"/>
        <v>0</v>
      </c>
      <c r="FA44" s="43">
        <f t="shared" si="485"/>
        <v>0</v>
      </c>
      <c r="FB44" s="43">
        <f t="shared" si="485"/>
        <v>0</v>
      </c>
      <c r="FC44" s="43">
        <f t="shared" si="485"/>
        <v>0</v>
      </c>
      <c r="FD44" s="43">
        <f t="shared" si="485"/>
        <v>0</v>
      </c>
      <c r="FE44" s="43">
        <f t="shared" si="485"/>
        <v>0</v>
      </c>
      <c r="FF44" s="43">
        <f t="shared" si="485"/>
        <v>0</v>
      </c>
      <c r="FG44" s="43">
        <f t="shared" si="485"/>
        <v>0</v>
      </c>
      <c r="FH44" s="43">
        <f t="shared" si="485"/>
        <v>0</v>
      </c>
      <c r="FI44" s="767"/>
      <c r="FJ44" s="43">
        <f t="shared" ref="FJ44:FX47" si="486">ET44*(1+FJ$30)</f>
        <v>0</v>
      </c>
      <c r="FK44" s="43">
        <f t="shared" si="486"/>
        <v>0</v>
      </c>
      <c r="FL44" s="43">
        <f t="shared" si="486"/>
        <v>0</v>
      </c>
      <c r="FM44" s="43">
        <f t="shared" si="486"/>
        <v>0</v>
      </c>
      <c r="FN44" s="43">
        <f t="shared" si="486"/>
        <v>0</v>
      </c>
      <c r="FO44" s="43">
        <f t="shared" si="486"/>
        <v>0</v>
      </c>
      <c r="FP44" s="43">
        <f t="shared" si="486"/>
        <v>0</v>
      </c>
      <c r="FQ44" s="43">
        <f t="shared" si="486"/>
        <v>0</v>
      </c>
      <c r="FR44" s="43">
        <f t="shared" si="486"/>
        <v>0</v>
      </c>
      <c r="FS44" s="43">
        <f t="shared" si="486"/>
        <v>0</v>
      </c>
      <c r="FT44" s="43">
        <f t="shared" si="486"/>
        <v>0</v>
      </c>
      <c r="FU44" s="43">
        <f t="shared" si="486"/>
        <v>0</v>
      </c>
      <c r="FV44" s="43">
        <f t="shared" si="486"/>
        <v>0</v>
      </c>
      <c r="FW44" s="43">
        <f t="shared" si="486"/>
        <v>0</v>
      </c>
      <c r="FX44" s="43">
        <f t="shared" si="486"/>
        <v>0</v>
      </c>
      <c r="FY44" s="767"/>
      <c r="FZ44" s="43">
        <f t="shared" ref="FZ44:GN47" si="487">FJ44*(1+FZ$30)</f>
        <v>0</v>
      </c>
      <c r="GA44" s="43">
        <f t="shared" si="487"/>
        <v>0</v>
      </c>
      <c r="GB44" s="43">
        <f t="shared" si="487"/>
        <v>0</v>
      </c>
      <c r="GC44" s="43">
        <f t="shared" si="487"/>
        <v>0</v>
      </c>
      <c r="GD44" s="43">
        <f t="shared" si="487"/>
        <v>0</v>
      </c>
      <c r="GE44" s="43">
        <f t="shared" si="487"/>
        <v>0</v>
      </c>
      <c r="GF44" s="43">
        <f t="shared" si="487"/>
        <v>0</v>
      </c>
      <c r="GG44" s="43">
        <f t="shared" si="487"/>
        <v>0</v>
      </c>
      <c r="GH44" s="43">
        <f t="shared" si="487"/>
        <v>0</v>
      </c>
      <c r="GI44" s="43">
        <f t="shared" si="487"/>
        <v>0</v>
      </c>
      <c r="GJ44" s="43">
        <f t="shared" si="487"/>
        <v>0</v>
      </c>
      <c r="GK44" s="43">
        <f t="shared" si="487"/>
        <v>0</v>
      </c>
      <c r="GL44" s="43">
        <f t="shared" si="487"/>
        <v>0</v>
      </c>
      <c r="GM44" s="43">
        <f t="shared" si="487"/>
        <v>0</v>
      </c>
      <c r="GN44" s="43">
        <f t="shared" si="487"/>
        <v>0</v>
      </c>
      <c r="GO44" s="767"/>
      <c r="GP44" s="43">
        <f t="shared" ref="GP44:HD47" si="488">FZ44*(1+GP$30)</f>
        <v>0</v>
      </c>
      <c r="GQ44" s="43">
        <f t="shared" si="488"/>
        <v>0</v>
      </c>
      <c r="GR44" s="43">
        <f t="shared" si="488"/>
        <v>0</v>
      </c>
      <c r="GS44" s="43">
        <f t="shared" si="488"/>
        <v>0</v>
      </c>
      <c r="GT44" s="43">
        <f t="shared" si="488"/>
        <v>0</v>
      </c>
      <c r="GU44" s="43">
        <f t="shared" si="488"/>
        <v>0</v>
      </c>
      <c r="GV44" s="43">
        <f t="shared" si="488"/>
        <v>0</v>
      </c>
      <c r="GW44" s="43">
        <f t="shared" si="488"/>
        <v>0</v>
      </c>
      <c r="GX44" s="43">
        <f t="shared" si="488"/>
        <v>0</v>
      </c>
      <c r="GY44" s="43">
        <f t="shared" si="488"/>
        <v>0</v>
      </c>
      <c r="GZ44" s="43">
        <f t="shared" si="488"/>
        <v>0</v>
      </c>
      <c r="HA44" s="43">
        <f t="shared" si="488"/>
        <v>0</v>
      </c>
      <c r="HB44" s="43">
        <f t="shared" si="488"/>
        <v>0</v>
      </c>
      <c r="HC44" s="43">
        <f t="shared" si="488"/>
        <v>0</v>
      </c>
      <c r="HD44" s="43">
        <f t="shared" si="488"/>
        <v>0</v>
      </c>
      <c r="HE44" s="767"/>
      <c r="HF44" s="43">
        <f t="shared" ref="HF44:HT47" si="489">GP44*(1+HF$30)</f>
        <v>0</v>
      </c>
      <c r="HG44" s="43">
        <f t="shared" si="489"/>
        <v>0</v>
      </c>
      <c r="HH44" s="43">
        <f t="shared" si="489"/>
        <v>0</v>
      </c>
      <c r="HI44" s="43">
        <f t="shared" si="489"/>
        <v>0</v>
      </c>
      <c r="HJ44" s="43">
        <f t="shared" si="489"/>
        <v>0</v>
      </c>
      <c r="HK44" s="43">
        <f t="shared" si="489"/>
        <v>0</v>
      </c>
      <c r="HL44" s="43">
        <f t="shared" si="489"/>
        <v>0</v>
      </c>
      <c r="HM44" s="43">
        <f t="shared" si="489"/>
        <v>0</v>
      </c>
      <c r="HN44" s="43">
        <f t="shared" si="489"/>
        <v>0</v>
      </c>
      <c r="HO44" s="43">
        <f t="shared" si="489"/>
        <v>0</v>
      </c>
      <c r="HP44" s="43">
        <f t="shared" si="489"/>
        <v>0</v>
      </c>
      <c r="HQ44" s="43">
        <f t="shared" si="489"/>
        <v>0</v>
      </c>
      <c r="HR44" s="43">
        <f t="shared" si="489"/>
        <v>0</v>
      </c>
      <c r="HS44" s="43">
        <f t="shared" si="489"/>
        <v>0</v>
      </c>
      <c r="HT44" s="43">
        <f t="shared" si="489"/>
        <v>0</v>
      </c>
      <c r="HU44" s="767"/>
      <c r="HV44" s="43">
        <f t="shared" ref="HV44:IJ47" si="490">HF44*(1+HV$30)</f>
        <v>0</v>
      </c>
      <c r="HW44" s="43">
        <f t="shared" si="490"/>
        <v>0</v>
      </c>
      <c r="HX44" s="43">
        <f t="shared" si="490"/>
        <v>0</v>
      </c>
      <c r="HY44" s="43">
        <f t="shared" si="490"/>
        <v>0</v>
      </c>
      <c r="HZ44" s="43">
        <f t="shared" si="490"/>
        <v>0</v>
      </c>
      <c r="IA44" s="43">
        <f t="shared" si="490"/>
        <v>0</v>
      </c>
      <c r="IB44" s="43">
        <f t="shared" si="490"/>
        <v>0</v>
      </c>
      <c r="IC44" s="43">
        <f t="shared" si="490"/>
        <v>0</v>
      </c>
      <c r="ID44" s="43">
        <f t="shared" si="490"/>
        <v>0</v>
      </c>
      <c r="IE44" s="43">
        <f t="shared" si="490"/>
        <v>0</v>
      </c>
      <c r="IF44" s="43">
        <f t="shared" si="490"/>
        <v>0</v>
      </c>
      <c r="IG44" s="43">
        <f t="shared" si="490"/>
        <v>0</v>
      </c>
      <c r="IH44" s="43">
        <f t="shared" si="490"/>
        <v>0</v>
      </c>
      <c r="II44" s="43">
        <f t="shared" si="490"/>
        <v>0</v>
      </c>
      <c r="IJ44" s="786">
        <f t="shared" si="490"/>
        <v>0</v>
      </c>
      <c r="IK44" s="794"/>
    </row>
    <row r="45" spans="1:245">
      <c r="A45" s="642">
        <f t="shared" si="476"/>
        <v>15</v>
      </c>
      <c r="B45" s="762" t="str">
        <f t="shared" si="264"/>
        <v>Repair/Exchange Specialist</v>
      </c>
      <c r="C45" s="775"/>
      <c r="D45" s="769"/>
      <c r="E45" s="52" t="str">
        <f t="shared" si="265"/>
        <v>Repair/Exchange SpecialistContr_Sub</v>
      </c>
      <c r="F45" s="793"/>
      <c r="G45" s="43"/>
      <c r="H45" s="43"/>
      <c r="I45" s="43"/>
      <c r="J45" s="43"/>
      <c r="K45" s="43"/>
      <c r="L45" s="43"/>
      <c r="M45" s="43"/>
      <c r="N45" s="43"/>
      <c r="O45" s="43"/>
      <c r="P45" s="43"/>
      <c r="Q45" s="43"/>
      <c r="R45" s="43"/>
      <c r="S45" s="43"/>
      <c r="T45" s="43"/>
      <c r="U45" s="767"/>
      <c r="V45" s="43">
        <f t="shared" si="477"/>
        <v>0</v>
      </c>
      <c r="W45" s="43">
        <f t="shared" si="477"/>
        <v>0</v>
      </c>
      <c r="X45" s="43">
        <f t="shared" si="477"/>
        <v>0</v>
      </c>
      <c r="Y45" s="43">
        <f t="shared" si="477"/>
        <v>0</v>
      </c>
      <c r="Z45" s="43">
        <f t="shared" si="477"/>
        <v>0</v>
      </c>
      <c r="AA45" s="43">
        <f t="shared" si="477"/>
        <v>0</v>
      </c>
      <c r="AB45" s="43">
        <f t="shared" si="477"/>
        <v>0</v>
      </c>
      <c r="AC45" s="43">
        <f t="shared" si="477"/>
        <v>0</v>
      </c>
      <c r="AD45" s="43">
        <f t="shared" si="477"/>
        <v>0</v>
      </c>
      <c r="AE45" s="43">
        <f t="shared" si="477"/>
        <v>0</v>
      </c>
      <c r="AF45" s="43">
        <f t="shared" si="477"/>
        <v>0</v>
      </c>
      <c r="AG45" s="43">
        <f t="shared" si="477"/>
        <v>0</v>
      </c>
      <c r="AH45" s="43">
        <f t="shared" si="477"/>
        <v>0</v>
      </c>
      <c r="AI45" s="43">
        <f t="shared" si="477"/>
        <v>0</v>
      </c>
      <c r="AJ45" s="43">
        <f t="shared" si="477"/>
        <v>0</v>
      </c>
      <c r="AK45" s="767"/>
      <c r="AL45" s="43">
        <f t="shared" si="478"/>
        <v>0</v>
      </c>
      <c r="AM45" s="43">
        <f t="shared" si="478"/>
        <v>0</v>
      </c>
      <c r="AN45" s="43">
        <f t="shared" si="478"/>
        <v>0</v>
      </c>
      <c r="AO45" s="43">
        <f t="shared" si="478"/>
        <v>0</v>
      </c>
      <c r="AP45" s="43">
        <f t="shared" si="478"/>
        <v>0</v>
      </c>
      <c r="AQ45" s="43">
        <f t="shared" si="478"/>
        <v>0</v>
      </c>
      <c r="AR45" s="43">
        <f t="shared" si="478"/>
        <v>0</v>
      </c>
      <c r="AS45" s="43">
        <f t="shared" si="478"/>
        <v>0</v>
      </c>
      <c r="AT45" s="43">
        <f t="shared" si="478"/>
        <v>0</v>
      </c>
      <c r="AU45" s="43">
        <f t="shared" si="478"/>
        <v>0</v>
      </c>
      <c r="AV45" s="43">
        <f t="shared" si="478"/>
        <v>0</v>
      </c>
      <c r="AW45" s="43">
        <f t="shared" si="478"/>
        <v>0</v>
      </c>
      <c r="AX45" s="43">
        <f t="shared" si="478"/>
        <v>0</v>
      </c>
      <c r="AY45" s="43">
        <f t="shared" si="478"/>
        <v>0</v>
      </c>
      <c r="AZ45" s="43">
        <f t="shared" si="478"/>
        <v>0</v>
      </c>
      <c r="BA45" s="767"/>
      <c r="BB45" s="43">
        <f t="shared" si="479"/>
        <v>0</v>
      </c>
      <c r="BC45" s="43">
        <f t="shared" si="479"/>
        <v>0</v>
      </c>
      <c r="BD45" s="43">
        <f t="shared" si="479"/>
        <v>0</v>
      </c>
      <c r="BE45" s="43">
        <f t="shared" si="479"/>
        <v>0</v>
      </c>
      <c r="BF45" s="43">
        <f t="shared" si="479"/>
        <v>0</v>
      </c>
      <c r="BG45" s="43">
        <f t="shared" si="479"/>
        <v>0</v>
      </c>
      <c r="BH45" s="43">
        <f t="shared" si="479"/>
        <v>0</v>
      </c>
      <c r="BI45" s="43">
        <f t="shared" si="479"/>
        <v>0</v>
      </c>
      <c r="BJ45" s="43">
        <f t="shared" si="479"/>
        <v>0</v>
      </c>
      <c r="BK45" s="43">
        <f t="shared" si="479"/>
        <v>0</v>
      </c>
      <c r="BL45" s="43">
        <f t="shared" si="479"/>
        <v>0</v>
      </c>
      <c r="BM45" s="43">
        <f t="shared" si="479"/>
        <v>0</v>
      </c>
      <c r="BN45" s="43">
        <f t="shared" si="479"/>
        <v>0</v>
      </c>
      <c r="BO45" s="43">
        <f t="shared" si="479"/>
        <v>0</v>
      </c>
      <c r="BP45" s="43">
        <f t="shared" si="479"/>
        <v>0</v>
      </c>
      <c r="BQ45" s="767"/>
      <c r="BR45" s="43">
        <f t="shared" si="480"/>
        <v>0</v>
      </c>
      <c r="BS45" s="43">
        <f t="shared" si="480"/>
        <v>0</v>
      </c>
      <c r="BT45" s="43">
        <f t="shared" si="480"/>
        <v>0</v>
      </c>
      <c r="BU45" s="43">
        <f t="shared" si="480"/>
        <v>0</v>
      </c>
      <c r="BV45" s="43">
        <f t="shared" si="480"/>
        <v>0</v>
      </c>
      <c r="BW45" s="43">
        <f t="shared" si="480"/>
        <v>0</v>
      </c>
      <c r="BX45" s="43">
        <f t="shared" si="480"/>
        <v>0</v>
      </c>
      <c r="BY45" s="43">
        <f t="shared" si="480"/>
        <v>0</v>
      </c>
      <c r="BZ45" s="43">
        <f t="shared" si="480"/>
        <v>0</v>
      </c>
      <c r="CA45" s="43">
        <f t="shared" si="480"/>
        <v>0</v>
      </c>
      <c r="CB45" s="43">
        <f t="shared" si="480"/>
        <v>0</v>
      </c>
      <c r="CC45" s="43">
        <f t="shared" si="480"/>
        <v>0</v>
      </c>
      <c r="CD45" s="43">
        <f t="shared" si="480"/>
        <v>0</v>
      </c>
      <c r="CE45" s="43">
        <f t="shared" si="480"/>
        <v>0</v>
      </c>
      <c r="CF45" s="43">
        <f t="shared" si="480"/>
        <v>0</v>
      </c>
      <c r="CG45" s="767"/>
      <c r="CH45" s="43">
        <f t="shared" si="481"/>
        <v>0</v>
      </c>
      <c r="CI45" s="43">
        <f t="shared" si="481"/>
        <v>0</v>
      </c>
      <c r="CJ45" s="43">
        <f t="shared" si="481"/>
        <v>0</v>
      </c>
      <c r="CK45" s="43">
        <f t="shared" si="481"/>
        <v>0</v>
      </c>
      <c r="CL45" s="43">
        <f t="shared" si="481"/>
        <v>0</v>
      </c>
      <c r="CM45" s="43">
        <f t="shared" si="481"/>
        <v>0</v>
      </c>
      <c r="CN45" s="43">
        <f t="shared" si="481"/>
        <v>0</v>
      </c>
      <c r="CO45" s="43">
        <f t="shared" si="481"/>
        <v>0</v>
      </c>
      <c r="CP45" s="43">
        <f t="shared" si="481"/>
        <v>0</v>
      </c>
      <c r="CQ45" s="43">
        <f t="shared" si="481"/>
        <v>0</v>
      </c>
      <c r="CR45" s="43">
        <f t="shared" si="481"/>
        <v>0</v>
      </c>
      <c r="CS45" s="43">
        <f t="shared" si="481"/>
        <v>0</v>
      </c>
      <c r="CT45" s="43">
        <f t="shared" si="481"/>
        <v>0</v>
      </c>
      <c r="CU45" s="43">
        <f t="shared" si="481"/>
        <v>0</v>
      </c>
      <c r="CV45" s="43">
        <f t="shared" si="481"/>
        <v>0</v>
      </c>
      <c r="CW45" s="767"/>
      <c r="CX45" s="43">
        <f t="shared" si="482"/>
        <v>0</v>
      </c>
      <c r="CY45" s="43">
        <f t="shared" si="482"/>
        <v>0</v>
      </c>
      <c r="CZ45" s="43">
        <f t="shared" si="482"/>
        <v>0</v>
      </c>
      <c r="DA45" s="43">
        <f t="shared" si="482"/>
        <v>0</v>
      </c>
      <c r="DB45" s="43">
        <f t="shared" si="482"/>
        <v>0</v>
      </c>
      <c r="DC45" s="43">
        <f t="shared" si="482"/>
        <v>0</v>
      </c>
      <c r="DD45" s="43">
        <f t="shared" si="482"/>
        <v>0</v>
      </c>
      <c r="DE45" s="43">
        <f t="shared" si="482"/>
        <v>0</v>
      </c>
      <c r="DF45" s="43">
        <f t="shared" si="482"/>
        <v>0</v>
      </c>
      <c r="DG45" s="43">
        <f t="shared" si="482"/>
        <v>0</v>
      </c>
      <c r="DH45" s="43">
        <f t="shared" si="482"/>
        <v>0</v>
      </c>
      <c r="DI45" s="43">
        <f t="shared" si="482"/>
        <v>0</v>
      </c>
      <c r="DJ45" s="43">
        <f t="shared" si="482"/>
        <v>0</v>
      </c>
      <c r="DK45" s="43">
        <f t="shared" si="482"/>
        <v>0</v>
      </c>
      <c r="DL45" s="43">
        <f t="shared" si="482"/>
        <v>0</v>
      </c>
      <c r="DM45" s="767"/>
      <c r="DN45" s="43">
        <f t="shared" si="483"/>
        <v>0</v>
      </c>
      <c r="DO45" s="43">
        <f t="shared" si="483"/>
        <v>0</v>
      </c>
      <c r="DP45" s="43">
        <f t="shared" si="483"/>
        <v>0</v>
      </c>
      <c r="DQ45" s="43">
        <f t="shared" si="483"/>
        <v>0</v>
      </c>
      <c r="DR45" s="43">
        <f t="shared" si="483"/>
        <v>0</v>
      </c>
      <c r="DS45" s="43">
        <f t="shared" si="483"/>
        <v>0</v>
      </c>
      <c r="DT45" s="43">
        <f t="shared" si="483"/>
        <v>0</v>
      </c>
      <c r="DU45" s="43">
        <f t="shared" si="483"/>
        <v>0</v>
      </c>
      <c r="DV45" s="43">
        <f t="shared" si="483"/>
        <v>0</v>
      </c>
      <c r="DW45" s="43">
        <f t="shared" si="483"/>
        <v>0</v>
      </c>
      <c r="DX45" s="43">
        <f t="shared" si="483"/>
        <v>0</v>
      </c>
      <c r="DY45" s="43">
        <f t="shared" si="483"/>
        <v>0</v>
      </c>
      <c r="DZ45" s="43">
        <f t="shared" si="483"/>
        <v>0</v>
      </c>
      <c r="EA45" s="43">
        <f t="shared" si="483"/>
        <v>0</v>
      </c>
      <c r="EB45" s="43">
        <f t="shared" si="483"/>
        <v>0</v>
      </c>
      <c r="EC45" s="767"/>
      <c r="ED45" s="43">
        <f t="shared" si="484"/>
        <v>0</v>
      </c>
      <c r="EE45" s="43">
        <f t="shared" si="484"/>
        <v>0</v>
      </c>
      <c r="EF45" s="43">
        <f t="shared" si="484"/>
        <v>0</v>
      </c>
      <c r="EG45" s="43">
        <f t="shared" si="484"/>
        <v>0</v>
      </c>
      <c r="EH45" s="43">
        <f t="shared" si="484"/>
        <v>0</v>
      </c>
      <c r="EI45" s="43">
        <f t="shared" si="484"/>
        <v>0</v>
      </c>
      <c r="EJ45" s="43">
        <f t="shared" si="484"/>
        <v>0</v>
      </c>
      <c r="EK45" s="43">
        <f t="shared" si="484"/>
        <v>0</v>
      </c>
      <c r="EL45" s="43">
        <f t="shared" si="484"/>
        <v>0</v>
      </c>
      <c r="EM45" s="43">
        <f t="shared" si="484"/>
        <v>0</v>
      </c>
      <c r="EN45" s="43">
        <f t="shared" si="484"/>
        <v>0</v>
      </c>
      <c r="EO45" s="43">
        <f t="shared" si="484"/>
        <v>0</v>
      </c>
      <c r="EP45" s="43">
        <f t="shared" si="484"/>
        <v>0</v>
      </c>
      <c r="EQ45" s="43">
        <f t="shared" si="484"/>
        <v>0</v>
      </c>
      <c r="ER45" s="43">
        <f t="shared" si="484"/>
        <v>0</v>
      </c>
      <c r="ES45" s="767"/>
      <c r="ET45" s="43">
        <f t="shared" si="485"/>
        <v>0</v>
      </c>
      <c r="EU45" s="43">
        <f t="shared" si="485"/>
        <v>0</v>
      </c>
      <c r="EV45" s="43">
        <f t="shared" si="485"/>
        <v>0</v>
      </c>
      <c r="EW45" s="43">
        <f t="shared" si="485"/>
        <v>0</v>
      </c>
      <c r="EX45" s="43">
        <f t="shared" si="485"/>
        <v>0</v>
      </c>
      <c r="EY45" s="43">
        <f t="shared" si="485"/>
        <v>0</v>
      </c>
      <c r="EZ45" s="43">
        <f t="shared" si="485"/>
        <v>0</v>
      </c>
      <c r="FA45" s="43">
        <f t="shared" si="485"/>
        <v>0</v>
      </c>
      <c r="FB45" s="43">
        <f t="shared" si="485"/>
        <v>0</v>
      </c>
      <c r="FC45" s="43">
        <f t="shared" si="485"/>
        <v>0</v>
      </c>
      <c r="FD45" s="43">
        <f t="shared" si="485"/>
        <v>0</v>
      </c>
      <c r="FE45" s="43">
        <f t="shared" si="485"/>
        <v>0</v>
      </c>
      <c r="FF45" s="43">
        <f t="shared" si="485"/>
        <v>0</v>
      </c>
      <c r="FG45" s="43">
        <f t="shared" si="485"/>
        <v>0</v>
      </c>
      <c r="FH45" s="43">
        <f t="shared" si="485"/>
        <v>0</v>
      </c>
      <c r="FI45" s="767"/>
      <c r="FJ45" s="43">
        <f t="shared" si="486"/>
        <v>0</v>
      </c>
      <c r="FK45" s="43">
        <f t="shared" si="486"/>
        <v>0</v>
      </c>
      <c r="FL45" s="43">
        <f t="shared" si="486"/>
        <v>0</v>
      </c>
      <c r="FM45" s="43">
        <f t="shared" si="486"/>
        <v>0</v>
      </c>
      <c r="FN45" s="43">
        <f t="shared" si="486"/>
        <v>0</v>
      </c>
      <c r="FO45" s="43">
        <f t="shared" si="486"/>
        <v>0</v>
      </c>
      <c r="FP45" s="43">
        <f t="shared" si="486"/>
        <v>0</v>
      </c>
      <c r="FQ45" s="43">
        <f t="shared" si="486"/>
        <v>0</v>
      </c>
      <c r="FR45" s="43">
        <f t="shared" si="486"/>
        <v>0</v>
      </c>
      <c r="FS45" s="43">
        <f t="shared" si="486"/>
        <v>0</v>
      </c>
      <c r="FT45" s="43">
        <f t="shared" si="486"/>
        <v>0</v>
      </c>
      <c r="FU45" s="43">
        <f t="shared" si="486"/>
        <v>0</v>
      </c>
      <c r="FV45" s="43">
        <f t="shared" si="486"/>
        <v>0</v>
      </c>
      <c r="FW45" s="43">
        <f t="shared" si="486"/>
        <v>0</v>
      </c>
      <c r="FX45" s="43">
        <f t="shared" si="486"/>
        <v>0</v>
      </c>
      <c r="FY45" s="767"/>
      <c r="FZ45" s="43">
        <f t="shared" si="487"/>
        <v>0</v>
      </c>
      <c r="GA45" s="43">
        <f t="shared" si="487"/>
        <v>0</v>
      </c>
      <c r="GB45" s="43">
        <f t="shared" si="487"/>
        <v>0</v>
      </c>
      <c r="GC45" s="43">
        <f t="shared" si="487"/>
        <v>0</v>
      </c>
      <c r="GD45" s="43">
        <f t="shared" si="487"/>
        <v>0</v>
      </c>
      <c r="GE45" s="43">
        <f t="shared" si="487"/>
        <v>0</v>
      </c>
      <c r="GF45" s="43">
        <f t="shared" si="487"/>
        <v>0</v>
      </c>
      <c r="GG45" s="43">
        <f t="shared" si="487"/>
        <v>0</v>
      </c>
      <c r="GH45" s="43">
        <f t="shared" si="487"/>
        <v>0</v>
      </c>
      <c r="GI45" s="43">
        <f t="shared" si="487"/>
        <v>0</v>
      </c>
      <c r="GJ45" s="43">
        <f t="shared" si="487"/>
        <v>0</v>
      </c>
      <c r="GK45" s="43">
        <f t="shared" si="487"/>
        <v>0</v>
      </c>
      <c r="GL45" s="43">
        <f t="shared" si="487"/>
        <v>0</v>
      </c>
      <c r="GM45" s="43">
        <f t="shared" si="487"/>
        <v>0</v>
      </c>
      <c r="GN45" s="43">
        <f t="shared" si="487"/>
        <v>0</v>
      </c>
      <c r="GO45" s="767"/>
      <c r="GP45" s="43">
        <f t="shared" si="488"/>
        <v>0</v>
      </c>
      <c r="GQ45" s="43">
        <f t="shared" si="488"/>
        <v>0</v>
      </c>
      <c r="GR45" s="43">
        <f t="shared" si="488"/>
        <v>0</v>
      </c>
      <c r="GS45" s="43">
        <f t="shared" si="488"/>
        <v>0</v>
      </c>
      <c r="GT45" s="43">
        <f t="shared" si="488"/>
        <v>0</v>
      </c>
      <c r="GU45" s="43">
        <f t="shared" si="488"/>
        <v>0</v>
      </c>
      <c r="GV45" s="43">
        <f t="shared" si="488"/>
        <v>0</v>
      </c>
      <c r="GW45" s="43">
        <f t="shared" si="488"/>
        <v>0</v>
      </c>
      <c r="GX45" s="43">
        <f t="shared" si="488"/>
        <v>0</v>
      </c>
      <c r="GY45" s="43">
        <f t="shared" si="488"/>
        <v>0</v>
      </c>
      <c r="GZ45" s="43">
        <f t="shared" si="488"/>
        <v>0</v>
      </c>
      <c r="HA45" s="43">
        <f t="shared" si="488"/>
        <v>0</v>
      </c>
      <c r="HB45" s="43">
        <f t="shared" si="488"/>
        <v>0</v>
      </c>
      <c r="HC45" s="43">
        <f t="shared" si="488"/>
        <v>0</v>
      </c>
      <c r="HD45" s="43">
        <f t="shared" si="488"/>
        <v>0</v>
      </c>
      <c r="HE45" s="767"/>
      <c r="HF45" s="43">
        <f t="shared" si="489"/>
        <v>0</v>
      </c>
      <c r="HG45" s="43">
        <f t="shared" si="489"/>
        <v>0</v>
      </c>
      <c r="HH45" s="43">
        <f t="shared" si="489"/>
        <v>0</v>
      </c>
      <c r="HI45" s="43">
        <f t="shared" si="489"/>
        <v>0</v>
      </c>
      <c r="HJ45" s="43">
        <f t="shared" si="489"/>
        <v>0</v>
      </c>
      <c r="HK45" s="43">
        <f t="shared" si="489"/>
        <v>0</v>
      </c>
      <c r="HL45" s="43">
        <f t="shared" si="489"/>
        <v>0</v>
      </c>
      <c r="HM45" s="43">
        <f t="shared" si="489"/>
        <v>0</v>
      </c>
      <c r="HN45" s="43">
        <f t="shared" si="489"/>
        <v>0</v>
      </c>
      <c r="HO45" s="43">
        <f t="shared" si="489"/>
        <v>0</v>
      </c>
      <c r="HP45" s="43">
        <f t="shared" si="489"/>
        <v>0</v>
      </c>
      <c r="HQ45" s="43">
        <f t="shared" si="489"/>
        <v>0</v>
      </c>
      <c r="HR45" s="43">
        <f t="shared" si="489"/>
        <v>0</v>
      </c>
      <c r="HS45" s="43">
        <f t="shared" si="489"/>
        <v>0</v>
      </c>
      <c r="HT45" s="43">
        <f t="shared" si="489"/>
        <v>0</v>
      </c>
      <c r="HU45" s="767"/>
      <c r="HV45" s="43">
        <f t="shared" si="490"/>
        <v>0</v>
      </c>
      <c r="HW45" s="43">
        <f t="shared" si="490"/>
        <v>0</v>
      </c>
      <c r="HX45" s="43">
        <f t="shared" si="490"/>
        <v>0</v>
      </c>
      <c r="HY45" s="43">
        <f t="shared" si="490"/>
        <v>0</v>
      </c>
      <c r="HZ45" s="43">
        <f t="shared" si="490"/>
        <v>0</v>
      </c>
      <c r="IA45" s="43">
        <f t="shared" si="490"/>
        <v>0</v>
      </c>
      <c r="IB45" s="43">
        <f t="shared" si="490"/>
        <v>0</v>
      </c>
      <c r="IC45" s="43">
        <f t="shared" si="490"/>
        <v>0</v>
      </c>
      <c r="ID45" s="43">
        <f t="shared" si="490"/>
        <v>0</v>
      </c>
      <c r="IE45" s="43">
        <f t="shared" si="490"/>
        <v>0</v>
      </c>
      <c r="IF45" s="43">
        <f t="shared" si="490"/>
        <v>0</v>
      </c>
      <c r="IG45" s="43">
        <f t="shared" si="490"/>
        <v>0</v>
      </c>
      <c r="IH45" s="43">
        <f t="shared" si="490"/>
        <v>0</v>
      </c>
      <c r="II45" s="43">
        <f t="shared" si="490"/>
        <v>0</v>
      </c>
      <c r="IJ45" s="786">
        <f t="shared" si="490"/>
        <v>0</v>
      </c>
      <c r="IK45" s="794"/>
    </row>
    <row r="46" spans="1:245">
      <c r="A46" s="642">
        <f t="shared" si="476"/>
        <v>16</v>
      </c>
      <c r="B46" s="762" t="str">
        <f t="shared" si="264"/>
        <v>PMO Cost</v>
      </c>
      <c r="C46" s="775"/>
      <c r="D46" s="769"/>
      <c r="E46" s="52" t="str">
        <f t="shared" si="265"/>
        <v>PMO CostContr_Sub</v>
      </c>
      <c r="F46" s="793"/>
      <c r="G46" s="43"/>
      <c r="H46" s="43"/>
      <c r="I46" s="43"/>
      <c r="J46" s="43"/>
      <c r="K46" s="43"/>
      <c r="L46" s="43"/>
      <c r="M46" s="43"/>
      <c r="N46" s="43"/>
      <c r="O46" s="43"/>
      <c r="P46" s="43"/>
      <c r="Q46" s="43"/>
      <c r="R46" s="43"/>
      <c r="S46" s="43"/>
      <c r="T46" s="43"/>
      <c r="U46" s="767"/>
      <c r="V46" s="43">
        <f t="shared" si="477"/>
        <v>0</v>
      </c>
      <c r="W46" s="43">
        <f t="shared" si="477"/>
        <v>0</v>
      </c>
      <c r="X46" s="43">
        <f t="shared" si="477"/>
        <v>0</v>
      </c>
      <c r="Y46" s="43">
        <f t="shared" si="477"/>
        <v>0</v>
      </c>
      <c r="Z46" s="43">
        <f t="shared" si="477"/>
        <v>0</v>
      </c>
      <c r="AA46" s="43">
        <f t="shared" si="477"/>
        <v>0</v>
      </c>
      <c r="AB46" s="43">
        <f t="shared" si="477"/>
        <v>0</v>
      </c>
      <c r="AC46" s="43">
        <f t="shared" si="477"/>
        <v>0</v>
      </c>
      <c r="AD46" s="43">
        <f t="shared" si="477"/>
        <v>0</v>
      </c>
      <c r="AE46" s="43">
        <f t="shared" si="477"/>
        <v>0</v>
      </c>
      <c r="AF46" s="43">
        <f t="shared" si="477"/>
        <v>0</v>
      </c>
      <c r="AG46" s="43">
        <f t="shared" si="477"/>
        <v>0</v>
      </c>
      <c r="AH46" s="43">
        <f t="shared" si="477"/>
        <v>0</v>
      </c>
      <c r="AI46" s="43">
        <f t="shared" si="477"/>
        <v>0</v>
      </c>
      <c r="AJ46" s="43">
        <f t="shared" si="477"/>
        <v>0</v>
      </c>
      <c r="AK46" s="767"/>
      <c r="AL46" s="43">
        <f t="shared" si="478"/>
        <v>0</v>
      </c>
      <c r="AM46" s="43">
        <f t="shared" si="478"/>
        <v>0</v>
      </c>
      <c r="AN46" s="43">
        <f t="shared" si="478"/>
        <v>0</v>
      </c>
      <c r="AO46" s="43">
        <f t="shared" si="478"/>
        <v>0</v>
      </c>
      <c r="AP46" s="43">
        <f t="shared" si="478"/>
        <v>0</v>
      </c>
      <c r="AQ46" s="43">
        <f t="shared" si="478"/>
        <v>0</v>
      </c>
      <c r="AR46" s="43">
        <f t="shared" si="478"/>
        <v>0</v>
      </c>
      <c r="AS46" s="43">
        <f t="shared" si="478"/>
        <v>0</v>
      </c>
      <c r="AT46" s="43">
        <f t="shared" si="478"/>
        <v>0</v>
      </c>
      <c r="AU46" s="43">
        <f t="shared" si="478"/>
        <v>0</v>
      </c>
      <c r="AV46" s="43">
        <f t="shared" si="478"/>
        <v>0</v>
      </c>
      <c r="AW46" s="43">
        <f t="shared" si="478"/>
        <v>0</v>
      </c>
      <c r="AX46" s="43">
        <f t="shared" si="478"/>
        <v>0</v>
      </c>
      <c r="AY46" s="43">
        <f t="shared" si="478"/>
        <v>0</v>
      </c>
      <c r="AZ46" s="43">
        <f t="shared" si="478"/>
        <v>0</v>
      </c>
      <c r="BA46" s="767"/>
      <c r="BB46" s="43">
        <f t="shared" si="479"/>
        <v>0</v>
      </c>
      <c r="BC46" s="43">
        <f t="shared" si="479"/>
        <v>0</v>
      </c>
      <c r="BD46" s="43">
        <f t="shared" si="479"/>
        <v>0</v>
      </c>
      <c r="BE46" s="43">
        <f t="shared" si="479"/>
        <v>0</v>
      </c>
      <c r="BF46" s="43">
        <f t="shared" si="479"/>
        <v>0</v>
      </c>
      <c r="BG46" s="43">
        <f t="shared" si="479"/>
        <v>0</v>
      </c>
      <c r="BH46" s="43">
        <f t="shared" si="479"/>
        <v>0</v>
      </c>
      <c r="BI46" s="43">
        <f t="shared" si="479"/>
        <v>0</v>
      </c>
      <c r="BJ46" s="43">
        <f t="shared" si="479"/>
        <v>0</v>
      </c>
      <c r="BK46" s="43">
        <f t="shared" si="479"/>
        <v>0</v>
      </c>
      <c r="BL46" s="43">
        <f t="shared" si="479"/>
        <v>0</v>
      </c>
      <c r="BM46" s="43">
        <f t="shared" si="479"/>
        <v>0</v>
      </c>
      <c r="BN46" s="43">
        <f t="shared" si="479"/>
        <v>0</v>
      </c>
      <c r="BO46" s="43">
        <f t="shared" si="479"/>
        <v>0</v>
      </c>
      <c r="BP46" s="43">
        <f t="shared" si="479"/>
        <v>0</v>
      </c>
      <c r="BQ46" s="767"/>
      <c r="BR46" s="43">
        <f t="shared" si="480"/>
        <v>0</v>
      </c>
      <c r="BS46" s="43">
        <f t="shared" si="480"/>
        <v>0</v>
      </c>
      <c r="BT46" s="43">
        <f t="shared" si="480"/>
        <v>0</v>
      </c>
      <c r="BU46" s="43">
        <f t="shared" si="480"/>
        <v>0</v>
      </c>
      <c r="BV46" s="43">
        <f t="shared" si="480"/>
        <v>0</v>
      </c>
      <c r="BW46" s="43">
        <f t="shared" si="480"/>
        <v>0</v>
      </c>
      <c r="BX46" s="43">
        <f t="shared" si="480"/>
        <v>0</v>
      </c>
      <c r="BY46" s="43">
        <f t="shared" si="480"/>
        <v>0</v>
      </c>
      <c r="BZ46" s="43">
        <f t="shared" si="480"/>
        <v>0</v>
      </c>
      <c r="CA46" s="43">
        <f t="shared" si="480"/>
        <v>0</v>
      </c>
      <c r="CB46" s="43">
        <f t="shared" si="480"/>
        <v>0</v>
      </c>
      <c r="CC46" s="43">
        <f t="shared" si="480"/>
        <v>0</v>
      </c>
      <c r="CD46" s="43">
        <f t="shared" si="480"/>
        <v>0</v>
      </c>
      <c r="CE46" s="43">
        <f t="shared" si="480"/>
        <v>0</v>
      </c>
      <c r="CF46" s="43">
        <f t="shared" si="480"/>
        <v>0</v>
      </c>
      <c r="CG46" s="767"/>
      <c r="CH46" s="43">
        <f t="shared" si="481"/>
        <v>0</v>
      </c>
      <c r="CI46" s="43">
        <f t="shared" si="481"/>
        <v>0</v>
      </c>
      <c r="CJ46" s="43">
        <f t="shared" si="481"/>
        <v>0</v>
      </c>
      <c r="CK46" s="43">
        <f t="shared" si="481"/>
        <v>0</v>
      </c>
      <c r="CL46" s="43">
        <f t="shared" si="481"/>
        <v>0</v>
      </c>
      <c r="CM46" s="43">
        <f t="shared" si="481"/>
        <v>0</v>
      </c>
      <c r="CN46" s="43">
        <f t="shared" si="481"/>
        <v>0</v>
      </c>
      <c r="CO46" s="43">
        <f t="shared" si="481"/>
        <v>0</v>
      </c>
      <c r="CP46" s="43">
        <f t="shared" si="481"/>
        <v>0</v>
      </c>
      <c r="CQ46" s="43">
        <f t="shared" si="481"/>
        <v>0</v>
      </c>
      <c r="CR46" s="43">
        <f t="shared" si="481"/>
        <v>0</v>
      </c>
      <c r="CS46" s="43">
        <f t="shared" si="481"/>
        <v>0</v>
      </c>
      <c r="CT46" s="43">
        <f t="shared" si="481"/>
        <v>0</v>
      </c>
      <c r="CU46" s="43">
        <f t="shared" si="481"/>
        <v>0</v>
      </c>
      <c r="CV46" s="43">
        <f t="shared" si="481"/>
        <v>0</v>
      </c>
      <c r="CW46" s="767"/>
      <c r="CX46" s="43">
        <f t="shared" si="482"/>
        <v>0</v>
      </c>
      <c r="CY46" s="43">
        <f t="shared" si="482"/>
        <v>0</v>
      </c>
      <c r="CZ46" s="43">
        <f t="shared" si="482"/>
        <v>0</v>
      </c>
      <c r="DA46" s="43">
        <f t="shared" si="482"/>
        <v>0</v>
      </c>
      <c r="DB46" s="43">
        <f t="shared" si="482"/>
        <v>0</v>
      </c>
      <c r="DC46" s="43">
        <f t="shared" si="482"/>
        <v>0</v>
      </c>
      <c r="DD46" s="43">
        <f t="shared" si="482"/>
        <v>0</v>
      </c>
      <c r="DE46" s="43">
        <f t="shared" si="482"/>
        <v>0</v>
      </c>
      <c r="DF46" s="43">
        <f t="shared" si="482"/>
        <v>0</v>
      </c>
      <c r="DG46" s="43">
        <f t="shared" si="482"/>
        <v>0</v>
      </c>
      <c r="DH46" s="43">
        <f t="shared" si="482"/>
        <v>0</v>
      </c>
      <c r="DI46" s="43">
        <f t="shared" si="482"/>
        <v>0</v>
      </c>
      <c r="DJ46" s="43">
        <f t="shared" si="482"/>
        <v>0</v>
      </c>
      <c r="DK46" s="43">
        <f t="shared" si="482"/>
        <v>0</v>
      </c>
      <c r="DL46" s="43">
        <f t="shared" si="482"/>
        <v>0</v>
      </c>
      <c r="DM46" s="767"/>
      <c r="DN46" s="43">
        <f t="shared" si="483"/>
        <v>0</v>
      </c>
      <c r="DO46" s="43">
        <f t="shared" si="483"/>
        <v>0</v>
      </c>
      <c r="DP46" s="43">
        <f t="shared" si="483"/>
        <v>0</v>
      </c>
      <c r="DQ46" s="43">
        <f t="shared" si="483"/>
        <v>0</v>
      </c>
      <c r="DR46" s="43">
        <f t="shared" si="483"/>
        <v>0</v>
      </c>
      <c r="DS46" s="43">
        <f t="shared" si="483"/>
        <v>0</v>
      </c>
      <c r="DT46" s="43">
        <f t="shared" si="483"/>
        <v>0</v>
      </c>
      <c r="DU46" s="43">
        <f t="shared" si="483"/>
        <v>0</v>
      </c>
      <c r="DV46" s="43">
        <f t="shared" si="483"/>
        <v>0</v>
      </c>
      <c r="DW46" s="43">
        <f t="shared" si="483"/>
        <v>0</v>
      </c>
      <c r="DX46" s="43">
        <f t="shared" si="483"/>
        <v>0</v>
      </c>
      <c r="DY46" s="43">
        <f t="shared" si="483"/>
        <v>0</v>
      </c>
      <c r="DZ46" s="43">
        <f t="shared" si="483"/>
        <v>0</v>
      </c>
      <c r="EA46" s="43">
        <f t="shared" si="483"/>
        <v>0</v>
      </c>
      <c r="EB46" s="43">
        <f t="shared" si="483"/>
        <v>0</v>
      </c>
      <c r="EC46" s="767"/>
      <c r="ED46" s="43">
        <f t="shared" si="484"/>
        <v>0</v>
      </c>
      <c r="EE46" s="43">
        <f t="shared" si="484"/>
        <v>0</v>
      </c>
      <c r="EF46" s="43">
        <f t="shared" si="484"/>
        <v>0</v>
      </c>
      <c r="EG46" s="43">
        <f t="shared" si="484"/>
        <v>0</v>
      </c>
      <c r="EH46" s="43">
        <f t="shared" si="484"/>
        <v>0</v>
      </c>
      <c r="EI46" s="43">
        <f t="shared" si="484"/>
        <v>0</v>
      </c>
      <c r="EJ46" s="43">
        <f t="shared" si="484"/>
        <v>0</v>
      </c>
      <c r="EK46" s="43">
        <f t="shared" si="484"/>
        <v>0</v>
      </c>
      <c r="EL46" s="43">
        <f t="shared" si="484"/>
        <v>0</v>
      </c>
      <c r="EM46" s="43">
        <f t="shared" si="484"/>
        <v>0</v>
      </c>
      <c r="EN46" s="43">
        <f t="shared" si="484"/>
        <v>0</v>
      </c>
      <c r="EO46" s="43">
        <f t="shared" si="484"/>
        <v>0</v>
      </c>
      <c r="EP46" s="43">
        <f t="shared" si="484"/>
        <v>0</v>
      </c>
      <c r="EQ46" s="43">
        <f t="shared" si="484"/>
        <v>0</v>
      </c>
      <c r="ER46" s="43">
        <f t="shared" si="484"/>
        <v>0</v>
      </c>
      <c r="ES46" s="767"/>
      <c r="ET46" s="43">
        <f t="shared" si="485"/>
        <v>0</v>
      </c>
      <c r="EU46" s="43">
        <f t="shared" si="485"/>
        <v>0</v>
      </c>
      <c r="EV46" s="43">
        <f t="shared" si="485"/>
        <v>0</v>
      </c>
      <c r="EW46" s="43">
        <f t="shared" si="485"/>
        <v>0</v>
      </c>
      <c r="EX46" s="43">
        <f t="shared" si="485"/>
        <v>0</v>
      </c>
      <c r="EY46" s="43">
        <f t="shared" si="485"/>
        <v>0</v>
      </c>
      <c r="EZ46" s="43">
        <f t="shared" si="485"/>
        <v>0</v>
      </c>
      <c r="FA46" s="43">
        <f t="shared" si="485"/>
        <v>0</v>
      </c>
      <c r="FB46" s="43">
        <f t="shared" si="485"/>
        <v>0</v>
      </c>
      <c r="FC46" s="43">
        <f t="shared" si="485"/>
        <v>0</v>
      </c>
      <c r="FD46" s="43">
        <f t="shared" si="485"/>
        <v>0</v>
      </c>
      <c r="FE46" s="43">
        <f t="shared" si="485"/>
        <v>0</v>
      </c>
      <c r="FF46" s="43">
        <f t="shared" si="485"/>
        <v>0</v>
      </c>
      <c r="FG46" s="43">
        <f t="shared" si="485"/>
        <v>0</v>
      </c>
      <c r="FH46" s="43">
        <f t="shared" si="485"/>
        <v>0</v>
      </c>
      <c r="FI46" s="767"/>
      <c r="FJ46" s="43">
        <f t="shared" si="486"/>
        <v>0</v>
      </c>
      <c r="FK46" s="43">
        <f t="shared" si="486"/>
        <v>0</v>
      </c>
      <c r="FL46" s="43">
        <f t="shared" si="486"/>
        <v>0</v>
      </c>
      <c r="FM46" s="43">
        <f t="shared" si="486"/>
        <v>0</v>
      </c>
      <c r="FN46" s="43">
        <f t="shared" si="486"/>
        <v>0</v>
      </c>
      <c r="FO46" s="43">
        <f t="shared" si="486"/>
        <v>0</v>
      </c>
      <c r="FP46" s="43">
        <f t="shared" si="486"/>
        <v>0</v>
      </c>
      <c r="FQ46" s="43">
        <f t="shared" si="486"/>
        <v>0</v>
      </c>
      <c r="FR46" s="43">
        <f t="shared" si="486"/>
        <v>0</v>
      </c>
      <c r="FS46" s="43">
        <f t="shared" si="486"/>
        <v>0</v>
      </c>
      <c r="FT46" s="43">
        <f t="shared" si="486"/>
        <v>0</v>
      </c>
      <c r="FU46" s="43">
        <f t="shared" si="486"/>
        <v>0</v>
      </c>
      <c r="FV46" s="43">
        <f t="shared" si="486"/>
        <v>0</v>
      </c>
      <c r="FW46" s="43">
        <f t="shared" si="486"/>
        <v>0</v>
      </c>
      <c r="FX46" s="43">
        <f t="shared" si="486"/>
        <v>0</v>
      </c>
      <c r="FY46" s="767"/>
      <c r="FZ46" s="43">
        <f t="shared" si="487"/>
        <v>0</v>
      </c>
      <c r="GA46" s="43">
        <f t="shared" si="487"/>
        <v>0</v>
      </c>
      <c r="GB46" s="43">
        <f t="shared" si="487"/>
        <v>0</v>
      </c>
      <c r="GC46" s="43">
        <f t="shared" si="487"/>
        <v>0</v>
      </c>
      <c r="GD46" s="43">
        <f t="shared" si="487"/>
        <v>0</v>
      </c>
      <c r="GE46" s="43">
        <f t="shared" si="487"/>
        <v>0</v>
      </c>
      <c r="GF46" s="43">
        <f t="shared" si="487"/>
        <v>0</v>
      </c>
      <c r="GG46" s="43">
        <f t="shared" si="487"/>
        <v>0</v>
      </c>
      <c r="GH46" s="43">
        <f t="shared" si="487"/>
        <v>0</v>
      </c>
      <c r="GI46" s="43">
        <f t="shared" si="487"/>
        <v>0</v>
      </c>
      <c r="GJ46" s="43">
        <f t="shared" si="487"/>
        <v>0</v>
      </c>
      <c r="GK46" s="43">
        <f t="shared" si="487"/>
        <v>0</v>
      </c>
      <c r="GL46" s="43">
        <f t="shared" si="487"/>
        <v>0</v>
      </c>
      <c r="GM46" s="43">
        <f t="shared" si="487"/>
        <v>0</v>
      </c>
      <c r="GN46" s="43">
        <f t="shared" si="487"/>
        <v>0</v>
      </c>
      <c r="GO46" s="767"/>
      <c r="GP46" s="43">
        <f t="shared" si="488"/>
        <v>0</v>
      </c>
      <c r="GQ46" s="43">
        <f t="shared" si="488"/>
        <v>0</v>
      </c>
      <c r="GR46" s="43">
        <f t="shared" si="488"/>
        <v>0</v>
      </c>
      <c r="GS46" s="43">
        <f t="shared" si="488"/>
        <v>0</v>
      </c>
      <c r="GT46" s="43">
        <f t="shared" si="488"/>
        <v>0</v>
      </c>
      <c r="GU46" s="43">
        <f t="shared" si="488"/>
        <v>0</v>
      </c>
      <c r="GV46" s="43">
        <f t="shared" si="488"/>
        <v>0</v>
      </c>
      <c r="GW46" s="43">
        <f t="shared" si="488"/>
        <v>0</v>
      </c>
      <c r="GX46" s="43">
        <f t="shared" si="488"/>
        <v>0</v>
      </c>
      <c r="GY46" s="43">
        <f t="shared" si="488"/>
        <v>0</v>
      </c>
      <c r="GZ46" s="43">
        <f t="shared" si="488"/>
        <v>0</v>
      </c>
      <c r="HA46" s="43">
        <f t="shared" si="488"/>
        <v>0</v>
      </c>
      <c r="HB46" s="43">
        <f t="shared" si="488"/>
        <v>0</v>
      </c>
      <c r="HC46" s="43">
        <f t="shared" si="488"/>
        <v>0</v>
      </c>
      <c r="HD46" s="43">
        <f t="shared" si="488"/>
        <v>0</v>
      </c>
      <c r="HE46" s="767"/>
      <c r="HF46" s="43">
        <f t="shared" si="489"/>
        <v>0</v>
      </c>
      <c r="HG46" s="43">
        <f t="shared" si="489"/>
        <v>0</v>
      </c>
      <c r="HH46" s="43">
        <f t="shared" si="489"/>
        <v>0</v>
      </c>
      <c r="HI46" s="43">
        <f t="shared" si="489"/>
        <v>0</v>
      </c>
      <c r="HJ46" s="43">
        <f t="shared" si="489"/>
        <v>0</v>
      </c>
      <c r="HK46" s="43">
        <f t="shared" si="489"/>
        <v>0</v>
      </c>
      <c r="HL46" s="43">
        <f t="shared" si="489"/>
        <v>0</v>
      </c>
      <c r="HM46" s="43">
        <f t="shared" si="489"/>
        <v>0</v>
      </c>
      <c r="HN46" s="43">
        <f t="shared" si="489"/>
        <v>0</v>
      </c>
      <c r="HO46" s="43">
        <f t="shared" si="489"/>
        <v>0</v>
      </c>
      <c r="HP46" s="43">
        <f t="shared" si="489"/>
        <v>0</v>
      </c>
      <c r="HQ46" s="43">
        <f t="shared" si="489"/>
        <v>0</v>
      </c>
      <c r="HR46" s="43">
        <f t="shared" si="489"/>
        <v>0</v>
      </c>
      <c r="HS46" s="43">
        <f t="shared" si="489"/>
        <v>0</v>
      </c>
      <c r="HT46" s="43">
        <f t="shared" si="489"/>
        <v>0</v>
      </c>
      <c r="HU46" s="767"/>
      <c r="HV46" s="43">
        <f t="shared" si="490"/>
        <v>0</v>
      </c>
      <c r="HW46" s="43">
        <f t="shared" si="490"/>
        <v>0</v>
      </c>
      <c r="HX46" s="43">
        <f t="shared" si="490"/>
        <v>0</v>
      </c>
      <c r="HY46" s="43">
        <f t="shared" si="490"/>
        <v>0</v>
      </c>
      <c r="HZ46" s="43">
        <f t="shared" si="490"/>
        <v>0</v>
      </c>
      <c r="IA46" s="43">
        <f t="shared" si="490"/>
        <v>0</v>
      </c>
      <c r="IB46" s="43">
        <f t="shared" si="490"/>
        <v>0</v>
      </c>
      <c r="IC46" s="43">
        <f t="shared" si="490"/>
        <v>0</v>
      </c>
      <c r="ID46" s="43">
        <f t="shared" si="490"/>
        <v>0</v>
      </c>
      <c r="IE46" s="43">
        <f t="shared" si="490"/>
        <v>0</v>
      </c>
      <c r="IF46" s="43">
        <f t="shared" si="490"/>
        <v>0</v>
      </c>
      <c r="IG46" s="43">
        <f t="shared" si="490"/>
        <v>0</v>
      </c>
      <c r="IH46" s="43">
        <f t="shared" si="490"/>
        <v>0</v>
      </c>
      <c r="II46" s="43">
        <f t="shared" si="490"/>
        <v>0</v>
      </c>
      <c r="IJ46" s="786">
        <f t="shared" si="490"/>
        <v>0</v>
      </c>
      <c r="IK46" s="794"/>
    </row>
    <row r="47" spans="1:245">
      <c r="A47" s="642">
        <f t="shared" si="476"/>
        <v>17</v>
      </c>
      <c r="B47" s="762" t="str">
        <f t="shared" si="264"/>
        <v>Project Controller Cost</v>
      </c>
      <c r="C47" s="775"/>
      <c r="D47" s="769"/>
      <c r="E47" s="52" t="str">
        <f t="shared" si="265"/>
        <v>Project Controller CostContr_Sub</v>
      </c>
      <c r="F47" s="793"/>
      <c r="G47" s="43"/>
      <c r="H47" s="43"/>
      <c r="I47" s="43"/>
      <c r="J47" s="43"/>
      <c r="K47" s="43"/>
      <c r="L47" s="43"/>
      <c r="M47" s="43"/>
      <c r="N47" s="43"/>
      <c r="O47" s="43"/>
      <c r="P47" s="43"/>
      <c r="Q47" s="43"/>
      <c r="R47" s="43"/>
      <c r="S47" s="43"/>
      <c r="T47" s="43"/>
      <c r="U47" s="767"/>
      <c r="V47" s="43">
        <f t="shared" si="477"/>
        <v>0</v>
      </c>
      <c r="W47" s="43">
        <f t="shared" si="477"/>
        <v>0</v>
      </c>
      <c r="X47" s="43">
        <f t="shared" si="477"/>
        <v>0</v>
      </c>
      <c r="Y47" s="43">
        <f t="shared" si="477"/>
        <v>0</v>
      </c>
      <c r="Z47" s="43">
        <f t="shared" si="477"/>
        <v>0</v>
      </c>
      <c r="AA47" s="43">
        <f t="shared" si="477"/>
        <v>0</v>
      </c>
      <c r="AB47" s="43">
        <f t="shared" si="477"/>
        <v>0</v>
      </c>
      <c r="AC47" s="43">
        <f t="shared" si="477"/>
        <v>0</v>
      </c>
      <c r="AD47" s="43">
        <f t="shared" si="477"/>
        <v>0</v>
      </c>
      <c r="AE47" s="43">
        <f t="shared" si="477"/>
        <v>0</v>
      </c>
      <c r="AF47" s="43">
        <f t="shared" si="477"/>
        <v>0</v>
      </c>
      <c r="AG47" s="43">
        <f t="shared" si="477"/>
        <v>0</v>
      </c>
      <c r="AH47" s="43">
        <f t="shared" si="477"/>
        <v>0</v>
      </c>
      <c r="AI47" s="43">
        <f t="shared" si="477"/>
        <v>0</v>
      </c>
      <c r="AJ47" s="43">
        <f t="shared" si="477"/>
        <v>0</v>
      </c>
      <c r="AK47" s="767"/>
      <c r="AL47" s="43">
        <f t="shared" si="478"/>
        <v>0</v>
      </c>
      <c r="AM47" s="43">
        <f t="shared" si="478"/>
        <v>0</v>
      </c>
      <c r="AN47" s="43">
        <f t="shared" si="478"/>
        <v>0</v>
      </c>
      <c r="AO47" s="43">
        <f t="shared" si="478"/>
        <v>0</v>
      </c>
      <c r="AP47" s="43">
        <f t="shared" si="478"/>
        <v>0</v>
      </c>
      <c r="AQ47" s="43">
        <f t="shared" si="478"/>
        <v>0</v>
      </c>
      <c r="AR47" s="43">
        <f t="shared" si="478"/>
        <v>0</v>
      </c>
      <c r="AS47" s="43">
        <f t="shared" si="478"/>
        <v>0</v>
      </c>
      <c r="AT47" s="43">
        <f t="shared" si="478"/>
        <v>0</v>
      </c>
      <c r="AU47" s="43">
        <f t="shared" si="478"/>
        <v>0</v>
      </c>
      <c r="AV47" s="43">
        <f t="shared" si="478"/>
        <v>0</v>
      </c>
      <c r="AW47" s="43">
        <f t="shared" si="478"/>
        <v>0</v>
      </c>
      <c r="AX47" s="43">
        <f t="shared" si="478"/>
        <v>0</v>
      </c>
      <c r="AY47" s="43">
        <f t="shared" si="478"/>
        <v>0</v>
      </c>
      <c r="AZ47" s="43">
        <f t="shared" si="478"/>
        <v>0</v>
      </c>
      <c r="BA47" s="767"/>
      <c r="BB47" s="43">
        <f t="shared" si="479"/>
        <v>0</v>
      </c>
      <c r="BC47" s="43">
        <f t="shared" si="479"/>
        <v>0</v>
      </c>
      <c r="BD47" s="43">
        <f t="shared" si="479"/>
        <v>0</v>
      </c>
      <c r="BE47" s="43">
        <f t="shared" si="479"/>
        <v>0</v>
      </c>
      <c r="BF47" s="43">
        <f t="shared" si="479"/>
        <v>0</v>
      </c>
      <c r="BG47" s="43">
        <f t="shared" si="479"/>
        <v>0</v>
      </c>
      <c r="BH47" s="43">
        <f t="shared" si="479"/>
        <v>0</v>
      </c>
      <c r="BI47" s="43">
        <f t="shared" si="479"/>
        <v>0</v>
      </c>
      <c r="BJ47" s="43">
        <f t="shared" si="479"/>
        <v>0</v>
      </c>
      <c r="BK47" s="43">
        <f t="shared" si="479"/>
        <v>0</v>
      </c>
      <c r="BL47" s="43">
        <f t="shared" si="479"/>
        <v>0</v>
      </c>
      <c r="BM47" s="43">
        <f t="shared" si="479"/>
        <v>0</v>
      </c>
      <c r="BN47" s="43">
        <f t="shared" si="479"/>
        <v>0</v>
      </c>
      <c r="BO47" s="43">
        <f t="shared" si="479"/>
        <v>0</v>
      </c>
      <c r="BP47" s="43">
        <f t="shared" si="479"/>
        <v>0</v>
      </c>
      <c r="BQ47" s="767"/>
      <c r="BR47" s="43">
        <f t="shared" si="480"/>
        <v>0</v>
      </c>
      <c r="BS47" s="43">
        <f t="shared" si="480"/>
        <v>0</v>
      </c>
      <c r="BT47" s="43">
        <f t="shared" si="480"/>
        <v>0</v>
      </c>
      <c r="BU47" s="43">
        <f t="shared" si="480"/>
        <v>0</v>
      </c>
      <c r="BV47" s="43">
        <f t="shared" si="480"/>
        <v>0</v>
      </c>
      <c r="BW47" s="43">
        <f t="shared" si="480"/>
        <v>0</v>
      </c>
      <c r="BX47" s="43">
        <f t="shared" si="480"/>
        <v>0</v>
      </c>
      <c r="BY47" s="43">
        <f t="shared" si="480"/>
        <v>0</v>
      </c>
      <c r="BZ47" s="43">
        <f t="shared" si="480"/>
        <v>0</v>
      </c>
      <c r="CA47" s="43">
        <f t="shared" si="480"/>
        <v>0</v>
      </c>
      <c r="CB47" s="43">
        <f t="shared" si="480"/>
        <v>0</v>
      </c>
      <c r="CC47" s="43">
        <f t="shared" si="480"/>
        <v>0</v>
      </c>
      <c r="CD47" s="43">
        <f t="shared" si="480"/>
        <v>0</v>
      </c>
      <c r="CE47" s="43">
        <f t="shared" si="480"/>
        <v>0</v>
      </c>
      <c r="CF47" s="43">
        <f t="shared" si="480"/>
        <v>0</v>
      </c>
      <c r="CG47" s="767"/>
      <c r="CH47" s="43">
        <f t="shared" si="481"/>
        <v>0</v>
      </c>
      <c r="CI47" s="43">
        <f t="shared" si="481"/>
        <v>0</v>
      </c>
      <c r="CJ47" s="43">
        <f t="shared" si="481"/>
        <v>0</v>
      </c>
      <c r="CK47" s="43">
        <f t="shared" si="481"/>
        <v>0</v>
      </c>
      <c r="CL47" s="43">
        <f t="shared" si="481"/>
        <v>0</v>
      </c>
      <c r="CM47" s="43">
        <f t="shared" si="481"/>
        <v>0</v>
      </c>
      <c r="CN47" s="43">
        <f t="shared" si="481"/>
        <v>0</v>
      </c>
      <c r="CO47" s="43">
        <f t="shared" si="481"/>
        <v>0</v>
      </c>
      <c r="CP47" s="43">
        <f t="shared" si="481"/>
        <v>0</v>
      </c>
      <c r="CQ47" s="43">
        <f t="shared" si="481"/>
        <v>0</v>
      </c>
      <c r="CR47" s="43">
        <f t="shared" si="481"/>
        <v>0</v>
      </c>
      <c r="CS47" s="43">
        <f t="shared" si="481"/>
        <v>0</v>
      </c>
      <c r="CT47" s="43">
        <f t="shared" si="481"/>
        <v>0</v>
      </c>
      <c r="CU47" s="43">
        <f t="shared" si="481"/>
        <v>0</v>
      </c>
      <c r="CV47" s="43">
        <f t="shared" si="481"/>
        <v>0</v>
      </c>
      <c r="CW47" s="767"/>
      <c r="CX47" s="43">
        <f t="shared" si="482"/>
        <v>0</v>
      </c>
      <c r="CY47" s="43">
        <f t="shared" si="482"/>
        <v>0</v>
      </c>
      <c r="CZ47" s="43">
        <f t="shared" si="482"/>
        <v>0</v>
      </c>
      <c r="DA47" s="43">
        <f t="shared" si="482"/>
        <v>0</v>
      </c>
      <c r="DB47" s="43">
        <f t="shared" si="482"/>
        <v>0</v>
      </c>
      <c r="DC47" s="43">
        <f t="shared" si="482"/>
        <v>0</v>
      </c>
      <c r="DD47" s="43">
        <f t="shared" si="482"/>
        <v>0</v>
      </c>
      <c r="DE47" s="43">
        <f t="shared" si="482"/>
        <v>0</v>
      </c>
      <c r="DF47" s="43">
        <f t="shared" si="482"/>
        <v>0</v>
      </c>
      <c r="DG47" s="43">
        <f t="shared" si="482"/>
        <v>0</v>
      </c>
      <c r="DH47" s="43">
        <f t="shared" si="482"/>
        <v>0</v>
      </c>
      <c r="DI47" s="43">
        <f t="shared" si="482"/>
        <v>0</v>
      </c>
      <c r="DJ47" s="43">
        <f t="shared" si="482"/>
        <v>0</v>
      </c>
      <c r="DK47" s="43">
        <f t="shared" si="482"/>
        <v>0</v>
      </c>
      <c r="DL47" s="43">
        <f t="shared" si="482"/>
        <v>0</v>
      </c>
      <c r="DM47" s="767"/>
      <c r="DN47" s="43">
        <f t="shared" si="483"/>
        <v>0</v>
      </c>
      <c r="DO47" s="43">
        <f t="shared" si="483"/>
        <v>0</v>
      </c>
      <c r="DP47" s="43">
        <f t="shared" si="483"/>
        <v>0</v>
      </c>
      <c r="DQ47" s="43">
        <f t="shared" si="483"/>
        <v>0</v>
      </c>
      <c r="DR47" s="43">
        <f t="shared" si="483"/>
        <v>0</v>
      </c>
      <c r="DS47" s="43">
        <f t="shared" si="483"/>
        <v>0</v>
      </c>
      <c r="DT47" s="43">
        <f t="shared" si="483"/>
        <v>0</v>
      </c>
      <c r="DU47" s="43">
        <f t="shared" si="483"/>
        <v>0</v>
      </c>
      <c r="DV47" s="43">
        <f t="shared" si="483"/>
        <v>0</v>
      </c>
      <c r="DW47" s="43">
        <f t="shared" si="483"/>
        <v>0</v>
      </c>
      <c r="DX47" s="43">
        <f t="shared" si="483"/>
        <v>0</v>
      </c>
      <c r="DY47" s="43">
        <f t="shared" si="483"/>
        <v>0</v>
      </c>
      <c r="DZ47" s="43">
        <f t="shared" si="483"/>
        <v>0</v>
      </c>
      <c r="EA47" s="43">
        <f t="shared" si="483"/>
        <v>0</v>
      </c>
      <c r="EB47" s="43">
        <f t="shared" si="483"/>
        <v>0</v>
      </c>
      <c r="EC47" s="767"/>
      <c r="ED47" s="43">
        <f t="shared" si="484"/>
        <v>0</v>
      </c>
      <c r="EE47" s="43">
        <f t="shared" si="484"/>
        <v>0</v>
      </c>
      <c r="EF47" s="43">
        <f t="shared" si="484"/>
        <v>0</v>
      </c>
      <c r="EG47" s="43">
        <f t="shared" si="484"/>
        <v>0</v>
      </c>
      <c r="EH47" s="43">
        <f t="shared" si="484"/>
        <v>0</v>
      </c>
      <c r="EI47" s="43">
        <f t="shared" si="484"/>
        <v>0</v>
      </c>
      <c r="EJ47" s="43">
        <f t="shared" si="484"/>
        <v>0</v>
      </c>
      <c r="EK47" s="43">
        <f t="shared" si="484"/>
        <v>0</v>
      </c>
      <c r="EL47" s="43">
        <f t="shared" si="484"/>
        <v>0</v>
      </c>
      <c r="EM47" s="43">
        <f t="shared" si="484"/>
        <v>0</v>
      </c>
      <c r="EN47" s="43">
        <f t="shared" si="484"/>
        <v>0</v>
      </c>
      <c r="EO47" s="43">
        <f t="shared" si="484"/>
        <v>0</v>
      </c>
      <c r="EP47" s="43">
        <f t="shared" si="484"/>
        <v>0</v>
      </c>
      <c r="EQ47" s="43">
        <f t="shared" si="484"/>
        <v>0</v>
      </c>
      <c r="ER47" s="43">
        <f t="shared" si="484"/>
        <v>0</v>
      </c>
      <c r="ES47" s="767"/>
      <c r="ET47" s="43">
        <f t="shared" si="485"/>
        <v>0</v>
      </c>
      <c r="EU47" s="43">
        <f t="shared" si="485"/>
        <v>0</v>
      </c>
      <c r="EV47" s="43">
        <f t="shared" si="485"/>
        <v>0</v>
      </c>
      <c r="EW47" s="43">
        <f t="shared" si="485"/>
        <v>0</v>
      </c>
      <c r="EX47" s="43">
        <f t="shared" si="485"/>
        <v>0</v>
      </c>
      <c r="EY47" s="43">
        <f t="shared" si="485"/>
        <v>0</v>
      </c>
      <c r="EZ47" s="43">
        <f t="shared" si="485"/>
        <v>0</v>
      </c>
      <c r="FA47" s="43">
        <f t="shared" si="485"/>
        <v>0</v>
      </c>
      <c r="FB47" s="43">
        <f t="shared" si="485"/>
        <v>0</v>
      </c>
      <c r="FC47" s="43">
        <f t="shared" si="485"/>
        <v>0</v>
      </c>
      <c r="FD47" s="43">
        <f t="shared" si="485"/>
        <v>0</v>
      </c>
      <c r="FE47" s="43">
        <f t="shared" si="485"/>
        <v>0</v>
      </c>
      <c r="FF47" s="43">
        <f t="shared" si="485"/>
        <v>0</v>
      </c>
      <c r="FG47" s="43">
        <f t="shared" si="485"/>
        <v>0</v>
      </c>
      <c r="FH47" s="43">
        <f t="shared" si="485"/>
        <v>0</v>
      </c>
      <c r="FI47" s="767"/>
      <c r="FJ47" s="43">
        <f t="shared" si="486"/>
        <v>0</v>
      </c>
      <c r="FK47" s="43">
        <f t="shared" si="486"/>
        <v>0</v>
      </c>
      <c r="FL47" s="43">
        <f t="shared" si="486"/>
        <v>0</v>
      </c>
      <c r="FM47" s="43">
        <f t="shared" si="486"/>
        <v>0</v>
      </c>
      <c r="FN47" s="43">
        <f t="shared" si="486"/>
        <v>0</v>
      </c>
      <c r="FO47" s="43">
        <f t="shared" si="486"/>
        <v>0</v>
      </c>
      <c r="FP47" s="43">
        <f t="shared" si="486"/>
        <v>0</v>
      </c>
      <c r="FQ47" s="43">
        <f t="shared" si="486"/>
        <v>0</v>
      </c>
      <c r="FR47" s="43">
        <f t="shared" si="486"/>
        <v>0</v>
      </c>
      <c r="FS47" s="43">
        <f t="shared" si="486"/>
        <v>0</v>
      </c>
      <c r="FT47" s="43">
        <f t="shared" si="486"/>
        <v>0</v>
      </c>
      <c r="FU47" s="43">
        <f t="shared" si="486"/>
        <v>0</v>
      </c>
      <c r="FV47" s="43">
        <f t="shared" si="486"/>
        <v>0</v>
      </c>
      <c r="FW47" s="43">
        <f t="shared" si="486"/>
        <v>0</v>
      </c>
      <c r="FX47" s="43">
        <f t="shared" si="486"/>
        <v>0</v>
      </c>
      <c r="FY47" s="767"/>
      <c r="FZ47" s="43">
        <f t="shared" si="487"/>
        <v>0</v>
      </c>
      <c r="GA47" s="43">
        <f t="shared" si="487"/>
        <v>0</v>
      </c>
      <c r="GB47" s="43">
        <f t="shared" si="487"/>
        <v>0</v>
      </c>
      <c r="GC47" s="43">
        <f t="shared" si="487"/>
        <v>0</v>
      </c>
      <c r="GD47" s="43">
        <f t="shared" si="487"/>
        <v>0</v>
      </c>
      <c r="GE47" s="43">
        <f t="shared" si="487"/>
        <v>0</v>
      </c>
      <c r="GF47" s="43">
        <f t="shared" si="487"/>
        <v>0</v>
      </c>
      <c r="GG47" s="43">
        <f t="shared" si="487"/>
        <v>0</v>
      </c>
      <c r="GH47" s="43">
        <f t="shared" si="487"/>
        <v>0</v>
      </c>
      <c r="GI47" s="43">
        <f t="shared" si="487"/>
        <v>0</v>
      </c>
      <c r="GJ47" s="43">
        <f t="shared" si="487"/>
        <v>0</v>
      </c>
      <c r="GK47" s="43">
        <f t="shared" si="487"/>
        <v>0</v>
      </c>
      <c r="GL47" s="43">
        <f t="shared" si="487"/>
        <v>0</v>
      </c>
      <c r="GM47" s="43">
        <f t="shared" si="487"/>
        <v>0</v>
      </c>
      <c r="GN47" s="43">
        <f t="shared" si="487"/>
        <v>0</v>
      </c>
      <c r="GO47" s="767"/>
      <c r="GP47" s="43">
        <f t="shared" si="488"/>
        <v>0</v>
      </c>
      <c r="GQ47" s="43">
        <f t="shared" si="488"/>
        <v>0</v>
      </c>
      <c r="GR47" s="43">
        <f t="shared" si="488"/>
        <v>0</v>
      </c>
      <c r="GS47" s="43">
        <f t="shared" si="488"/>
        <v>0</v>
      </c>
      <c r="GT47" s="43">
        <f t="shared" si="488"/>
        <v>0</v>
      </c>
      <c r="GU47" s="43">
        <f t="shared" si="488"/>
        <v>0</v>
      </c>
      <c r="GV47" s="43">
        <f t="shared" si="488"/>
        <v>0</v>
      </c>
      <c r="GW47" s="43">
        <f t="shared" si="488"/>
        <v>0</v>
      </c>
      <c r="GX47" s="43">
        <f t="shared" si="488"/>
        <v>0</v>
      </c>
      <c r="GY47" s="43">
        <f t="shared" si="488"/>
        <v>0</v>
      </c>
      <c r="GZ47" s="43">
        <f t="shared" si="488"/>
        <v>0</v>
      </c>
      <c r="HA47" s="43">
        <f t="shared" si="488"/>
        <v>0</v>
      </c>
      <c r="HB47" s="43">
        <f t="shared" si="488"/>
        <v>0</v>
      </c>
      <c r="HC47" s="43">
        <f t="shared" si="488"/>
        <v>0</v>
      </c>
      <c r="HD47" s="43">
        <f t="shared" si="488"/>
        <v>0</v>
      </c>
      <c r="HE47" s="767"/>
      <c r="HF47" s="43">
        <f t="shared" si="489"/>
        <v>0</v>
      </c>
      <c r="HG47" s="43">
        <f t="shared" si="489"/>
        <v>0</v>
      </c>
      <c r="HH47" s="43">
        <f t="shared" si="489"/>
        <v>0</v>
      </c>
      <c r="HI47" s="43">
        <f t="shared" si="489"/>
        <v>0</v>
      </c>
      <c r="HJ47" s="43">
        <f t="shared" si="489"/>
        <v>0</v>
      </c>
      <c r="HK47" s="43">
        <f t="shared" si="489"/>
        <v>0</v>
      </c>
      <c r="HL47" s="43">
        <f t="shared" si="489"/>
        <v>0</v>
      </c>
      <c r="HM47" s="43">
        <f t="shared" si="489"/>
        <v>0</v>
      </c>
      <c r="HN47" s="43">
        <f t="shared" si="489"/>
        <v>0</v>
      </c>
      <c r="HO47" s="43">
        <f t="shared" si="489"/>
        <v>0</v>
      </c>
      <c r="HP47" s="43">
        <f t="shared" si="489"/>
        <v>0</v>
      </c>
      <c r="HQ47" s="43">
        <f t="shared" si="489"/>
        <v>0</v>
      </c>
      <c r="HR47" s="43">
        <f t="shared" si="489"/>
        <v>0</v>
      </c>
      <c r="HS47" s="43">
        <f t="shared" si="489"/>
        <v>0</v>
      </c>
      <c r="HT47" s="43">
        <f t="shared" si="489"/>
        <v>0</v>
      </c>
      <c r="HU47" s="767"/>
      <c r="HV47" s="43">
        <f t="shared" si="490"/>
        <v>0</v>
      </c>
      <c r="HW47" s="43">
        <f t="shared" si="490"/>
        <v>0</v>
      </c>
      <c r="HX47" s="43">
        <f t="shared" si="490"/>
        <v>0</v>
      </c>
      <c r="HY47" s="43">
        <f t="shared" si="490"/>
        <v>0</v>
      </c>
      <c r="HZ47" s="43">
        <f t="shared" si="490"/>
        <v>0</v>
      </c>
      <c r="IA47" s="43">
        <f t="shared" si="490"/>
        <v>0</v>
      </c>
      <c r="IB47" s="43">
        <f t="shared" si="490"/>
        <v>0</v>
      </c>
      <c r="IC47" s="43">
        <f t="shared" si="490"/>
        <v>0</v>
      </c>
      <c r="ID47" s="43">
        <f t="shared" si="490"/>
        <v>0</v>
      </c>
      <c r="IE47" s="43">
        <f t="shared" si="490"/>
        <v>0</v>
      </c>
      <c r="IF47" s="43">
        <f t="shared" si="490"/>
        <v>0</v>
      </c>
      <c r="IG47" s="43">
        <f t="shared" si="490"/>
        <v>0</v>
      </c>
      <c r="IH47" s="43">
        <f t="shared" si="490"/>
        <v>0</v>
      </c>
      <c r="II47" s="43">
        <f t="shared" si="490"/>
        <v>0</v>
      </c>
      <c r="IJ47" s="786">
        <f t="shared" si="490"/>
        <v>0</v>
      </c>
      <c r="IK47" s="794"/>
    </row>
    <row r="48" spans="1:245">
      <c r="E48" s="42"/>
    </row>
  </sheetData>
  <phoneticPr fontId="0" type="noConversion"/>
  <pageMargins left="1" right="1" top="1" bottom="1" header="0.5" footer="0.5"/>
  <pageSetup scale="50" orientation="portrait" r:id="rId1"/>
  <headerFooter alignWithMargins="0">
    <oddFooter>&amp;CPROPOSAL SENSITIVE</oddFooter>
  </headerFooter>
  <colBreaks count="2" manualBreakCount="2">
    <brk id="17" max="1048575" man="1"/>
    <brk id="35" max="1048575" man="1"/>
  </colBreaks>
</worksheet>
</file>

<file path=xl/worksheets/sheet25.xml><?xml version="1.0" encoding="utf-8"?>
<worksheet xmlns="http://schemas.openxmlformats.org/spreadsheetml/2006/main" xmlns:r="http://schemas.openxmlformats.org/officeDocument/2006/relationships">
  <sheetPr codeName="Sheet17" enableFormatConditionsCalculation="0">
    <tabColor indexed="43"/>
  </sheetPr>
  <dimension ref="A1:M61"/>
  <sheetViews>
    <sheetView view="pageBreakPreview" zoomScaleNormal="80" workbookViewId="0">
      <pane xSplit="3" topLeftCell="D1" activePane="topRight" state="frozen"/>
      <selection activeCell="G85" sqref="G85"/>
      <selection pane="topRight" activeCell="J18" sqref="J18"/>
    </sheetView>
  </sheetViews>
  <sheetFormatPr defaultRowHeight="12.75"/>
  <cols>
    <col min="1" max="1" width="0" hidden="1" customWidth="1"/>
    <col min="2" max="2" width="7.7109375" hidden="1" customWidth="1"/>
    <col min="3" max="3" width="19.85546875" bestFit="1" customWidth="1"/>
    <col min="4" max="4" width="15.140625" customWidth="1"/>
    <col min="7" max="7" width="9.7109375" bestFit="1" customWidth="1"/>
    <col min="9" max="9" width="11" bestFit="1" customWidth="1"/>
    <col min="10" max="10" width="6.28515625" bestFit="1" customWidth="1"/>
    <col min="11" max="11" width="10.140625" bestFit="1" customWidth="1"/>
    <col min="12" max="12" width="2.5703125" customWidth="1"/>
  </cols>
  <sheetData>
    <row r="1" spans="1:13" ht="15">
      <c r="B1" s="864" t="str">
        <f ca="1">CELL("filename",B1)</f>
        <v>C:\Documents and Settings\cmredon\My Documents\GCIS\NATO\25405 JCCC\[Cost Model JCCC_v3 031710.xlsx]Price Analysis "Sub-1"</v>
      </c>
      <c r="C1" t="s">
        <v>610</v>
      </c>
      <c r="D1" s="680" t="str">
        <f>+InputSheet!D4</f>
        <v>P-12246</v>
      </c>
      <c r="I1" s="865"/>
    </row>
    <row r="2" spans="1:13">
      <c r="C2" t="s">
        <v>817</v>
      </c>
      <c r="D2" s="680" t="str">
        <f>+InputSheet!D1</f>
        <v>NCSA HQ 7010</v>
      </c>
      <c r="L2" s="26" t="s">
        <v>830</v>
      </c>
    </row>
    <row r="3" spans="1:13">
      <c r="C3" t="s">
        <v>818</v>
      </c>
      <c r="D3" s="4" t="str">
        <f>+InputSheet!D3</f>
        <v>ManTech Telecommunications and Information Systems Corporation</v>
      </c>
      <c r="E3" s="866"/>
      <c r="F3" s="866"/>
      <c r="G3" s="866"/>
      <c r="H3" s="866"/>
      <c r="I3" s="866"/>
      <c r="L3" s="886" t="s">
        <v>831</v>
      </c>
      <c r="M3" s="7" t="s">
        <v>841</v>
      </c>
    </row>
    <row r="4" spans="1:13">
      <c r="C4" t="s">
        <v>612</v>
      </c>
      <c r="D4" s="680" t="str">
        <f>+InputSheet!D2</f>
        <v>CIS Consultant Services</v>
      </c>
      <c r="E4" s="866"/>
      <c r="F4" s="866"/>
      <c r="G4" s="866"/>
      <c r="H4" s="866"/>
      <c r="I4" s="866"/>
      <c r="L4" s="886" t="s">
        <v>832</v>
      </c>
      <c r="M4" t="s">
        <v>844</v>
      </c>
    </row>
    <row r="5" spans="1:13">
      <c r="C5" t="s">
        <v>613</v>
      </c>
      <c r="D5" s="680" t="s">
        <v>829</v>
      </c>
      <c r="L5" s="886" t="s">
        <v>834</v>
      </c>
      <c r="M5" t="s">
        <v>833</v>
      </c>
    </row>
    <row r="6" spans="1:13" ht="18">
      <c r="C6" t="s">
        <v>819</v>
      </c>
      <c r="D6" s="882" t="str">
        <f>+InputSheet!$C149</f>
        <v>Segovia, Inc.</v>
      </c>
      <c r="L6" s="886" t="s">
        <v>835</v>
      </c>
      <c r="M6" t="s">
        <v>840</v>
      </c>
    </row>
    <row r="7" spans="1:13">
      <c r="D7" s="26"/>
      <c r="L7" s="886" t="s">
        <v>836</v>
      </c>
      <c r="M7" t="s">
        <v>839</v>
      </c>
    </row>
    <row r="8" spans="1:13">
      <c r="C8" s="867" t="s">
        <v>712</v>
      </c>
      <c r="F8" s="868" t="s">
        <v>820</v>
      </c>
      <c r="G8" s="869">
        <v>0.15</v>
      </c>
      <c r="L8" s="886" t="s">
        <v>837</v>
      </c>
      <c r="M8" t="s">
        <v>843</v>
      </c>
    </row>
    <row r="9" spans="1:13">
      <c r="D9" s="23"/>
      <c r="E9" s="12"/>
      <c r="F9" s="1215"/>
      <c r="G9" s="1215"/>
      <c r="H9" s="1215" t="s">
        <v>821</v>
      </c>
      <c r="I9" s="1215"/>
      <c r="L9" s="886" t="s">
        <v>842</v>
      </c>
      <c r="M9" t="s">
        <v>838</v>
      </c>
    </row>
    <row r="10" spans="1:13" ht="25.5">
      <c r="D10" s="870" t="s">
        <v>822</v>
      </c>
      <c r="E10" s="871" t="s">
        <v>823</v>
      </c>
      <c r="F10" s="1214" t="s">
        <v>824</v>
      </c>
      <c r="G10" s="1215"/>
      <c r="H10" s="885">
        <v>1.5</v>
      </c>
      <c r="I10" s="885">
        <v>2</v>
      </c>
      <c r="J10" s="872" t="s">
        <v>825</v>
      </c>
    </row>
    <row r="11" spans="1:13" ht="10.5" customHeight="1">
      <c r="C11" s="873" t="s">
        <v>632</v>
      </c>
      <c r="D11" s="873"/>
      <c r="E11" s="883" t="str">
        <f>+InputSheet!C22</f>
        <v>Base Year</v>
      </c>
      <c r="F11" s="875" t="s">
        <v>826</v>
      </c>
      <c r="G11" s="875" t="s">
        <v>827</v>
      </c>
      <c r="H11" s="875" t="s">
        <v>826</v>
      </c>
      <c r="I11" s="875" t="s">
        <v>827</v>
      </c>
    </row>
    <row r="12" spans="1:13">
      <c r="A12" t="str">
        <f>+'Year 1'!$L$21</f>
        <v>Govt_Sub</v>
      </c>
      <c r="B12">
        <v>1</v>
      </c>
      <c r="C12" s="838" t="str">
        <f t="shared" ref="C12:C31" si="0">+VLOOKUP($B12,DL,2,FALSE)</f>
        <v xml:space="preserve">LAN/Wan Engineer </v>
      </c>
      <c r="D12" s="876">
        <f>+INDEX('Sub Rates'!$F$9:$IV$65536,MATCH(('Price Analysis "Sub-1"'!$C12&amp;'Price Analysis "Sub-1"'!$A12),'Sub Rates'!$E$9:$E$65536,0),MATCH(('Price Analysis "Sub-1"'!$E$11&amp;'Price Analysis "Sub-1"'!$D$6),Sub_Period,0))</f>
        <v>0</v>
      </c>
      <c r="E12" s="884">
        <f t="shared" ref="E12:E31" si="1">+VLOOKUP($B12,DL,6,FALSE)</f>
        <v>29</v>
      </c>
      <c r="F12" s="488">
        <f t="shared" ref="F12:F31" si="2">E12*(1-$G$8)</f>
        <v>24.65</v>
      </c>
      <c r="G12" s="488">
        <f t="shared" ref="G12:G25" si="3">E12*(1+$G$8)</f>
        <v>33.349999999999994</v>
      </c>
      <c r="H12" s="36">
        <f t="shared" ref="H12:H25" si="4">+F12*H$10</f>
        <v>36.974999999999994</v>
      </c>
      <c r="I12" s="36">
        <f t="shared" ref="I12:I25" si="5">+G12*I$10</f>
        <v>66.699999999999989</v>
      </c>
      <c r="J12" s="877" t="str">
        <f t="shared" ref="J12:J25" si="6">IF(AND(I12&gt;D12,H12&lt;D12),"Yes","No*")</f>
        <v>No*</v>
      </c>
    </row>
    <row r="13" spans="1:13">
      <c r="A13" t="str">
        <f>+A12</f>
        <v>Govt_Sub</v>
      </c>
      <c r="B13">
        <f>+B12+1</f>
        <v>2</v>
      </c>
      <c r="C13" s="838" t="str">
        <f t="shared" si="0"/>
        <v>Functional Services Administrator</v>
      </c>
      <c r="D13" s="876">
        <f>+INDEX('Sub Rates'!$F$9:$IV$65536,MATCH(('Price Analysis "Sub-1"'!$C13&amp;'Price Analysis "Sub-1"'!$A13),'Sub Rates'!$E$9:$E$65536,0),MATCH(('Price Analysis "Sub-1"'!$E$11&amp;'Price Analysis "Sub-1"'!$D$6),Sub_Period,0))</f>
        <v>0</v>
      </c>
      <c r="E13" s="884">
        <f t="shared" si="1"/>
        <v>33.81</v>
      </c>
      <c r="F13" s="488">
        <f t="shared" si="2"/>
        <v>28.738500000000002</v>
      </c>
      <c r="G13" s="488">
        <f t="shared" si="3"/>
        <v>38.881500000000003</v>
      </c>
      <c r="H13" s="36">
        <f t="shared" si="4"/>
        <v>43.107750000000003</v>
      </c>
      <c r="I13" s="36">
        <f t="shared" si="5"/>
        <v>77.763000000000005</v>
      </c>
      <c r="J13" s="877" t="str">
        <f t="shared" si="6"/>
        <v>No*</v>
      </c>
    </row>
    <row r="14" spans="1:13">
      <c r="A14" t="str">
        <f t="shared" ref="A14:A31" si="7">+A13</f>
        <v>Govt_Sub</v>
      </c>
      <c r="B14">
        <f t="shared" ref="B14:B31" si="8">+B13+1</f>
        <v>3</v>
      </c>
      <c r="C14" s="838" t="str">
        <f t="shared" si="0"/>
        <v>Functional Services Administrator</v>
      </c>
      <c r="D14" s="876">
        <f>+INDEX('Sub Rates'!$F$9:$IV$65536,MATCH(('Price Analysis "Sub-1"'!$C14&amp;'Price Analysis "Sub-1"'!$A14),'Sub Rates'!$E$9:$E$65536,0),MATCH(('Price Analysis "Sub-1"'!$E$11&amp;'Price Analysis "Sub-1"'!$D$6),Sub_Period,0))</f>
        <v>0</v>
      </c>
      <c r="E14" s="884">
        <f t="shared" si="1"/>
        <v>33.81</v>
      </c>
      <c r="F14" s="488">
        <f t="shared" si="2"/>
        <v>28.738500000000002</v>
      </c>
      <c r="G14" s="488">
        <f t="shared" si="3"/>
        <v>38.881500000000003</v>
      </c>
      <c r="H14" s="36">
        <f t="shared" si="4"/>
        <v>43.107750000000003</v>
      </c>
      <c r="I14" s="36">
        <f t="shared" si="5"/>
        <v>77.763000000000005</v>
      </c>
      <c r="J14" s="877" t="str">
        <f t="shared" si="6"/>
        <v>No*</v>
      </c>
    </row>
    <row r="15" spans="1:13">
      <c r="A15" t="str">
        <f t="shared" si="7"/>
        <v>Govt_Sub</v>
      </c>
      <c r="B15">
        <f t="shared" si="8"/>
        <v>4</v>
      </c>
      <c r="C15" s="838" t="str">
        <f t="shared" si="0"/>
        <v>Functional Services Administrator</v>
      </c>
      <c r="D15" s="876">
        <f>+INDEX('Sub Rates'!$F$9:$IV$65536,MATCH(('Price Analysis "Sub-1"'!$C15&amp;'Price Analysis "Sub-1"'!$A15),'Sub Rates'!$E$9:$E$65536,0),MATCH(('Price Analysis "Sub-1"'!$E$11&amp;'Price Analysis "Sub-1"'!$D$6),Sub_Period,0))</f>
        <v>0</v>
      </c>
      <c r="E15" s="884">
        <f t="shared" si="1"/>
        <v>33.81</v>
      </c>
      <c r="F15" s="488">
        <f t="shared" si="2"/>
        <v>28.738500000000002</v>
      </c>
      <c r="G15" s="488">
        <f t="shared" si="3"/>
        <v>38.881500000000003</v>
      </c>
      <c r="H15" s="36">
        <f t="shared" si="4"/>
        <v>43.107750000000003</v>
      </c>
      <c r="I15" s="36">
        <f t="shared" si="5"/>
        <v>77.763000000000005</v>
      </c>
      <c r="J15" s="877" t="str">
        <f t="shared" si="6"/>
        <v>No*</v>
      </c>
    </row>
    <row r="16" spans="1:13">
      <c r="A16" t="str">
        <f t="shared" si="7"/>
        <v>Govt_Sub</v>
      </c>
      <c r="B16">
        <f t="shared" si="8"/>
        <v>5</v>
      </c>
      <c r="C16" s="838" t="str">
        <f t="shared" si="0"/>
        <v>Service Desk</v>
      </c>
      <c r="D16" s="876">
        <f>+INDEX('Sub Rates'!$F$9:$IV$65536,MATCH(('Price Analysis "Sub-1"'!$C16&amp;'Price Analysis "Sub-1"'!$A16),'Sub Rates'!$E$9:$E$65536,0),MATCH(('Price Analysis "Sub-1"'!$E$11&amp;'Price Analysis "Sub-1"'!$D$6),Sub_Period,0))</f>
        <v>0</v>
      </c>
      <c r="E16" s="884">
        <f t="shared" si="1"/>
        <v>26</v>
      </c>
      <c r="F16" s="488">
        <f t="shared" si="2"/>
        <v>22.099999999999998</v>
      </c>
      <c r="G16" s="488">
        <f t="shared" si="3"/>
        <v>29.9</v>
      </c>
      <c r="H16" s="36">
        <f t="shared" si="4"/>
        <v>33.15</v>
      </c>
      <c r="I16" s="36">
        <f t="shared" si="5"/>
        <v>59.8</v>
      </c>
      <c r="J16" s="877" t="str">
        <f t="shared" si="6"/>
        <v>No*</v>
      </c>
    </row>
    <row r="17" spans="1:10">
      <c r="A17" t="str">
        <f t="shared" si="7"/>
        <v>Govt_Sub</v>
      </c>
      <c r="B17">
        <f t="shared" si="8"/>
        <v>6</v>
      </c>
      <c r="C17" s="838" t="str">
        <f t="shared" si="0"/>
        <v>Service Desk</v>
      </c>
      <c r="D17" s="876">
        <f>+INDEX('Sub Rates'!$F$9:$IV$65536,MATCH(('Price Analysis "Sub-1"'!$C17&amp;'Price Analysis "Sub-1"'!$A17),'Sub Rates'!$E$9:$E$65536,0),MATCH(('Price Analysis "Sub-1"'!$E$11&amp;'Price Analysis "Sub-1"'!$D$6),Sub_Period,0))</f>
        <v>0</v>
      </c>
      <c r="E17" s="884">
        <f t="shared" si="1"/>
        <v>26</v>
      </c>
      <c r="F17" s="488">
        <f t="shared" si="2"/>
        <v>22.099999999999998</v>
      </c>
      <c r="G17" s="488">
        <f t="shared" si="3"/>
        <v>29.9</v>
      </c>
      <c r="H17" s="36">
        <f t="shared" si="4"/>
        <v>33.15</v>
      </c>
      <c r="I17" s="36">
        <f t="shared" si="5"/>
        <v>59.8</v>
      </c>
      <c r="J17" s="877" t="str">
        <f t="shared" si="6"/>
        <v>No*</v>
      </c>
    </row>
    <row r="18" spans="1:10">
      <c r="A18" t="str">
        <f t="shared" si="7"/>
        <v>Govt_Sub</v>
      </c>
      <c r="B18">
        <f t="shared" si="8"/>
        <v>7</v>
      </c>
      <c r="C18" s="838" t="str">
        <f t="shared" si="0"/>
        <v>CIS Training Supervisor</v>
      </c>
      <c r="D18" s="876">
        <f>+INDEX('Sub Rates'!$F$9:$IV$65536,MATCH(('Price Analysis "Sub-1"'!$C18&amp;'Price Analysis "Sub-1"'!$A18),'Sub Rates'!$E$9:$E$65536,0),MATCH(('Price Analysis "Sub-1"'!$E$11&amp;'Price Analysis "Sub-1"'!$D$6),Sub_Period,0))</f>
        <v>76.75</v>
      </c>
      <c r="E18" s="884">
        <f t="shared" si="1"/>
        <v>0</v>
      </c>
      <c r="F18" s="488">
        <f t="shared" si="2"/>
        <v>0</v>
      </c>
      <c r="G18" s="488">
        <f t="shared" si="3"/>
        <v>0</v>
      </c>
      <c r="H18" s="36">
        <f t="shared" si="4"/>
        <v>0</v>
      </c>
      <c r="I18" s="36">
        <f t="shared" si="5"/>
        <v>0</v>
      </c>
      <c r="J18" s="877" t="str">
        <f t="shared" si="6"/>
        <v>No*</v>
      </c>
    </row>
    <row r="19" spans="1:10">
      <c r="A19" t="str">
        <f t="shared" si="7"/>
        <v>Govt_Sub</v>
      </c>
      <c r="B19">
        <f t="shared" si="8"/>
        <v>8</v>
      </c>
      <c r="C19" s="838" t="str">
        <f t="shared" si="0"/>
        <v>CIS Trainer</v>
      </c>
      <c r="D19" s="876">
        <f>+INDEX('Sub Rates'!$F$9:$IV$65536,MATCH(('Price Analysis "Sub-1"'!$C19&amp;'Price Analysis "Sub-1"'!$A19),'Sub Rates'!$E$9:$E$65536,0),MATCH(('Price Analysis "Sub-1"'!$E$11&amp;'Price Analysis "Sub-1"'!$D$6),Sub_Period,0))</f>
        <v>65.416666666666671</v>
      </c>
      <c r="E19" s="884">
        <f t="shared" si="1"/>
        <v>0</v>
      </c>
      <c r="F19" s="488">
        <f t="shared" si="2"/>
        <v>0</v>
      </c>
      <c r="G19" s="488">
        <f t="shared" si="3"/>
        <v>0</v>
      </c>
      <c r="H19" s="36">
        <f t="shared" si="4"/>
        <v>0</v>
      </c>
      <c r="I19" s="36">
        <f t="shared" si="5"/>
        <v>0</v>
      </c>
      <c r="J19" s="877" t="str">
        <f t="shared" si="6"/>
        <v>No*</v>
      </c>
    </row>
    <row r="20" spans="1:10">
      <c r="A20" t="str">
        <f t="shared" si="7"/>
        <v>Govt_Sub</v>
      </c>
      <c r="B20">
        <f t="shared" si="8"/>
        <v>9</v>
      </c>
      <c r="C20" s="838" t="str">
        <f t="shared" si="0"/>
        <v>Radio Technician</v>
      </c>
      <c r="D20" s="876">
        <f>+INDEX('Sub Rates'!$F$9:$IV$65536,MATCH(('Price Analysis "Sub-1"'!$C20&amp;'Price Analysis "Sub-1"'!$A20),'Sub Rates'!$E$9:$E$65536,0),MATCH(('Price Analysis "Sub-1"'!$E$11&amp;'Price Analysis "Sub-1"'!$D$6),Sub_Period,0))</f>
        <v>57.416666666666664</v>
      </c>
      <c r="E20" s="884">
        <f t="shared" si="1"/>
        <v>0</v>
      </c>
      <c r="F20" s="488">
        <f t="shared" si="2"/>
        <v>0</v>
      </c>
      <c r="G20" s="488">
        <f t="shared" si="3"/>
        <v>0</v>
      </c>
      <c r="H20" s="36">
        <f t="shared" si="4"/>
        <v>0</v>
      </c>
      <c r="I20" s="36">
        <f t="shared" si="5"/>
        <v>0</v>
      </c>
      <c r="J20" s="877" t="str">
        <f t="shared" si="6"/>
        <v>No*</v>
      </c>
    </row>
    <row r="21" spans="1:10">
      <c r="A21" t="str">
        <f t="shared" si="7"/>
        <v>Govt_Sub</v>
      </c>
      <c r="B21">
        <f t="shared" si="8"/>
        <v>10</v>
      </c>
      <c r="C21" s="838" t="str">
        <f t="shared" si="0"/>
        <v>Radio Technician</v>
      </c>
      <c r="D21" s="876">
        <f>+INDEX('Sub Rates'!$F$9:$IV$65536,MATCH(('Price Analysis "Sub-1"'!$C21&amp;'Price Analysis "Sub-1"'!$A21),'Sub Rates'!$E$9:$E$65536,0),MATCH(('Price Analysis "Sub-1"'!$E$11&amp;'Price Analysis "Sub-1"'!$D$6),Sub_Period,0))</f>
        <v>57.416666666666664</v>
      </c>
      <c r="E21" s="884">
        <f t="shared" si="1"/>
        <v>0</v>
      </c>
      <c r="F21" s="488">
        <f t="shared" si="2"/>
        <v>0</v>
      </c>
      <c r="G21" s="488">
        <f t="shared" si="3"/>
        <v>0</v>
      </c>
      <c r="H21" s="36">
        <f t="shared" si="4"/>
        <v>0</v>
      </c>
      <c r="I21" s="36">
        <f t="shared" si="5"/>
        <v>0</v>
      </c>
      <c r="J21" s="877" t="str">
        <f t="shared" si="6"/>
        <v>No*</v>
      </c>
    </row>
    <row r="22" spans="1:10">
      <c r="A22" t="str">
        <f t="shared" si="7"/>
        <v>Govt_Sub</v>
      </c>
      <c r="B22">
        <f t="shared" si="8"/>
        <v>11</v>
      </c>
      <c r="C22" s="838" t="str">
        <f t="shared" si="0"/>
        <v>Network Administrator</v>
      </c>
      <c r="D22" s="876">
        <f>+INDEX('Sub Rates'!$F$9:$IV$65536,MATCH(('Price Analysis "Sub-1"'!$C22&amp;'Price Analysis "Sub-1"'!$A22),'Sub Rates'!$E$9:$E$65536,0),MATCH(('Price Analysis "Sub-1"'!$E$11&amp;'Price Analysis "Sub-1"'!$D$6),Sub_Period,0))</f>
        <v>0</v>
      </c>
      <c r="E22" s="884">
        <f t="shared" si="1"/>
        <v>27.5</v>
      </c>
      <c r="F22" s="488">
        <f t="shared" si="2"/>
        <v>23.375</v>
      </c>
      <c r="G22" s="488">
        <f t="shared" si="3"/>
        <v>31.624999999999996</v>
      </c>
      <c r="H22" s="36">
        <f t="shared" si="4"/>
        <v>35.0625</v>
      </c>
      <c r="I22" s="36">
        <f t="shared" si="5"/>
        <v>63.249999999999993</v>
      </c>
      <c r="J22" s="877" t="str">
        <f t="shared" si="6"/>
        <v>No*</v>
      </c>
    </row>
    <row r="23" spans="1:10">
      <c r="A23" t="str">
        <f t="shared" si="7"/>
        <v>Govt_Sub</v>
      </c>
      <c r="B23">
        <f t="shared" si="8"/>
        <v>12</v>
      </c>
      <c r="C23" s="838" t="str">
        <f t="shared" si="0"/>
        <v>System Administrator</v>
      </c>
      <c r="D23" s="876">
        <f>+INDEX('Sub Rates'!$F$9:$IV$65536,MATCH(('Price Analysis "Sub-1"'!$C23&amp;'Price Analysis "Sub-1"'!$A23),'Sub Rates'!$E$9:$E$65536,0),MATCH(('Price Analysis "Sub-1"'!$E$11&amp;'Price Analysis "Sub-1"'!$D$6),Sub_Period,0))</f>
        <v>0</v>
      </c>
      <c r="E23" s="884">
        <f t="shared" si="1"/>
        <v>28</v>
      </c>
      <c r="F23" s="488">
        <f t="shared" si="2"/>
        <v>23.8</v>
      </c>
      <c r="G23" s="488">
        <f t="shared" si="3"/>
        <v>32.199999999999996</v>
      </c>
      <c r="H23" s="36">
        <f t="shared" si="4"/>
        <v>35.700000000000003</v>
      </c>
      <c r="I23" s="36">
        <f t="shared" si="5"/>
        <v>64.399999999999991</v>
      </c>
      <c r="J23" s="877" t="str">
        <f t="shared" si="6"/>
        <v>No*</v>
      </c>
    </row>
    <row r="24" spans="1:10" ht="11.25" customHeight="1">
      <c r="A24" t="str">
        <f t="shared" si="7"/>
        <v>Govt_Sub</v>
      </c>
      <c r="B24">
        <f t="shared" si="8"/>
        <v>13</v>
      </c>
      <c r="C24" s="838" t="str">
        <f t="shared" si="0"/>
        <v>Configuration Manager</v>
      </c>
      <c r="D24" s="876">
        <f>+INDEX('Sub Rates'!$F$9:$IV$65536,MATCH(('Price Analysis "Sub-1"'!$C24&amp;'Price Analysis "Sub-1"'!$A24),'Sub Rates'!$E$9:$E$65536,0),MATCH(('Price Analysis "Sub-1"'!$E$11&amp;'Price Analysis "Sub-1"'!$D$6),Sub_Period,0))</f>
        <v>0</v>
      </c>
      <c r="E24" s="884">
        <f t="shared" si="1"/>
        <v>26</v>
      </c>
      <c r="F24" s="488">
        <f t="shared" si="2"/>
        <v>22.099999999999998</v>
      </c>
      <c r="G24" s="488">
        <f t="shared" si="3"/>
        <v>29.9</v>
      </c>
      <c r="H24" s="36">
        <f t="shared" si="4"/>
        <v>33.15</v>
      </c>
      <c r="I24" s="36">
        <f t="shared" si="5"/>
        <v>59.8</v>
      </c>
      <c r="J24" s="877" t="str">
        <f t="shared" si="6"/>
        <v>No*</v>
      </c>
    </row>
    <row r="25" spans="1:10">
      <c r="A25" t="str">
        <f t="shared" si="7"/>
        <v>Govt_Sub</v>
      </c>
      <c r="B25">
        <f t="shared" si="8"/>
        <v>14</v>
      </c>
      <c r="C25" s="838" t="str">
        <f t="shared" si="0"/>
        <v>Hardware Technician</v>
      </c>
      <c r="D25" s="876">
        <f>+INDEX('Sub Rates'!$F$9:$IV$65536,MATCH(('Price Analysis "Sub-1"'!$C25&amp;'Price Analysis "Sub-1"'!$A25),'Sub Rates'!$E$9:$E$65536,0),MATCH(('Price Analysis "Sub-1"'!$E$11&amp;'Price Analysis "Sub-1"'!$D$6),Sub_Period,0))</f>
        <v>0</v>
      </c>
      <c r="E25" s="884">
        <f t="shared" si="1"/>
        <v>26</v>
      </c>
      <c r="F25" s="488">
        <f t="shared" si="2"/>
        <v>22.099999999999998</v>
      </c>
      <c r="G25" s="488">
        <f t="shared" si="3"/>
        <v>29.9</v>
      </c>
      <c r="H25" s="36">
        <f t="shared" si="4"/>
        <v>33.15</v>
      </c>
      <c r="I25" s="36">
        <f t="shared" si="5"/>
        <v>59.8</v>
      </c>
      <c r="J25" s="877" t="str">
        <f t="shared" si="6"/>
        <v>No*</v>
      </c>
    </row>
    <row r="26" spans="1:10">
      <c r="A26" t="str">
        <f t="shared" si="7"/>
        <v>Govt_Sub</v>
      </c>
      <c r="B26">
        <f t="shared" si="8"/>
        <v>15</v>
      </c>
      <c r="C26" s="838" t="str">
        <f t="shared" si="0"/>
        <v>Repair/Exchange Specialist</v>
      </c>
      <c r="D26" s="876">
        <f>+INDEX('Sub Rates'!$F$9:$IV$65536,MATCH(('Price Analysis "Sub-1"'!$C26&amp;'Price Analysis "Sub-1"'!$A26),'Sub Rates'!$E$9:$E$65536,0),MATCH(('Price Analysis "Sub-1"'!$E$11&amp;'Price Analysis "Sub-1"'!$D$6),Sub_Period,0))</f>
        <v>0</v>
      </c>
      <c r="E26" s="884">
        <f t="shared" si="1"/>
        <v>25</v>
      </c>
      <c r="F26" s="488">
        <f t="shared" si="2"/>
        <v>21.25</v>
      </c>
      <c r="G26" s="488">
        <f t="shared" ref="G26:G31" si="9">E26*(1+$G$8)</f>
        <v>28.749999999999996</v>
      </c>
      <c r="H26" s="36">
        <f t="shared" ref="H26:H31" si="10">+F26*H$10</f>
        <v>31.875</v>
      </c>
      <c r="I26" s="36">
        <f t="shared" ref="I26:I31" si="11">+G26*I$10</f>
        <v>57.499999999999993</v>
      </c>
      <c r="J26" s="877" t="str">
        <f t="shared" ref="J26:J31" si="12">IF(AND(I26&gt;D26,H26&lt;D26),"Yes","No*")</f>
        <v>No*</v>
      </c>
    </row>
    <row r="27" spans="1:10">
      <c r="A27" t="str">
        <f t="shared" si="7"/>
        <v>Govt_Sub</v>
      </c>
      <c r="B27">
        <f t="shared" si="8"/>
        <v>16</v>
      </c>
      <c r="C27" s="838" t="str">
        <f t="shared" si="0"/>
        <v>PMO Cost</v>
      </c>
      <c r="D27" s="876">
        <f>+INDEX('Sub Rates'!$F$9:$IV$65536,MATCH(('Price Analysis "Sub-1"'!$C27&amp;'Price Analysis "Sub-1"'!$A27),'Sub Rates'!$E$9:$E$65536,0),MATCH(('Price Analysis "Sub-1"'!$E$11&amp;'Price Analysis "Sub-1"'!$D$6),Sub_Period,0))</f>
        <v>0</v>
      </c>
      <c r="E27" s="884">
        <f t="shared" si="1"/>
        <v>108.5</v>
      </c>
      <c r="F27" s="488">
        <f t="shared" si="2"/>
        <v>92.224999999999994</v>
      </c>
      <c r="G27" s="488">
        <f t="shared" si="9"/>
        <v>124.77499999999999</v>
      </c>
      <c r="H27" s="36">
        <f t="shared" si="10"/>
        <v>138.33749999999998</v>
      </c>
      <c r="I27" s="36">
        <f t="shared" si="11"/>
        <v>249.54999999999998</v>
      </c>
      <c r="J27" s="877" t="str">
        <f t="shared" si="12"/>
        <v>No*</v>
      </c>
    </row>
    <row r="28" spans="1:10">
      <c r="A28" t="str">
        <f t="shared" si="7"/>
        <v>Govt_Sub</v>
      </c>
      <c r="B28">
        <f t="shared" si="8"/>
        <v>17</v>
      </c>
      <c r="C28" s="838" t="str">
        <f t="shared" si="0"/>
        <v>Project Controller Cost</v>
      </c>
      <c r="D28" s="876">
        <f>+INDEX('Sub Rates'!$F$9:$IV$65536,MATCH(('Price Analysis "Sub-1"'!$C28&amp;'Price Analysis "Sub-1"'!$A28),'Sub Rates'!$E$9:$E$65536,0),MATCH(('Price Analysis "Sub-1"'!$E$11&amp;'Price Analysis "Sub-1"'!$D$6),Sub_Period,0))</f>
        <v>0</v>
      </c>
      <c r="E28" s="884">
        <f t="shared" si="1"/>
        <v>0</v>
      </c>
      <c r="F28" s="488">
        <f t="shared" si="2"/>
        <v>0</v>
      </c>
      <c r="G28" s="488">
        <f t="shared" si="9"/>
        <v>0</v>
      </c>
      <c r="H28" s="36">
        <f t="shared" si="10"/>
        <v>0</v>
      </c>
      <c r="I28" s="36">
        <f t="shared" si="11"/>
        <v>0</v>
      </c>
      <c r="J28" s="877" t="str">
        <f t="shared" si="12"/>
        <v>No*</v>
      </c>
    </row>
    <row r="29" spans="1:10">
      <c r="A29" t="str">
        <f t="shared" si="7"/>
        <v>Govt_Sub</v>
      </c>
      <c r="B29">
        <f t="shared" si="8"/>
        <v>18</v>
      </c>
      <c r="C29" s="838" t="e">
        <f t="shared" si="0"/>
        <v>#N/A</v>
      </c>
      <c r="D29" s="876" t="e">
        <f>+INDEX('Sub Rates'!$F$9:$IV$65536,MATCH(('Price Analysis "Sub-1"'!$C29&amp;'Price Analysis "Sub-1"'!$A29),'Sub Rates'!$E$9:$E$65536,0),MATCH(('Price Analysis "Sub-1"'!$E$11&amp;'Price Analysis "Sub-1"'!$D$6),Sub_Period,0))</f>
        <v>#N/A</v>
      </c>
      <c r="E29" s="884" t="e">
        <f t="shared" si="1"/>
        <v>#N/A</v>
      </c>
      <c r="F29" s="488" t="e">
        <f t="shared" si="2"/>
        <v>#N/A</v>
      </c>
      <c r="G29" s="488" t="e">
        <f t="shared" si="9"/>
        <v>#N/A</v>
      </c>
      <c r="H29" s="36" t="e">
        <f t="shared" si="10"/>
        <v>#N/A</v>
      </c>
      <c r="I29" s="36" t="e">
        <f t="shared" si="11"/>
        <v>#N/A</v>
      </c>
      <c r="J29" s="877" t="e">
        <f t="shared" si="12"/>
        <v>#N/A</v>
      </c>
    </row>
    <row r="30" spans="1:10">
      <c r="A30" t="str">
        <f t="shared" si="7"/>
        <v>Govt_Sub</v>
      </c>
      <c r="B30">
        <f t="shared" si="8"/>
        <v>19</v>
      </c>
      <c r="C30" s="838" t="e">
        <f t="shared" si="0"/>
        <v>#N/A</v>
      </c>
      <c r="D30" s="876" t="e">
        <f>+INDEX('Sub Rates'!$F$9:$IV$65536,MATCH(('Price Analysis "Sub-1"'!$C30&amp;'Price Analysis "Sub-1"'!$A30),'Sub Rates'!$E$9:$E$65536,0),MATCH(('Price Analysis "Sub-1"'!$E$11&amp;'Price Analysis "Sub-1"'!$D$6),Sub_Period,0))</f>
        <v>#N/A</v>
      </c>
      <c r="E30" s="884" t="e">
        <f t="shared" si="1"/>
        <v>#N/A</v>
      </c>
      <c r="F30" s="488" t="e">
        <f t="shared" si="2"/>
        <v>#N/A</v>
      </c>
      <c r="G30" s="488" t="e">
        <f t="shared" si="9"/>
        <v>#N/A</v>
      </c>
      <c r="H30" s="36" t="e">
        <f t="shared" si="10"/>
        <v>#N/A</v>
      </c>
      <c r="I30" s="36" t="e">
        <f t="shared" si="11"/>
        <v>#N/A</v>
      </c>
      <c r="J30" s="877" t="e">
        <f t="shared" si="12"/>
        <v>#N/A</v>
      </c>
    </row>
    <row r="31" spans="1:10">
      <c r="A31" t="str">
        <f t="shared" si="7"/>
        <v>Govt_Sub</v>
      </c>
      <c r="B31">
        <f t="shared" si="8"/>
        <v>20</v>
      </c>
      <c r="C31" s="838" t="e">
        <f t="shared" si="0"/>
        <v>#N/A</v>
      </c>
      <c r="D31" s="876" t="e">
        <f>+INDEX('Sub Rates'!$F$9:$IV$65536,MATCH(('Price Analysis "Sub-1"'!$C31&amp;'Price Analysis "Sub-1"'!$A31),'Sub Rates'!$E$9:$E$65536,0),MATCH(('Price Analysis "Sub-1"'!$E$11&amp;'Price Analysis "Sub-1"'!$D$6),Sub_Period,0))</f>
        <v>#N/A</v>
      </c>
      <c r="E31" s="884" t="e">
        <f t="shared" si="1"/>
        <v>#N/A</v>
      </c>
      <c r="F31" s="488" t="e">
        <f t="shared" si="2"/>
        <v>#N/A</v>
      </c>
      <c r="G31" s="488" t="e">
        <f t="shared" si="9"/>
        <v>#N/A</v>
      </c>
      <c r="H31" s="36" t="e">
        <f t="shared" si="10"/>
        <v>#N/A</v>
      </c>
      <c r="I31" s="36" t="e">
        <f t="shared" si="11"/>
        <v>#N/A</v>
      </c>
      <c r="J31" s="877" t="e">
        <f t="shared" si="12"/>
        <v>#N/A</v>
      </c>
    </row>
    <row r="34" spans="1:10">
      <c r="C34" s="867" t="s">
        <v>710</v>
      </c>
      <c r="F34" s="868" t="s">
        <v>820</v>
      </c>
      <c r="G34" s="869">
        <f>G8</f>
        <v>0.15</v>
      </c>
    </row>
    <row r="35" spans="1:10">
      <c r="D35" s="23"/>
      <c r="E35" s="12"/>
      <c r="F35" s="1215"/>
      <c r="G35" s="1215"/>
      <c r="H35" s="1215" t="s">
        <v>821</v>
      </c>
      <c r="I35" s="1215"/>
    </row>
    <row r="36" spans="1:10" ht="25.5" customHeight="1">
      <c r="D36" s="870" t="s">
        <v>822</v>
      </c>
      <c r="E36" s="871" t="s">
        <v>823</v>
      </c>
      <c r="F36" s="1214" t="s">
        <v>824</v>
      </c>
      <c r="G36" s="1215"/>
      <c r="H36" s="885">
        <v>1.7</v>
      </c>
      <c r="I36" s="885">
        <v>2.54</v>
      </c>
      <c r="J36" s="872" t="s">
        <v>825</v>
      </c>
    </row>
    <row r="37" spans="1:10">
      <c r="C37" s="873" t="s">
        <v>632</v>
      </c>
      <c r="D37" s="873"/>
      <c r="E37" s="874"/>
      <c r="F37" s="875" t="s">
        <v>826</v>
      </c>
      <c r="G37" s="875" t="s">
        <v>827</v>
      </c>
      <c r="H37" s="875" t="s">
        <v>826</v>
      </c>
      <c r="I37" s="875" t="s">
        <v>827</v>
      </c>
      <c r="J37" s="878"/>
    </row>
    <row r="38" spans="1:10">
      <c r="A38" t="str">
        <f>+'Year 1'!$L$22</f>
        <v>Contr_Sub</v>
      </c>
      <c r="B38">
        <v>1</v>
      </c>
      <c r="C38" s="838" t="str">
        <f t="shared" ref="C38:C57" si="13">+VLOOKUP($B38,DL,2,FALSE)</f>
        <v xml:space="preserve">LAN/Wan Engineer </v>
      </c>
      <c r="D38" s="876">
        <f>+INDEX('Sub Rates'!$F$9:$IV$65536,MATCH(('Price Analysis "Sub-1"'!$C38&amp;'Price Analysis "Sub-1"'!$A38),'Sub Rates'!$E$9:$E$65536,0),MATCH(('Price Analysis "Sub-1"'!$E$11&amp;'Price Analysis "Sub-1"'!$D$6),Sub_Period,0))</f>
        <v>0</v>
      </c>
      <c r="E38" s="884">
        <f t="shared" ref="E38:E57" si="14">+VLOOKUP($B38,DL,6,FALSE)</f>
        <v>29</v>
      </c>
      <c r="F38" s="488">
        <f t="shared" ref="F38:F57" si="15">E38*(1-$G$34)</f>
        <v>24.65</v>
      </c>
      <c r="G38" s="488">
        <f t="shared" ref="G38:G51" si="16">E38*(1+$G$34)</f>
        <v>33.349999999999994</v>
      </c>
      <c r="H38" s="36">
        <f t="shared" ref="H38:H51" si="17">+F38*H$36</f>
        <v>41.904999999999994</v>
      </c>
      <c r="I38" s="36">
        <f t="shared" ref="I38:I51" si="18">+G38*I$36</f>
        <v>84.708999999999989</v>
      </c>
      <c r="J38" s="877" t="str">
        <f t="shared" ref="J38:J51" si="19">IF(AND(I38&gt;D38,H38&lt;D38),"Yes","No*")</f>
        <v>No*</v>
      </c>
    </row>
    <row r="39" spans="1:10">
      <c r="A39" t="str">
        <f>+A38</f>
        <v>Contr_Sub</v>
      </c>
      <c r="B39">
        <f>+B38+1</f>
        <v>2</v>
      </c>
      <c r="C39" s="838" t="str">
        <f t="shared" si="13"/>
        <v>Functional Services Administrator</v>
      </c>
      <c r="D39" s="876">
        <f>+INDEX('Sub Rates'!$F$9:$IV$65536,MATCH(('Price Analysis "Sub-1"'!$C39&amp;'Price Analysis "Sub-1"'!$A39),'Sub Rates'!$E$9:$E$65536,0),MATCH(('Price Analysis "Sub-1"'!$E$11&amp;'Price Analysis "Sub-1"'!$D$6),Sub_Period,0))</f>
        <v>0</v>
      </c>
      <c r="E39" s="884">
        <f t="shared" si="14"/>
        <v>33.81</v>
      </c>
      <c r="F39" s="488">
        <f t="shared" si="15"/>
        <v>28.738500000000002</v>
      </c>
      <c r="G39" s="488">
        <f t="shared" si="16"/>
        <v>38.881500000000003</v>
      </c>
      <c r="H39" s="36">
        <f t="shared" si="17"/>
        <v>48.855450000000005</v>
      </c>
      <c r="I39" s="36">
        <f t="shared" si="18"/>
        <v>98.759010000000004</v>
      </c>
      <c r="J39" s="877" t="str">
        <f t="shared" si="19"/>
        <v>No*</v>
      </c>
    </row>
    <row r="40" spans="1:10">
      <c r="A40" t="str">
        <f t="shared" ref="A40:A57" si="20">+A39</f>
        <v>Contr_Sub</v>
      </c>
      <c r="B40">
        <f t="shared" ref="B40:B57" si="21">+B39+1</f>
        <v>3</v>
      </c>
      <c r="C40" s="838" t="str">
        <f t="shared" si="13"/>
        <v>Functional Services Administrator</v>
      </c>
      <c r="D40" s="876">
        <f>+INDEX('Sub Rates'!$F$9:$IV$65536,MATCH(('Price Analysis "Sub-1"'!$C40&amp;'Price Analysis "Sub-1"'!$A40),'Sub Rates'!$E$9:$E$65536,0),MATCH(('Price Analysis "Sub-1"'!$E$11&amp;'Price Analysis "Sub-1"'!$D$6),Sub_Period,0))</f>
        <v>0</v>
      </c>
      <c r="E40" s="884">
        <f t="shared" si="14"/>
        <v>33.81</v>
      </c>
      <c r="F40" s="488">
        <f t="shared" si="15"/>
        <v>28.738500000000002</v>
      </c>
      <c r="G40" s="488">
        <f t="shared" si="16"/>
        <v>38.881500000000003</v>
      </c>
      <c r="H40" s="36">
        <f t="shared" si="17"/>
        <v>48.855450000000005</v>
      </c>
      <c r="I40" s="36">
        <f t="shared" si="18"/>
        <v>98.759010000000004</v>
      </c>
      <c r="J40" s="877" t="str">
        <f t="shared" si="19"/>
        <v>No*</v>
      </c>
    </row>
    <row r="41" spans="1:10">
      <c r="A41" t="str">
        <f t="shared" si="20"/>
        <v>Contr_Sub</v>
      </c>
      <c r="B41">
        <f t="shared" si="21"/>
        <v>4</v>
      </c>
      <c r="C41" s="838" t="str">
        <f t="shared" si="13"/>
        <v>Functional Services Administrator</v>
      </c>
      <c r="D41" s="876">
        <f>+INDEX('Sub Rates'!$F$9:$IV$65536,MATCH(('Price Analysis "Sub-1"'!$C41&amp;'Price Analysis "Sub-1"'!$A41),'Sub Rates'!$E$9:$E$65536,0),MATCH(('Price Analysis "Sub-1"'!$E$11&amp;'Price Analysis "Sub-1"'!$D$6),Sub_Period,0))</f>
        <v>0</v>
      </c>
      <c r="E41" s="884">
        <f t="shared" si="14"/>
        <v>33.81</v>
      </c>
      <c r="F41" s="488">
        <f t="shared" si="15"/>
        <v>28.738500000000002</v>
      </c>
      <c r="G41" s="488">
        <f t="shared" si="16"/>
        <v>38.881500000000003</v>
      </c>
      <c r="H41" s="36">
        <f t="shared" si="17"/>
        <v>48.855450000000005</v>
      </c>
      <c r="I41" s="36">
        <f t="shared" si="18"/>
        <v>98.759010000000004</v>
      </c>
      <c r="J41" s="877" t="str">
        <f t="shared" si="19"/>
        <v>No*</v>
      </c>
    </row>
    <row r="42" spans="1:10">
      <c r="A42" t="str">
        <f t="shared" si="20"/>
        <v>Contr_Sub</v>
      </c>
      <c r="B42">
        <f t="shared" si="21"/>
        <v>5</v>
      </c>
      <c r="C42" s="838" t="str">
        <f t="shared" si="13"/>
        <v>Service Desk</v>
      </c>
      <c r="D42" s="876">
        <f>+INDEX('Sub Rates'!$F$9:$IV$65536,MATCH(('Price Analysis "Sub-1"'!$C42&amp;'Price Analysis "Sub-1"'!$A42),'Sub Rates'!$E$9:$E$65536,0),MATCH(('Price Analysis "Sub-1"'!$E$11&amp;'Price Analysis "Sub-1"'!$D$6),Sub_Period,0))</f>
        <v>0</v>
      </c>
      <c r="E42" s="884">
        <f t="shared" si="14"/>
        <v>26</v>
      </c>
      <c r="F42" s="488">
        <f t="shared" si="15"/>
        <v>22.099999999999998</v>
      </c>
      <c r="G42" s="488">
        <f t="shared" si="16"/>
        <v>29.9</v>
      </c>
      <c r="H42" s="36">
        <f t="shared" si="17"/>
        <v>37.569999999999993</v>
      </c>
      <c r="I42" s="36">
        <f t="shared" si="18"/>
        <v>75.945999999999998</v>
      </c>
      <c r="J42" s="877" t="str">
        <f t="shared" si="19"/>
        <v>No*</v>
      </c>
    </row>
    <row r="43" spans="1:10">
      <c r="A43" t="str">
        <f t="shared" si="20"/>
        <v>Contr_Sub</v>
      </c>
      <c r="B43">
        <f t="shared" si="21"/>
        <v>6</v>
      </c>
      <c r="C43" s="838" t="str">
        <f t="shared" si="13"/>
        <v>Service Desk</v>
      </c>
      <c r="D43" s="876">
        <f>+INDEX('Sub Rates'!$F$9:$IV$65536,MATCH(('Price Analysis "Sub-1"'!$C43&amp;'Price Analysis "Sub-1"'!$A43),'Sub Rates'!$E$9:$E$65536,0),MATCH(('Price Analysis "Sub-1"'!$E$11&amp;'Price Analysis "Sub-1"'!$D$6),Sub_Period,0))</f>
        <v>0</v>
      </c>
      <c r="E43" s="884">
        <f t="shared" si="14"/>
        <v>26</v>
      </c>
      <c r="F43" s="488">
        <f t="shared" si="15"/>
        <v>22.099999999999998</v>
      </c>
      <c r="G43" s="488">
        <f t="shared" si="16"/>
        <v>29.9</v>
      </c>
      <c r="H43" s="36">
        <f t="shared" si="17"/>
        <v>37.569999999999993</v>
      </c>
      <c r="I43" s="36">
        <f t="shared" si="18"/>
        <v>75.945999999999998</v>
      </c>
      <c r="J43" s="877" t="str">
        <f t="shared" si="19"/>
        <v>No*</v>
      </c>
    </row>
    <row r="44" spans="1:10">
      <c r="A44" t="str">
        <f t="shared" si="20"/>
        <v>Contr_Sub</v>
      </c>
      <c r="B44">
        <f t="shared" si="21"/>
        <v>7</v>
      </c>
      <c r="C44" s="838" t="str">
        <f t="shared" si="13"/>
        <v>CIS Training Supervisor</v>
      </c>
      <c r="D44" s="876">
        <f>+INDEX('Sub Rates'!$F$9:$IV$65536,MATCH(('Price Analysis "Sub-1"'!$C44&amp;'Price Analysis "Sub-1"'!$A44),'Sub Rates'!$E$9:$E$65536,0),MATCH(('Price Analysis "Sub-1"'!$E$11&amp;'Price Analysis "Sub-1"'!$D$6),Sub_Period,0))</f>
        <v>0</v>
      </c>
      <c r="E44" s="884">
        <f t="shared" si="14"/>
        <v>0</v>
      </c>
      <c r="F44" s="488">
        <f t="shared" si="15"/>
        <v>0</v>
      </c>
      <c r="G44" s="488">
        <f t="shared" si="16"/>
        <v>0</v>
      </c>
      <c r="H44" s="36">
        <f t="shared" si="17"/>
        <v>0</v>
      </c>
      <c r="I44" s="36">
        <f t="shared" si="18"/>
        <v>0</v>
      </c>
      <c r="J44" s="877" t="str">
        <f t="shared" si="19"/>
        <v>No*</v>
      </c>
    </row>
    <row r="45" spans="1:10">
      <c r="A45" t="str">
        <f t="shared" si="20"/>
        <v>Contr_Sub</v>
      </c>
      <c r="B45">
        <f t="shared" si="21"/>
        <v>8</v>
      </c>
      <c r="C45" s="838" t="str">
        <f t="shared" si="13"/>
        <v>CIS Trainer</v>
      </c>
      <c r="D45" s="876">
        <f>+INDEX('Sub Rates'!$F$9:$IV$65536,MATCH(('Price Analysis "Sub-1"'!$C45&amp;'Price Analysis "Sub-1"'!$A45),'Sub Rates'!$E$9:$E$65536,0),MATCH(('Price Analysis "Sub-1"'!$E$11&amp;'Price Analysis "Sub-1"'!$D$6),Sub_Period,0))</f>
        <v>0</v>
      </c>
      <c r="E45" s="884">
        <f t="shared" si="14"/>
        <v>0</v>
      </c>
      <c r="F45" s="488">
        <f t="shared" si="15"/>
        <v>0</v>
      </c>
      <c r="G45" s="488">
        <f t="shared" si="16"/>
        <v>0</v>
      </c>
      <c r="H45" s="36">
        <f t="shared" si="17"/>
        <v>0</v>
      </c>
      <c r="I45" s="36">
        <f t="shared" si="18"/>
        <v>0</v>
      </c>
      <c r="J45" s="877" t="str">
        <f t="shared" si="19"/>
        <v>No*</v>
      </c>
    </row>
    <row r="46" spans="1:10">
      <c r="A46" t="str">
        <f t="shared" si="20"/>
        <v>Contr_Sub</v>
      </c>
      <c r="B46">
        <f t="shared" si="21"/>
        <v>9</v>
      </c>
      <c r="C46" s="838" t="str">
        <f t="shared" si="13"/>
        <v>Radio Technician</v>
      </c>
      <c r="D46" s="876">
        <f>+INDEX('Sub Rates'!$F$9:$IV$65536,MATCH(('Price Analysis "Sub-1"'!$C46&amp;'Price Analysis "Sub-1"'!$A46),'Sub Rates'!$E$9:$E$65536,0),MATCH(('Price Analysis "Sub-1"'!$E$11&amp;'Price Analysis "Sub-1"'!$D$6),Sub_Period,0))</f>
        <v>0</v>
      </c>
      <c r="E46" s="884">
        <f t="shared" si="14"/>
        <v>0</v>
      </c>
      <c r="F46" s="488">
        <f t="shared" si="15"/>
        <v>0</v>
      </c>
      <c r="G46" s="488">
        <f t="shared" si="16"/>
        <v>0</v>
      </c>
      <c r="H46" s="36">
        <f t="shared" si="17"/>
        <v>0</v>
      </c>
      <c r="I46" s="36">
        <f t="shared" si="18"/>
        <v>0</v>
      </c>
      <c r="J46" s="877" t="str">
        <f t="shared" si="19"/>
        <v>No*</v>
      </c>
    </row>
    <row r="47" spans="1:10">
      <c r="A47" t="str">
        <f t="shared" si="20"/>
        <v>Contr_Sub</v>
      </c>
      <c r="B47">
        <f t="shared" si="21"/>
        <v>10</v>
      </c>
      <c r="C47" s="838" t="str">
        <f t="shared" si="13"/>
        <v>Radio Technician</v>
      </c>
      <c r="D47" s="876">
        <f>+INDEX('Sub Rates'!$F$9:$IV$65536,MATCH(('Price Analysis "Sub-1"'!$C47&amp;'Price Analysis "Sub-1"'!$A47),'Sub Rates'!$E$9:$E$65536,0),MATCH(('Price Analysis "Sub-1"'!$E$11&amp;'Price Analysis "Sub-1"'!$D$6),Sub_Period,0))</f>
        <v>0</v>
      </c>
      <c r="E47" s="884">
        <f t="shared" si="14"/>
        <v>0</v>
      </c>
      <c r="F47" s="488">
        <f t="shared" si="15"/>
        <v>0</v>
      </c>
      <c r="G47" s="488">
        <f t="shared" si="16"/>
        <v>0</v>
      </c>
      <c r="H47" s="36">
        <f t="shared" si="17"/>
        <v>0</v>
      </c>
      <c r="I47" s="36">
        <f t="shared" si="18"/>
        <v>0</v>
      </c>
      <c r="J47" s="877" t="str">
        <f t="shared" si="19"/>
        <v>No*</v>
      </c>
    </row>
    <row r="48" spans="1:10">
      <c r="A48" t="str">
        <f t="shared" si="20"/>
        <v>Contr_Sub</v>
      </c>
      <c r="B48">
        <f t="shared" si="21"/>
        <v>11</v>
      </c>
      <c r="C48" s="838" t="str">
        <f t="shared" si="13"/>
        <v>Network Administrator</v>
      </c>
      <c r="D48" s="876">
        <f>+INDEX('Sub Rates'!$F$9:$IV$65536,MATCH(('Price Analysis "Sub-1"'!$C48&amp;'Price Analysis "Sub-1"'!$A48),'Sub Rates'!$E$9:$E$65536,0),MATCH(('Price Analysis "Sub-1"'!$E$11&amp;'Price Analysis "Sub-1"'!$D$6),Sub_Period,0))</f>
        <v>0</v>
      </c>
      <c r="E48" s="884">
        <f t="shared" si="14"/>
        <v>27.5</v>
      </c>
      <c r="F48" s="488">
        <f t="shared" si="15"/>
        <v>23.375</v>
      </c>
      <c r="G48" s="488">
        <f t="shared" si="16"/>
        <v>31.624999999999996</v>
      </c>
      <c r="H48" s="36">
        <f t="shared" si="17"/>
        <v>39.737499999999997</v>
      </c>
      <c r="I48" s="36">
        <f t="shared" si="18"/>
        <v>80.327499999999986</v>
      </c>
      <c r="J48" s="877" t="str">
        <f t="shared" si="19"/>
        <v>No*</v>
      </c>
    </row>
    <row r="49" spans="1:11">
      <c r="A49" t="str">
        <f t="shared" si="20"/>
        <v>Contr_Sub</v>
      </c>
      <c r="B49">
        <f t="shared" si="21"/>
        <v>12</v>
      </c>
      <c r="C49" s="838" t="str">
        <f t="shared" si="13"/>
        <v>System Administrator</v>
      </c>
      <c r="D49" s="876">
        <f>+INDEX('Sub Rates'!$F$9:$IV$65536,MATCH(('Price Analysis "Sub-1"'!$C49&amp;'Price Analysis "Sub-1"'!$A49),'Sub Rates'!$E$9:$E$65536,0),MATCH(('Price Analysis "Sub-1"'!$E$11&amp;'Price Analysis "Sub-1"'!$D$6),Sub_Period,0))</f>
        <v>0</v>
      </c>
      <c r="E49" s="884">
        <f t="shared" si="14"/>
        <v>28</v>
      </c>
      <c r="F49" s="488">
        <f t="shared" si="15"/>
        <v>23.8</v>
      </c>
      <c r="G49" s="488">
        <f t="shared" si="16"/>
        <v>32.199999999999996</v>
      </c>
      <c r="H49" s="36">
        <f t="shared" si="17"/>
        <v>40.46</v>
      </c>
      <c r="I49" s="36">
        <f t="shared" si="18"/>
        <v>81.787999999999997</v>
      </c>
      <c r="J49" s="877" t="str">
        <f t="shared" si="19"/>
        <v>No*</v>
      </c>
    </row>
    <row r="50" spans="1:11">
      <c r="A50" t="str">
        <f t="shared" si="20"/>
        <v>Contr_Sub</v>
      </c>
      <c r="B50">
        <f t="shared" si="21"/>
        <v>13</v>
      </c>
      <c r="C50" s="838" t="str">
        <f t="shared" si="13"/>
        <v>Configuration Manager</v>
      </c>
      <c r="D50" s="876">
        <f>+INDEX('Sub Rates'!$F$9:$IV$65536,MATCH(('Price Analysis "Sub-1"'!$C50&amp;'Price Analysis "Sub-1"'!$A50),'Sub Rates'!$E$9:$E$65536,0),MATCH(('Price Analysis "Sub-1"'!$E$11&amp;'Price Analysis "Sub-1"'!$D$6),Sub_Period,0))</f>
        <v>0</v>
      </c>
      <c r="E50" s="884">
        <f t="shared" si="14"/>
        <v>26</v>
      </c>
      <c r="F50" s="488">
        <f t="shared" si="15"/>
        <v>22.099999999999998</v>
      </c>
      <c r="G50" s="488">
        <f t="shared" si="16"/>
        <v>29.9</v>
      </c>
      <c r="H50" s="36">
        <f t="shared" si="17"/>
        <v>37.569999999999993</v>
      </c>
      <c r="I50" s="36">
        <f t="shared" si="18"/>
        <v>75.945999999999998</v>
      </c>
      <c r="J50" s="877" t="str">
        <f t="shared" si="19"/>
        <v>No*</v>
      </c>
    </row>
    <row r="51" spans="1:11">
      <c r="A51" t="str">
        <f t="shared" si="20"/>
        <v>Contr_Sub</v>
      </c>
      <c r="B51">
        <f t="shared" si="21"/>
        <v>14</v>
      </c>
      <c r="C51" s="838" t="str">
        <f t="shared" si="13"/>
        <v>Hardware Technician</v>
      </c>
      <c r="D51" s="876">
        <f>+INDEX('Sub Rates'!$F$9:$IV$65536,MATCH(('Price Analysis "Sub-1"'!$C51&amp;'Price Analysis "Sub-1"'!$A51),'Sub Rates'!$E$9:$E$65536,0),MATCH(('Price Analysis "Sub-1"'!$E$11&amp;'Price Analysis "Sub-1"'!$D$6),Sub_Period,0))</f>
        <v>0</v>
      </c>
      <c r="E51" s="884">
        <f t="shared" si="14"/>
        <v>26</v>
      </c>
      <c r="F51" s="488">
        <f t="shared" si="15"/>
        <v>22.099999999999998</v>
      </c>
      <c r="G51" s="488">
        <f t="shared" si="16"/>
        <v>29.9</v>
      </c>
      <c r="H51" s="36">
        <f t="shared" si="17"/>
        <v>37.569999999999993</v>
      </c>
      <c r="I51" s="36">
        <f t="shared" si="18"/>
        <v>75.945999999999998</v>
      </c>
      <c r="J51" s="877" t="str">
        <f t="shared" si="19"/>
        <v>No*</v>
      </c>
    </row>
    <row r="52" spans="1:11">
      <c r="A52" t="str">
        <f t="shared" si="20"/>
        <v>Contr_Sub</v>
      </c>
      <c r="B52">
        <f t="shared" si="21"/>
        <v>15</v>
      </c>
      <c r="C52" s="838" t="str">
        <f t="shared" si="13"/>
        <v>Repair/Exchange Specialist</v>
      </c>
      <c r="D52" s="876">
        <f>+INDEX('Sub Rates'!$F$9:$IV$65536,MATCH(('Price Analysis "Sub-1"'!$C52&amp;'Price Analysis "Sub-1"'!$A52),'Sub Rates'!$E$9:$E$65536,0),MATCH(('Price Analysis "Sub-1"'!$E$11&amp;'Price Analysis "Sub-1"'!$D$6),Sub_Period,0))</f>
        <v>0</v>
      </c>
      <c r="E52" s="884">
        <f t="shared" si="14"/>
        <v>25</v>
      </c>
      <c r="F52" s="488">
        <f t="shared" si="15"/>
        <v>21.25</v>
      </c>
      <c r="G52" s="488">
        <f t="shared" ref="G52:G57" si="22">E52*(1+$G$34)</f>
        <v>28.749999999999996</v>
      </c>
      <c r="H52" s="36">
        <f t="shared" ref="H52:H57" si="23">+F52*H$36</f>
        <v>36.125</v>
      </c>
      <c r="I52" s="36">
        <f t="shared" ref="I52:I57" si="24">+G52*I$36</f>
        <v>73.024999999999991</v>
      </c>
      <c r="J52" s="877" t="str">
        <f t="shared" ref="J52:J57" si="25">IF(AND(I52&gt;D52,H52&lt;D52),"Yes","No*")</f>
        <v>No*</v>
      </c>
    </row>
    <row r="53" spans="1:11">
      <c r="A53" t="str">
        <f t="shared" si="20"/>
        <v>Contr_Sub</v>
      </c>
      <c r="B53">
        <f t="shared" si="21"/>
        <v>16</v>
      </c>
      <c r="C53" s="838" t="str">
        <f t="shared" si="13"/>
        <v>PMO Cost</v>
      </c>
      <c r="D53" s="876">
        <f>+INDEX('Sub Rates'!$F$9:$IV$65536,MATCH(('Price Analysis "Sub-1"'!$C53&amp;'Price Analysis "Sub-1"'!$A53),'Sub Rates'!$E$9:$E$65536,0),MATCH(('Price Analysis "Sub-1"'!$E$11&amp;'Price Analysis "Sub-1"'!$D$6),Sub_Period,0))</f>
        <v>0</v>
      </c>
      <c r="E53" s="884">
        <f t="shared" si="14"/>
        <v>108.5</v>
      </c>
      <c r="F53" s="488">
        <f t="shared" si="15"/>
        <v>92.224999999999994</v>
      </c>
      <c r="G53" s="488">
        <f t="shared" si="22"/>
        <v>124.77499999999999</v>
      </c>
      <c r="H53" s="36">
        <f t="shared" si="23"/>
        <v>156.7825</v>
      </c>
      <c r="I53" s="36">
        <f t="shared" si="24"/>
        <v>316.92849999999999</v>
      </c>
      <c r="J53" s="877" t="str">
        <f t="shared" si="25"/>
        <v>No*</v>
      </c>
    </row>
    <row r="54" spans="1:11">
      <c r="A54" t="str">
        <f t="shared" si="20"/>
        <v>Contr_Sub</v>
      </c>
      <c r="B54">
        <f t="shared" si="21"/>
        <v>17</v>
      </c>
      <c r="C54" s="838" t="str">
        <f t="shared" si="13"/>
        <v>Project Controller Cost</v>
      </c>
      <c r="D54" s="876">
        <f>+INDEX('Sub Rates'!$F$9:$IV$65536,MATCH(('Price Analysis "Sub-1"'!$C54&amp;'Price Analysis "Sub-1"'!$A54),'Sub Rates'!$E$9:$E$65536,0),MATCH(('Price Analysis "Sub-1"'!$E$11&amp;'Price Analysis "Sub-1"'!$D$6),Sub_Period,0))</f>
        <v>0</v>
      </c>
      <c r="E54" s="884">
        <f t="shared" si="14"/>
        <v>0</v>
      </c>
      <c r="F54" s="488">
        <f t="shared" si="15"/>
        <v>0</v>
      </c>
      <c r="G54" s="488">
        <f t="shared" si="22"/>
        <v>0</v>
      </c>
      <c r="H54" s="36">
        <f t="shared" si="23"/>
        <v>0</v>
      </c>
      <c r="I54" s="36">
        <f t="shared" si="24"/>
        <v>0</v>
      </c>
      <c r="J54" s="877" t="str">
        <f t="shared" si="25"/>
        <v>No*</v>
      </c>
    </row>
    <row r="55" spans="1:11">
      <c r="A55" t="str">
        <f t="shared" si="20"/>
        <v>Contr_Sub</v>
      </c>
      <c r="B55">
        <f t="shared" si="21"/>
        <v>18</v>
      </c>
      <c r="C55" s="838" t="e">
        <f t="shared" si="13"/>
        <v>#N/A</v>
      </c>
      <c r="D55" s="876" t="e">
        <f>+INDEX('Sub Rates'!$F$9:$IV$65536,MATCH(('Price Analysis "Sub-1"'!$C55&amp;'Price Analysis "Sub-1"'!$A55),'Sub Rates'!$E$9:$E$65536,0),MATCH(('Price Analysis "Sub-1"'!$E$11&amp;'Price Analysis "Sub-1"'!$D$6),Sub_Period,0))</f>
        <v>#N/A</v>
      </c>
      <c r="E55" s="884" t="e">
        <f t="shared" si="14"/>
        <v>#N/A</v>
      </c>
      <c r="F55" s="488" t="e">
        <f t="shared" si="15"/>
        <v>#N/A</v>
      </c>
      <c r="G55" s="488" t="e">
        <f t="shared" si="22"/>
        <v>#N/A</v>
      </c>
      <c r="H55" s="36" t="e">
        <f t="shared" si="23"/>
        <v>#N/A</v>
      </c>
      <c r="I55" s="36" t="e">
        <f t="shared" si="24"/>
        <v>#N/A</v>
      </c>
      <c r="J55" s="877" t="e">
        <f t="shared" si="25"/>
        <v>#N/A</v>
      </c>
    </row>
    <row r="56" spans="1:11">
      <c r="A56" t="str">
        <f t="shared" si="20"/>
        <v>Contr_Sub</v>
      </c>
      <c r="B56">
        <f t="shared" si="21"/>
        <v>19</v>
      </c>
      <c r="C56" s="838" t="e">
        <f t="shared" si="13"/>
        <v>#N/A</v>
      </c>
      <c r="D56" s="876" t="e">
        <f>+INDEX('Sub Rates'!$F$9:$IV$65536,MATCH(('Price Analysis "Sub-1"'!$C56&amp;'Price Analysis "Sub-1"'!$A56),'Sub Rates'!$E$9:$E$65536,0),MATCH(('Price Analysis "Sub-1"'!$E$11&amp;'Price Analysis "Sub-1"'!$D$6),Sub_Period,0))</f>
        <v>#N/A</v>
      </c>
      <c r="E56" s="884" t="e">
        <f t="shared" si="14"/>
        <v>#N/A</v>
      </c>
      <c r="F56" s="488" t="e">
        <f t="shared" si="15"/>
        <v>#N/A</v>
      </c>
      <c r="G56" s="488" t="e">
        <f t="shared" si="22"/>
        <v>#N/A</v>
      </c>
      <c r="H56" s="36" t="e">
        <f t="shared" si="23"/>
        <v>#N/A</v>
      </c>
      <c r="I56" s="36" t="e">
        <f t="shared" si="24"/>
        <v>#N/A</v>
      </c>
      <c r="J56" s="877" t="e">
        <f t="shared" si="25"/>
        <v>#N/A</v>
      </c>
    </row>
    <row r="57" spans="1:11">
      <c r="A57" t="str">
        <f t="shared" si="20"/>
        <v>Contr_Sub</v>
      </c>
      <c r="B57">
        <f t="shared" si="21"/>
        <v>20</v>
      </c>
      <c r="C57" s="838" t="e">
        <f t="shared" si="13"/>
        <v>#N/A</v>
      </c>
      <c r="D57" s="876" t="e">
        <f>+INDEX('Sub Rates'!$F$9:$IV$65536,MATCH(('Price Analysis "Sub-1"'!$C57&amp;'Price Analysis "Sub-1"'!$A57),'Sub Rates'!$E$9:$E$65536,0),MATCH(('Price Analysis "Sub-1"'!$E$11&amp;'Price Analysis "Sub-1"'!$D$6),Sub_Period,0))</f>
        <v>#N/A</v>
      </c>
      <c r="E57" s="884" t="e">
        <f t="shared" si="14"/>
        <v>#N/A</v>
      </c>
      <c r="F57" s="488" t="e">
        <f t="shared" si="15"/>
        <v>#N/A</v>
      </c>
      <c r="G57" s="488" t="e">
        <f t="shared" si="22"/>
        <v>#N/A</v>
      </c>
      <c r="H57" s="36" t="e">
        <f t="shared" si="23"/>
        <v>#N/A</v>
      </c>
      <c r="I57" s="36" t="e">
        <f t="shared" si="24"/>
        <v>#N/A</v>
      </c>
      <c r="J57" s="877" t="e">
        <f t="shared" si="25"/>
        <v>#N/A</v>
      </c>
    </row>
    <row r="58" spans="1:11">
      <c r="K58" s="879"/>
    </row>
    <row r="59" spans="1:11" ht="18.75">
      <c r="C59" s="260" t="s">
        <v>828</v>
      </c>
      <c r="K59" s="880" t="str">
        <f>IF(COUNTIF(J12:J57,"No*")&gt;0,"Provide Explanation","")</f>
        <v>Provide Explanation</v>
      </c>
    </row>
    <row r="61" spans="1:11" ht="18">
      <c r="K61" s="881"/>
    </row>
  </sheetData>
  <mergeCells count="6">
    <mergeCell ref="F36:G36"/>
    <mergeCell ref="F10:G10"/>
    <mergeCell ref="F9:G9"/>
    <mergeCell ref="H9:I9"/>
    <mergeCell ref="F35:G35"/>
    <mergeCell ref="H35:I35"/>
  </mergeCells>
  <phoneticPr fontId="0" type="noConversion"/>
  <pageMargins left="1" right="1" top="1" bottom="1" header="0" footer="0"/>
  <pageSetup scale="59" orientation="portrait" r:id="rId1"/>
  <headerFooter alignWithMargins="0"/>
  <ignoredErrors>
    <ignoredError sqref="L3 L4:L9" numberStoredAsText="1"/>
  </ignoredErrors>
</worksheet>
</file>

<file path=xl/worksheets/sheet26.xml><?xml version="1.0" encoding="utf-8"?>
<worksheet xmlns="http://schemas.openxmlformats.org/spreadsheetml/2006/main" xmlns:r="http://schemas.openxmlformats.org/officeDocument/2006/relationships">
  <sheetPr codeName="Sheet5" enableFormatConditionsCalculation="0">
    <tabColor indexed="55"/>
    <pageSetUpPr fitToPage="1"/>
  </sheetPr>
  <dimension ref="A1:AP552"/>
  <sheetViews>
    <sheetView showGridLines="0" view="pageBreakPreview" zoomScale="85" zoomScaleNormal="100" workbookViewId="0">
      <pane xSplit="3" topLeftCell="D1" activePane="topRight" state="frozen"/>
      <selection activeCell="F47" sqref="F47"/>
      <selection pane="topRight" activeCell="C7" sqref="C7"/>
    </sheetView>
  </sheetViews>
  <sheetFormatPr defaultRowHeight="12.75" outlineLevelRow="1" outlineLevelCol="1"/>
  <cols>
    <col min="1" max="1" width="21.140625" style="530" hidden="1" customWidth="1"/>
    <col min="2" max="2" width="22.7109375" style="6" customWidth="1"/>
    <col min="3" max="3" width="11.28515625" style="4" customWidth="1"/>
    <col min="4" max="4" width="4.5703125" style="4" customWidth="1"/>
    <col min="5" max="10" width="9.28515625" style="4" customWidth="1"/>
    <col min="11" max="18" width="9.28515625" style="4" hidden="1" customWidth="1" outlineLevel="1"/>
    <col min="19" max="19" width="2.85546875" style="4" customWidth="1" collapsed="1"/>
    <col min="20" max="25" width="9.140625" style="4" customWidth="1"/>
    <col min="26" max="33" width="9.140625" style="4" hidden="1" customWidth="1" outlineLevel="1"/>
    <col min="34" max="34" width="3.28515625" style="4" customWidth="1" collapsed="1"/>
    <col min="35" max="35" width="9.85546875" style="4" customWidth="1"/>
    <col min="36" max="36" width="2.5703125" style="4" customWidth="1"/>
    <col min="37" max="37" width="11.28515625" style="4" customWidth="1"/>
    <col min="38" max="38" width="40.85546875" style="4" customWidth="1" outlineLevel="1"/>
    <col min="39" max="39" width="8.7109375" style="4" customWidth="1" outlineLevel="1"/>
    <col min="40" max="40" width="9.140625" style="4" customWidth="1"/>
    <col min="41" max="41" width="16.85546875" style="4" bestFit="1" customWidth="1" outlineLevel="1"/>
    <col min="42" max="42" width="9.140625" style="3" customWidth="1" outlineLevel="1"/>
    <col min="43" max="16384" width="9.140625" style="4"/>
  </cols>
  <sheetData>
    <row r="1" spans="1:42" ht="13.5" thickBot="1">
      <c r="B1" s="6" t="s">
        <v>610</v>
      </c>
      <c r="C1" s="680" t="str">
        <f>InputSheet!$D$4</f>
        <v>P-12246</v>
      </c>
      <c r="AO1" s="681" t="s">
        <v>54</v>
      </c>
      <c r="AP1" s="682" t="s">
        <v>57</v>
      </c>
    </row>
    <row r="2" spans="1:42">
      <c r="B2" s="6" t="s">
        <v>666</v>
      </c>
      <c r="C2" s="680" t="str">
        <f>InputSheet!$D$1</f>
        <v>NCSA HQ 7010</v>
      </c>
      <c r="AO2" s="683" t="str">
        <f t="shared" ref="AO2:AO9" si="0">B12</f>
        <v>PRB</v>
      </c>
      <c r="AP2" s="684" t="s">
        <v>56</v>
      </c>
    </row>
    <row r="3" spans="1:42">
      <c r="B3" s="6" t="s">
        <v>611</v>
      </c>
      <c r="C3" s="680" t="str">
        <f>InputSheet!$D$3</f>
        <v>ManTech Telecommunications and Information Systems Corporation</v>
      </c>
      <c r="AO3" s="432" t="str">
        <f t="shared" si="0"/>
        <v>Overhead - Offsite</v>
      </c>
      <c r="AP3" s="685"/>
    </row>
    <row r="4" spans="1:42">
      <c r="B4" s="6" t="s">
        <v>612</v>
      </c>
      <c r="C4" s="680" t="str">
        <f>InputSheet!$D$2</f>
        <v>CIS Consultant Services</v>
      </c>
      <c r="AO4" s="432" t="str">
        <f t="shared" si="0"/>
        <v>Overhead - Onsite</v>
      </c>
      <c r="AP4" s="685" t="s">
        <v>56</v>
      </c>
    </row>
    <row r="5" spans="1:42" s="379" customFormat="1" ht="13.5" thickBot="1">
      <c r="A5" s="255"/>
      <c r="B5" s="254" t="s">
        <v>613</v>
      </c>
      <c r="C5" s="686" t="s">
        <v>719</v>
      </c>
      <c r="J5" s="430"/>
      <c r="AO5" s="687" t="str">
        <f t="shared" si="0"/>
        <v>Material Handling</v>
      </c>
      <c r="AP5" s="688"/>
    </row>
    <row r="6" spans="1:42">
      <c r="C6" s="680"/>
      <c r="J6" s="50"/>
      <c r="AO6" s="689" t="str">
        <f t="shared" si="0"/>
        <v>G&amp;A</v>
      </c>
      <c r="AP6" s="690" t="s">
        <v>56</v>
      </c>
    </row>
    <row r="7" spans="1:42">
      <c r="B7" s="327" t="s">
        <v>614</v>
      </c>
      <c r="C7" s="701" t="str">
        <f>InputSheet!$I$40</f>
        <v>IS</v>
      </c>
      <c r="AO7" s="432" t="str">
        <f t="shared" si="0"/>
        <v>TBD1</v>
      </c>
      <c r="AP7" s="685"/>
    </row>
    <row r="8" spans="1:42">
      <c r="AO8" s="432" t="str">
        <f t="shared" si="0"/>
        <v>TBD2</v>
      </c>
      <c r="AP8" s="685"/>
    </row>
    <row r="9" spans="1:42" ht="13.5" thickBot="1">
      <c r="A9" s="530" t="str">
        <f>B9</f>
        <v>Base Year</v>
      </c>
      <c r="B9" s="691" t="str">
        <f>InputSheet!$C$22</f>
        <v>Base Year</v>
      </c>
      <c r="C9" s="260"/>
      <c r="AO9" s="687" t="str">
        <f t="shared" si="0"/>
        <v>TBD3</v>
      </c>
      <c r="AP9" s="688"/>
    </row>
    <row r="10" spans="1:42">
      <c r="B10" s="314" t="s">
        <v>587</v>
      </c>
      <c r="C10" s="692" t="s">
        <v>588</v>
      </c>
      <c r="E10" s="1216" t="str">
        <f>"Indirect Rates - "&amp;C$7</f>
        <v>Indirect Rates - IS</v>
      </c>
      <c r="F10" s="1216"/>
      <c r="G10" s="1216"/>
      <c r="H10" s="1216"/>
      <c r="I10" s="1216"/>
      <c r="J10" s="1216"/>
      <c r="K10" s="1216"/>
      <c r="L10" s="1216"/>
      <c r="M10" s="1216"/>
      <c r="N10" s="1216"/>
      <c r="O10" s="1216"/>
      <c r="P10" s="1216"/>
      <c r="Q10" s="1216"/>
      <c r="R10" s="1216"/>
      <c r="S10" s="844"/>
      <c r="T10" s="1217" t="s">
        <v>794</v>
      </c>
      <c r="U10" s="1217"/>
      <c r="V10" s="1217"/>
      <c r="W10" s="1217"/>
      <c r="X10" s="1217"/>
      <c r="Y10" s="1217"/>
      <c r="Z10" s="1217"/>
      <c r="AA10" s="1217"/>
      <c r="AB10" s="1217"/>
      <c r="AC10" s="1217"/>
      <c r="AD10" s="1217"/>
      <c r="AE10" s="1217"/>
      <c r="AF10" s="1217"/>
      <c r="AG10" s="1217"/>
      <c r="AI10" s="692" t="s">
        <v>615</v>
      </c>
      <c r="AJ10" s="50"/>
      <c r="AK10" s="50"/>
    </row>
    <row r="11" spans="1:42">
      <c r="B11" s="693">
        <f>VLOOKUP(A9,InputSheet!$C$8:$E$37,2,FALSE)</f>
        <v>40179</v>
      </c>
      <c r="C11" s="694">
        <f>VLOOKUP(A9,InputSheet!$C$8:$E$37,3,FALSE)</f>
        <v>40543</v>
      </c>
      <c r="E11" s="695">
        <v>2009</v>
      </c>
      <c r="F11" s="695">
        <f t="shared" ref="F11:R11" si="1">E11+1</f>
        <v>2010</v>
      </c>
      <c r="G11" s="695">
        <f t="shared" si="1"/>
        <v>2011</v>
      </c>
      <c r="H11" s="695">
        <f t="shared" si="1"/>
        <v>2012</v>
      </c>
      <c r="I11" s="695">
        <f t="shared" si="1"/>
        <v>2013</v>
      </c>
      <c r="J11" s="695">
        <f t="shared" si="1"/>
        <v>2014</v>
      </c>
      <c r="K11" s="695">
        <f t="shared" si="1"/>
        <v>2015</v>
      </c>
      <c r="L11" s="695">
        <f t="shared" si="1"/>
        <v>2016</v>
      </c>
      <c r="M11" s="695">
        <f t="shared" si="1"/>
        <v>2017</v>
      </c>
      <c r="N11" s="695">
        <f>M11+1</f>
        <v>2018</v>
      </c>
      <c r="O11" s="695">
        <f>N11+1</f>
        <v>2019</v>
      </c>
      <c r="P11" s="695">
        <f>O11+1</f>
        <v>2020</v>
      </c>
      <c r="Q11" s="695">
        <f>P11+1</f>
        <v>2021</v>
      </c>
      <c r="R11" s="695">
        <f t="shared" si="1"/>
        <v>2022</v>
      </c>
      <c r="S11" s="680"/>
      <c r="T11" s="696">
        <f t="shared" ref="T11:AG11" si="2">E11</f>
        <v>2009</v>
      </c>
      <c r="U11" s="696">
        <f t="shared" si="2"/>
        <v>2010</v>
      </c>
      <c r="V11" s="696">
        <f t="shared" si="2"/>
        <v>2011</v>
      </c>
      <c r="W11" s="696">
        <f t="shared" si="2"/>
        <v>2012</v>
      </c>
      <c r="X11" s="696">
        <f t="shared" si="2"/>
        <v>2013</v>
      </c>
      <c r="Y11" s="696">
        <f t="shared" si="2"/>
        <v>2014</v>
      </c>
      <c r="Z11" s="696">
        <f t="shared" si="2"/>
        <v>2015</v>
      </c>
      <c r="AA11" s="696">
        <f t="shared" si="2"/>
        <v>2016</v>
      </c>
      <c r="AB11" s="696">
        <f t="shared" si="2"/>
        <v>2017</v>
      </c>
      <c r="AC11" s="696">
        <f t="shared" si="2"/>
        <v>2018</v>
      </c>
      <c r="AD11" s="696">
        <f t="shared" si="2"/>
        <v>2019</v>
      </c>
      <c r="AE11" s="696">
        <f t="shared" si="2"/>
        <v>2020</v>
      </c>
      <c r="AF11" s="696">
        <f t="shared" si="2"/>
        <v>2021</v>
      </c>
      <c r="AG11" s="696">
        <f t="shared" si="2"/>
        <v>2022</v>
      </c>
      <c r="AI11" s="696" t="str">
        <f>B9</f>
        <v>Base Year</v>
      </c>
      <c r="AJ11" s="28"/>
      <c r="AK11" s="28"/>
      <c r="AL11" s="697" t="s">
        <v>631</v>
      </c>
      <c r="AP11" s="387" t="s">
        <v>54</v>
      </c>
    </row>
    <row r="12" spans="1:42">
      <c r="A12" s="6" t="str">
        <f>A9</f>
        <v>Base Year</v>
      </c>
      <c r="B12" s="6" t="str">
        <f>InputSheet!G$41</f>
        <v>PRB</v>
      </c>
      <c r="E12" s="698">
        <f>IF(E11="",0,INDEX(Input_Range,MATCH((C7&amp;B12),Input_Call,0),MATCH(E11,Input_Header,0)))</f>
        <v>0.31240000000000001</v>
      </c>
      <c r="F12" s="698">
        <f>IF(F11="",0,INDEX(Input_Range,MATCH((C7&amp;B12),Input_Call,0),MATCH(F11,Input_Header,0)))</f>
        <v>0.31240000000000001</v>
      </c>
      <c r="G12" s="698">
        <f>IF(G11="",0,INDEX(Input_Range,MATCH((C7&amp;B12),Input_Call,0),MATCH(G11,Input_Header,0)))</f>
        <v>0.31240000000000001</v>
      </c>
      <c r="H12" s="698">
        <f>IF(H11="",0,INDEX(Input_Range,MATCH((C7&amp;B12),Input_Call,0),MATCH(H11,Input_Header,0)))</f>
        <v>0.31240000000000001</v>
      </c>
      <c r="I12" s="698">
        <f>IF(I11="",0,INDEX(Input_Range,MATCH((C7&amp;B12),Input_Call,0),MATCH(I11,Input_Header,0)))</f>
        <v>0.31240000000000001</v>
      </c>
      <c r="J12" s="698">
        <f>IF(J11="",0,INDEX(Input_Range,MATCH((C7&amp;B12),Input_Call,0),MATCH(J11,Input_Header,0)))</f>
        <v>0.31240000000000001</v>
      </c>
      <c r="K12" s="698">
        <f>IF(K11="",0,INDEX(Input_Range,MATCH((C7&amp;B12),Input_Call,0),MATCH(K11,Input_Header,0)))</f>
        <v>0.31240000000000001</v>
      </c>
      <c r="L12" s="698">
        <f>IF(L11="",0,INDEX(Input_Range,MATCH((C7&amp;B12),Input_Call,0),MATCH(L11,Input_Header,0)))</f>
        <v>0.31240000000000001</v>
      </c>
      <c r="M12" s="698">
        <f>IF(M11="",0,INDEX(Input_Range,MATCH((C7&amp;B12),Input_Call,0),MATCH(M11,Input_Header,0)))</f>
        <v>0.31240000000000001</v>
      </c>
      <c r="N12" s="698">
        <f>IF(N11="",0,INDEX(Input_Range,MATCH((C7&amp;B12),Input_Call,0),MATCH(N11,Input_Header,0)))</f>
        <v>0.31240000000000001</v>
      </c>
      <c r="O12" s="698">
        <f>IF(O11="",0,INDEX(Input_Range,MATCH((C7&amp;B12),Input_Call,0),MATCH(O11,Input_Header,0)))</f>
        <v>0.31240000000000001</v>
      </c>
      <c r="P12" s="698">
        <f>IF(P11="",0,INDEX(Input_Range,MATCH((C7&amp;B12),Input_Call,0),MATCH(P11,Input_Header,0)))</f>
        <v>0.31240000000000001</v>
      </c>
      <c r="Q12" s="698">
        <f>IF(Q11="",0,INDEX(Input_Range,MATCH((C7&amp;B12),Input_Call,0),MATCH(Q11,Input_Header,0)))</f>
        <v>0.31240000000000001</v>
      </c>
      <c r="R12" s="698">
        <f>Q12</f>
        <v>0.31240000000000001</v>
      </c>
      <c r="T12" s="699">
        <f t="shared" ref="T12:AG12" si="3">ROUND((MAX(0,(MIN($C11,DATE(T$11,12,31))-MAX($B11,DATE(T$11,1,1))+1)))/30.41667,0)</f>
        <v>0</v>
      </c>
      <c r="U12" s="699">
        <f t="shared" si="3"/>
        <v>12</v>
      </c>
      <c r="V12" s="699">
        <f t="shared" si="3"/>
        <v>0</v>
      </c>
      <c r="W12" s="699">
        <f t="shared" si="3"/>
        <v>0</v>
      </c>
      <c r="X12" s="699">
        <f t="shared" si="3"/>
        <v>0</v>
      </c>
      <c r="Y12" s="699">
        <f t="shared" si="3"/>
        <v>0</v>
      </c>
      <c r="Z12" s="699">
        <f t="shared" si="3"/>
        <v>0</v>
      </c>
      <c r="AA12" s="699">
        <f t="shared" si="3"/>
        <v>0</v>
      </c>
      <c r="AB12" s="699">
        <f t="shared" si="3"/>
        <v>0</v>
      </c>
      <c r="AC12" s="699">
        <f t="shared" si="3"/>
        <v>0</v>
      </c>
      <c r="AD12" s="699">
        <f t="shared" si="3"/>
        <v>0</v>
      </c>
      <c r="AE12" s="699">
        <f t="shared" si="3"/>
        <v>0</v>
      </c>
      <c r="AF12" s="699">
        <f t="shared" si="3"/>
        <v>0</v>
      </c>
      <c r="AG12" s="699">
        <f t="shared" si="3"/>
        <v>0</v>
      </c>
      <c r="AI12" s="698">
        <f t="shared" ref="AI12:AI19" si="4">ROUND(SUMPRODUCT(E12:R12,T12:AG12)/SUM(T12:AG12),4)</f>
        <v>0.31240000000000001</v>
      </c>
      <c r="AJ12" s="698"/>
      <c r="AK12" s="698"/>
      <c r="AL12" s="4" t="str">
        <f>$A12&amp;$C7&amp;InputSheet!C$41&amp;InputSheet!D$41</f>
        <v>Base YearISPRBContr/Govt</v>
      </c>
      <c r="AM12" s="700">
        <f t="shared" ref="AM12:AM19" si="5">AI12</f>
        <v>0.31240000000000001</v>
      </c>
      <c r="AP12" s="387" t="str">
        <f t="shared" ref="AP12:AP75" si="6">IF(AM12="","1",(IF((VLOOKUP(B12,$AO$2:$AP$9,2,FALSE))="","0","1")))</f>
        <v>1</v>
      </c>
    </row>
    <row r="13" spans="1:42">
      <c r="A13" s="6" t="str">
        <f t="shared" ref="A13:A19" si="7">A12</f>
        <v>Base Year</v>
      </c>
      <c r="B13" s="6" t="str">
        <f>InputSheet!G$42</f>
        <v>Overhead - Offsite</v>
      </c>
      <c r="E13" s="698">
        <f>IF(E11="",0,INDEX(Input_Range,MATCH((C7&amp;B13),Input_Call,0),MATCH(E11,Input_Header,0)))</f>
        <v>0.1988</v>
      </c>
      <c r="F13" s="698">
        <f>IF(F11="",0,INDEX(Input_Range,MATCH((C7&amp;B13),Input_Call,0),MATCH(F11,Input_Header,0)))</f>
        <v>0.1988</v>
      </c>
      <c r="G13" s="698">
        <f>IF(G11="",0,INDEX(Input_Range,MATCH((C7&amp;B13),Input_Call,0),MATCH(G11,Input_Header,0)))</f>
        <v>0.1988</v>
      </c>
      <c r="H13" s="698">
        <f>IF(H11="",0,INDEX(Input_Range,MATCH((C7&amp;B13),Input_Call,0),MATCH(H11,Input_Header,0)))</f>
        <v>0.1988</v>
      </c>
      <c r="I13" s="698">
        <f>IF(I11="",0,INDEX(Input_Range,MATCH((C7&amp;B13),Input_Call,0),MATCH(I11,Input_Header,0)))</f>
        <v>0.1988</v>
      </c>
      <c r="J13" s="698">
        <f>IF(J11="",0,INDEX(Input_Range,MATCH((C7&amp;B13),Input_Call,0),MATCH(J11,Input_Header,0)))</f>
        <v>0.1988</v>
      </c>
      <c r="K13" s="698">
        <f>IF(K11="",0,INDEX(Input_Range,MATCH((C7&amp;B13),Input_Call,0),MATCH(K11,Input_Header,0)))</f>
        <v>0.1988</v>
      </c>
      <c r="L13" s="698">
        <f>IF(L11="",0,INDEX(Input_Range,MATCH((C7&amp;B13),Input_Call,0),MATCH(L11,Input_Header,0)))</f>
        <v>0.1988</v>
      </c>
      <c r="M13" s="698">
        <f>IF(M11="",0,INDEX(Input_Range,MATCH((C7&amp;B13),Input_Call,0),MATCH(M11,Input_Header,0)))</f>
        <v>0.1988</v>
      </c>
      <c r="N13" s="698">
        <f>IF(N11="",0,INDEX(Input_Range,MATCH((C7&amp;B13),Input_Call,0),MATCH(N11,Input_Header,0)))</f>
        <v>0.1988</v>
      </c>
      <c r="O13" s="698">
        <f>IF(O11="",0,INDEX(Input_Range,MATCH((C7&amp;B13),Input_Call,0),MATCH(O11,Input_Header,0)))</f>
        <v>0.1988</v>
      </c>
      <c r="P13" s="698">
        <f>IF(P11="",0,INDEX(Input_Range,MATCH((C7&amp;B13),Input_Call,0),MATCH(P11,Input_Header,0)))</f>
        <v>0.1988</v>
      </c>
      <c r="Q13" s="698">
        <f>IF(Q11="",0,INDEX(Input_Range,MATCH((C7&amp;B13),Input_Call,0),MATCH(Q11,Input_Header,0)))</f>
        <v>0.1988</v>
      </c>
      <c r="R13" s="698">
        <f t="shared" ref="R13:R19" si="8">Q13</f>
        <v>0.1988</v>
      </c>
      <c r="T13" s="699">
        <f t="shared" ref="T13:AG19" si="9">T12</f>
        <v>0</v>
      </c>
      <c r="U13" s="699">
        <f t="shared" si="9"/>
        <v>12</v>
      </c>
      <c r="V13" s="699">
        <f t="shared" si="9"/>
        <v>0</v>
      </c>
      <c r="W13" s="699">
        <f t="shared" si="9"/>
        <v>0</v>
      </c>
      <c r="X13" s="699">
        <f t="shared" si="9"/>
        <v>0</v>
      </c>
      <c r="Y13" s="699">
        <f t="shared" si="9"/>
        <v>0</v>
      </c>
      <c r="Z13" s="699">
        <f t="shared" si="9"/>
        <v>0</v>
      </c>
      <c r="AA13" s="699">
        <f t="shared" si="9"/>
        <v>0</v>
      </c>
      <c r="AB13" s="699">
        <f t="shared" si="9"/>
        <v>0</v>
      </c>
      <c r="AC13" s="699">
        <f t="shared" si="9"/>
        <v>0</v>
      </c>
      <c r="AD13" s="699">
        <f t="shared" si="9"/>
        <v>0</v>
      </c>
      <c r="AE13" s="699">
        <f t="shared" si="9"/>
        <v>0</v>
      </c>
      <c r="AF13" s="699">
        <f t="shared" si="9"/>
        <v>0</v>
      </c>
      <c r="AG13" s="699">
        <f t="shared" si="9"/>
        <v>0</v>
      </c>
      <c r="AI13" s="698">
        <f t="shared" si="4"/>
        <v>0.1988</v>
      </c>
      <c r="AJ13" s="698"/>
      <c r="AK13" s="698"/>
      <c r="AL13" s="4" t="str">
        <f>$A13&amp;$C7&amp;InputSheet!C$42&amp;InputSheet!D$42</f>
        <v>Base YearISOverheadContr</v>
      </c>
      <c r="AM13" s="700">
        <f t="shared" si="5"/>
        <v>0.1988</v>
      </c>
      <c r="AP13" s="387" t="str">
        <f t="shared" si="6"/>
        <v>0</v>
      </c>
    </row>
    <row r="14" spans="1:42">
      <c r="A14" s="6" t="str">
        <f t="shared" si="7"/>
        <v>Base Year</v>
      </c>
      <c r="B14" s="6" t="str">
        <f>InputSheet!G$43</f>
        <v>Overhead - Onsite</v>
      </c>
      <c r="E14" s="698">
        <f>IF(E11="",0,INDEX(Input_Range,MATCH((C7&amp;B14),Input_Call,0),MATCH(E11,Input_Header,0)))</f>
        <v>2.23E-2</v>
      </c>
      <c r="F14" s="698">
        <f>IF(F11="",0,INDEX(Input_Range,MATCH((C7&amp;B14),Input_Call,0),MATCH(F11,Input_Header,0)))</f>
        <v>2.23E-2</v>
      </c>
      <c r="G14" s="698">
        <f>IF(G11="",0,INDEX(Input_Range,MATCH((C7&amp;B14),Input_Call,0),MATCH(G11,Input_Header,0)))</f>
        <v>2.23E-2</v>
      </c>
      <c r="H14" s="698">
        <f>IF(H11="",0,INDEX(Input_Range,MATCH((C7&amp;B14),Input_Call,0),MATCH(H11,Input_Header,0)))</f>
        <v>2.23E-2</v>
      </c>
      <c r="I14" s="698">
        <f>IF(I11="",0,INDEX(Input_Range,MATCH((C7&amp;B14),Input_Call,0),MATCH(I11,Input_Header,0)))</f>
        <v>2.23E-2</v>
      </c>
      <c r="J14" s="698">
        <f>IF(J11="",0,INDEX(Input_Range,MATCH((C7&amp;B14),Input_Call,0),MATCH(J11,Input_Header,0)))</f>
        <v>2.23E-2</v>
      </c>
      <c r="K14" s="698">
        <f>IF(K11="",0,INDEX(Input_Range,MATCH((C7&amp;B14),Input_Call,0),MATCH(K11,Input_Header,0)))</f>
        <v>2.23E-2</v>
      </c>
      <c r="L14" s="698">
        <f>IF(L11="",0,INDEX(Input_Range,MATCH((C7&amp;B14),Input_Call,0),MATCH(L11,Input_Header,0)))</f>
        <v>2.23E-2</v>
      </c>
      <c r="M14" s="698">
        <f>IF(M11="",0,INDEX(Input_Range,MATCH((C7&amp;B14),Input_Call,0),MATCH(M11,Input_Header,0)))</f>
        <v>2.23E-2</v>
      </c>
      <c r="N14" s="698">
        <f>IF(N11="",0,INDEX(Input_Range,MATCH((C7&amp;B14),Input_Call,0),MATCH(N11,Input_Header,0)))</f>
        <v>2.23E-2</v>
      </c>
      <c r="O14" s="698">
        <f>IF(O11="",0,INDEX(Input_Range,MATCH((C7&amp;B14),Input_Call,0),MATCH(O11,Input_Header,0)))</f>
        <v>2.23E-2</v>
      </c>
      <c r="P14" s="698">
        <f>IF(P11="",0,INDEX(Input_Range,MATCH((C7&amp;B14),Input_Call,0),MATCH(P11,Input_Header,0)))</f>
        <v>2.23E-2</v>
      </c>
      <c r="Q14" s="698">
        <f>IF(Q11="",0,INDEX(Input_Range,MATCH((C7&amp;B14),Input_Call,0),MATCH(Q11,Input_Header,0)))</f>
        <v>2.23E-2</v>
      </c>
      <c r="R14" s="698">
        <f t="shared" si="8"/>
        <v>2.23E-2</v>
      </c>
      <c r="T14" s="699">
        <f t="shared" si="9"/>
        <v>0</v>
      </c>
      <c r="U14" s="699">
        <f t="shared" si="9"/>
        <v>12</v>
      </c>
      <c r="V14" s="699">
        <f t="shared" si="9"/>
        <v>0</v>
      </c>
      <c r="W14" s="699">
        <f t="shared" si="9"/>
        <v>0</v>
      </c>
      <c r="X14" s="699">
        <f t="shared" si="9"/>
        <v>0</v>
      </c>
      <c r="Y14" s="699">
        <f t="shared" si="9"/>
        <v>0</v>
      </c>
      <c r="Z14" s="699">
        <f t="shared" si="9"/>
        <v>0</v>
      </c>
      <c r="AA14" s="699">
        <f t="shared" si="9"/>
        <v>0</v>
      </c>
      <c r="AB14" s="699">
        <f t="shared" si="9"/>
        <v>0</v>
      </c>
      <c r="AC14" s="699">
        <f t="shared" si="9"/>
        <v>0</v>
      </c>
      <c r="AD14" s="699">
        <f t="shared" si="9"/>
        <v>0</v>
      </c>
      <c r="AE14" s="699">
        <f t="shared" si="9"/>
        <v>0</v>
      </c>
      <c r="AF14" s="699">
        <f t="shared" si="9"/>
        <v>0</v>
      </c>
      <c r="AG14" s="699">
        <f t="shared" si="9"/>
        <v>0</v>
      </c>
      <c r="AI14" s="698">
        <f t="shared" si="4"/>
        <v>2.23E-2</v>
      </c>
      <c r="AJ14" s="698"/>
      <c r="AK14" s="698"/>
      <c r="AL14" s="4" t="str">
        <f>$A14&amp;$C7&amp;InputSheet!C$43&amp;InputSheet!D$43</f>
        <v>Base YearISOverheadGovt</v>
      </c>
      <c r="AM14" s="700">
        <f t="shared" si="5"/>
        <v>2.23E-2</v>
      </c>
      <c r="AP14" s="387" t="str">
        <f t="shared" si="6"/>
        <v>1</v>
      </c>
    </row>
    <row r="15" spans="1:42">
      <c r="A15" s="6" t="str">
        <f t="shared" si="7"/>
        <v>Base Year</v>
      </c>
      <c r="B15" s="6" t="str">
        <f>InputSheet!G$44</f>
        <v>Material Handling</v>
      </c>
      <c r="E15" s="698">
        <f>IF(E11="",0,INDEX(Input_Range,MATCH((C7&amp;B15),Input_Call,0),MATCH(E11,Input_Header,0)))</f>
        <v>3.1699999999999999E-2</v>
      </c>
      <c r="F15" s="698">
        <f>IF(F11="",0,INDEX(Input_Range,MATCH((C7&amp;B15),Input_Call,0),MATCH(F11,Input_Header,0)))</f>
        <v>3.0700000000000002E-2</v>
      </c>
      <c r="G15" s="698">
        <f>IF(G11="",0,INDEX(Input_Range,MATCH((C7&amp;B15),Input_Call,0),MATCH(G11,Input_Header,0)))</f>
        <v>2.9700000000000001E-2</v>
      </c>
      <c r="H15" s="698">
        <f>IF(H11="",0,INDEX(Input_Range,MATCH((C7&amp;B15),Input_Call,0),MATCH(H11,Input_Header,0)))</f>
        <v>2.8799999999999999E-2</v>
      </c>
      <c r="I15" s="698">
        <f>IF(I11="",0,INDEX(Input_Range,MATCH((C7&amp;B15),Input_Call,0),MATCH(I11,Input_Header,0)))</f>
        <v>2.8000000000000001E-2</v>
      </c>
      <c r="J15" s="698">
        <f>IF(J11="",0,INDEX(Input_Range,MATCH((C7&amp;B15),Input_Call,0),MATCH(J11,Input_Header,0)))</f>
        <v>2.8000000000000001E-2</v>
      </c>
      <c r="K15" s="698">
        <f>IF(K11="",0,INDEX(Input_Range,MATCH((C7&amp;B15),Input_Call,0),MATCH(K11,Input_Header,0)))</f>
        <v>2.8000000000000001E-2</v>
      </c>
      <c r="L15" s="698">
        <f>IF(L11="",0,INDEX(Input_Range,MATCH((C7&amp;B15),Input_Call,0),MATCH(L11,Input_Header,0)))</f>
        <v>2.8000000000000001E-2</v>
      </c>
      <c r="M15" s="698">
        <f>IF(M11="",0,INDEX(Input_Range,MATCH((C7&amp;B15),Input_Call,0),MATCH(M11,Input_Header,0)))</f>
        <v>2.8000000000000001E-2</v>
      </c>
      <c r="N15" s="698">
        <f>IF(N11="",0,INDEX(Input_Range,MATCH((C7&amp;B15),Input_Call,0),MATCH(N11,Input_Header,0)))</f>
        <v>2.8000000000000001E-2</v>
      </c>
      <c r="O15" s="698">
        <f>IF(O11="",0,INDEX(Input_Range,MATCH((C7&amp;B15),Input_Call,0),MATCH(O11,Input_Header,0)))</f>
        <v>2.8000000000000001E-2</v>
      </c>
      <c r="P15" s="698">
        <f>IF(P11="",0,INDEX(Input_Range,MATCH((C7&amp;B15),Input_Call,0),MATCH(P11,Input_Header,0)))</f>
        <v>2.8000000000000001E-2</v>
      </c>
      <c r="Q15" s="698">
        <f>IF(Q11="",0,INDEX(Input_Range,MATCH((C7&amp;B15),Input_Call,0),MATCH(Q11,Input_Header,0)))</f>
        <v>2.8000000000000001E-2</v>
      </c>
      <c r="R15" s="698">
        <f t="shared" si="8"/>
        <v>2.8000000000000001E-2</v>
      </c>
      <c r="T15" s="699">
        <f t="shared" si="9"/>
        <v>0</v>
      </c>
      <c r="U15" s="699">
        <f t="shared" si="9"/>
        <v>12</v>
      </c>
      <c r="V15" s="699">
        <f t="shared" si="9"/>
        <v>0</v>
      </c>
      <c r="W15" s="699">
        <f t="shared" si="9"/>
        <v>0</v>
      </c>
      <c r="X15" s="699">
        <f t="shared" si="9"/>
        <v>0</v>
      </c>
      <c r="Y15" s="699">
        <f t="shared" si="9"/>
        <v>0</v>
      </c>
      <c r="Z15" s="699">
        <f t="shared" si="9"/>
        <v>0</v>
      </c>
      <c r="AA15" s="699">
        <f t="shared" si="9"/>
        <v>0</v>
      </c>
      <c r="AB15" s="699">
        <f t="shared" si="9"/>
        <v>0</v>
      </c>
      <c r="AC15" s="699">
        <f t="shared" si="9"/>
        <v>0</v>
      </c>
      <c r="AD15" s="699">
        <f t="shared" si="9"/>
        <v>0</v>
      </c>
      <c r="AE15" s="699">
        <f t="shared" si="9"/>
        <v>0</v>
      </c>
      <c r="AF15" s="699">
        <f t="shared" si="9"/>
        <v>0</v>
      </c>
      <c r="AG15" s="699">
        <f t="shared" si="9"/>
        <v>0</v>
      </c>
      <c r="AI15" s="698">
        <f t="shared" si="4"/>
        <v>3.0700000000000002E-2</v>
      </c>
      <c r="AJ15" s="698"/>
      <c r="AK15" s="698"/>
      <c r="AL15" s="4" t="str">
        <f>$A15&amp;$C7&amp;InputSheet!C$44&amp;InputSheet!D$44</f>
        <v>Base YearISMHContr/Govt</v>
      </c>
      <c r="AM15" s="700">
        <f t="shared" si="5"/>
        <v>3.0700000000000002E-2</v>
      </c>
      <c r="AP15" s="387" t="str">
        <f t="shared" si="6"/>
        <v>0</v>
      </c>
    </row>
    <row r="16" spans="1:42">
      <c r="A16" s="6" t="str">
        <f t="shared" si="7"/>
        <v>Base Year</v>
      </c>
      <c r="B16" s="6" t="str">
        <f>InputSheet!G$45</f>
        <v>G&amp;A</v>
      </c>
      <c r="E16" s="698">
        <f>IF(E11="",0,INDEX(Input_Range,MATCH((C7&amp;B16),Input_Call,0),MATCH(E11,Input_Header,0)))</f>
        <v>9.7500000000000003E-2</v>
      </c>
      <c r="F16" s="698">
        <f>IF(F11="",0,INDEX(Input_Range,MATCH((C7&amp;B16),Input_Call,0),MATCH(F11,Input_Header,0)))</f>
        <v>9.4700000000000006E-2</v>
      </c>
      <c r="G16" s="698">
        <f>IF(G11="",0,INDEX(Input_Range,MATCH((C7&amp;B16),Input_Call,0),MATCH(G11,Input_Header,0)))</f>
        <v>9.1999999999999998E-2</v>
      </c>
      <c r="H16" s="698">
        <f>IF(H11="",0,INDEX(Input_Range,MATCH((C7&amp;B16),Input_Call,0),MATCH(H11,Input_Header,0)))</f>
        <v>8.9499999999999996E-2</v>
      </c>
      <c r="I16" s="698">
        <f>IF(I11="",0,INDEX(Input_Range,MATCH((C7&amp;B16),Input_Call,0),MATCH(I11,Input_Header,0)))</f>
        <v>8.7099999999999997E-2</v>
      </c>
      <c r="J16" s="698">
        <f>IF(J11="",0,INDEX(Input_Range,MATCH((C7&amp;B16),Input_Call,0),MATCH(J11,Input_Header,0)))</f>
        <v>8.7099999999999997E-2</v>
      </c>
      <c r="K16" s="698">
        <f>IF(K11="",0,INDEX(Input_Range,MATCH((C7&amp;B16),Input_Call,0),MATCH(K11,Input_Header,0)))</f>
        <v>8.7099999999999997E-2</v>
      </c>
      <c r="L16" s="698">
        <f>IF(L11="",0,INDEX(Input_Range,MATCH((C7&amp;B16),Input_Call,0),MATCH(L11,Input_Header,0)))</f>
        <v>8.7099999999999997E-2</v>
      </c>
      <c r="M16" s="698">
        <f>IF(M11="",0,INDEX(Input_Range,MATCH((C7&amp;B16),Input_Call,0),MATCH(M11,Input_Header,0)))</f>
        <v>8.7099999999999997E-2</v>
      </c>
      <c r="N16" s="698">
        <f>IF(N11="",0,INDEX(Input_Range,MATCH((C7&amp;B16),Input_Call,0),MATCH(N11,Input_Header,0)))</f>
        <v>8.7099999999999997E-2</v>
      </c>
      <c r="O16" s="698">
        <f>IF(O11="",0,INDEX(Input_Range,MATCH((C7&amp;B16),Input_Call,0),MATCH(O11,Input_Header,0)))</f>
        <v>8.7099999999999997E-2</v>
      </c>
      <c r="P16" s="698">
        <f>IF(P11="",0,INDEX(Input_Range,MATCH((C7&amp;B16),Input_Call,0),MATCH(P11,Input_Header,0)))</f>
        <v>8.7099999999999997E-2</v>
      </c>
      <c r="Q16" s="698">
        <f>IF(Q11="",0,INDEX(Input_Range,MATCH((C7&amp;B16),Input_Call,0),MATCH(Q11,Input_Header,0)))</f>
        <v>8.7099999999999997E-2</v>
      </c>
      <c r="R16" s="698">
        <f t="shared" si="8"/>
        <v>8.7099999999999997E-2</v>
      </c>
      <c r="T16" s="699">
        <f t="shared" si="9"/>
        <v>0</v>
      </c>
      <c r="U16" s="699">
        <f t="shared" si="9"/>
        <v>12</v>
      </c>
      <c r="V16" s="699">
        <f t="shared" si="9"/>
        <v>0</v>
      </c>
      <c r="W16" s="699">
        <f t="shared" si="9"/>
        <v>0</v>
      </c>
      <c r="X16" s="699">
        <f t="shared" si="9"/>
        <v>0</v>
      </c>
      <c r="Y16" s="699">
        <f t="shared" si="9"/>
        <v>0</v>
      </c>
      <c r="Z16" s="699">
        <f t="shared" si="9"/>
        <v>0</v>
      </c>
      <c r="AA16" s="699">
        <f t="shared" si="9"/>
        <v>0</v>
      </c>
      <c r="AB16" s="699">
        <f t="shared" si="9"/>
        <v>0</v>
      </c>
      <c r="AC16" s="699">
        <f t="shared" si="9"/>
        <v>0</v>
      </c>
      <c r="AD16" s="699">
        <f t="shared" si="9"/>
        <v>0</v>
      </c>
      <c r="AE16" s="699">
        <f t="shared" si="9"/>
        <v>0</v>
      </c>
      <c r="AF16" s="699">
        <f t="shared" si="9"/>
        <v>0</v>
      </c>
      <c r="AG16" s="699">
        <f t="shared" si="9"/>
        <v>0</v>
      </c>
      <c r="AI16" s="698">
        <f t="shared" si="4"/>
        <v>9.4700000000000006E-2</v>
      </c>
      <c r="AJ16" s="698"/>
      <c r="AK16" s="698"/>
      <c r="AL16" s="4" t="str">
        <f>$A16&amp;$C7&amp;InputSheet!C$45&amp;InputSheet!D$45</f>
        <v>Base YearISG&amp;AContr/Govt</v>
      </c>
      <c r="AM16" s="700">
        <f t="shared" si="5"/>
        <v>9.4700000000000006E-2</v>
      </c>
      <c r="AP16" s="387" t="str">
        <f t="shared" si="6"/>
        <v>1</v>
      </c>
    </row>
    <row r="17" spans="1:42" outlineLevel="1">
      <c r="A17" s="6" t="str">
        <f t="shared" si="7"/>
        <v>Base Year</v>
      </c>
      <c r="B17" s="6" t="str">
        <f>InputSheet!G$46</f>
        <v>TBD1</v>
      </c>
      <c r="E17" s="21">
        <f>IF(E11="",0,INDEX(Input_Range,MATCH((C7&amp;B17),Input_Call,0),MATCH(E11,Input_Header,0)))</f>
        <v>0</v>
      </c>
      <c r="F17" s="21">
        <f>IF(F11="",0,INDEX(Input_Range,MATCH((C7&amp;B17),Input_Call,0),MATCH(F11,Input_Header,0)))</f>
        <v>0</v>
      </c>
      <c r="G17" s="21">
        <f>IF(G11="",0,INDEX(Input_Range,MATCH((C7&amp;B17),Input_Call,0),MATCH(G11,Input_Header,0)))</f>
        <v>0</v>
      </c>
      <c r="H17" s="21">
        <f>IF(H11="",0,INDEX(Input_Range,MATCH((C7&amp;B17),Input_Call,0),MATCH(H11,Input_Header,0)))</f>
        <v>0</v>
      </c>
      <c r="I17" s="21">
        <f>IF(I11="",0,INDEX(Input_Range,MATCH((C7&amp;B17),Input_Call,0),MATCH(I11,Input_Header,0)))</f>
        <v>0</v>
      </c>
      <c r="J17" s="21">
        <f>IF(J11="",0,INDEX(Input_Range,MATCH((C7&amp;B17),Input_Call,0),MATCH(J11,Input_Header,0)))</f>
        <v>0</v>
      </c>
      <c r="K17" s="21">
        <f>IF(K11="",0,INDEX(Input_Range,MATCH((C7&amp;B17),Input_Call,0),MATCH(K11,Input_Header,0)))</f>
        <v>0</v>
      </c>
      <c r="L17" s="21">
        <f>IF(L11="",0,INDEX(Input_Range,MATCH((C7&amp;B17),Input_Call,0),MATCH(L11,Input_Header,0)))</f>
        <v>0</v>
      </c>
      <c r="M17" s="21">
        <f>IF(M11="",0,INDEX(Input_Range,MATCH((C7&amp;B17),Input_Call,0),MATCH(M11,Input_Header,0)))</f>
        <v>0</v>
      </c>
      <c r="N17" s="21">
        <f>IF(N11="",0,INDEX(Input_Range,MATCH((C7&amp;B17),Input_Call,0),MATCH(N11,Input_Header,0)))</f>
        <v>0</v>
      </c>
      <c r="O17" s="21">
        <f>IF(O11="",0,INDEX(Input_Range,MATCH((C7&amp;B17),Input_Call,0),MATCH(O11,Input_Header,0)))</f>
        <v>0</v>
      </c>
      <c r="P17" s="21">
        <f>IF(P11="",0,INDEX(Input_Range,MATCH((C7&amp;B17),Input_Call,0),MATCH(P11,Input_Header,0)))</f>
        <v>0</v>
      </c>
      <c r="Q17" s="21">
        <f>IF(Q11="",0,INDEX(Input_Range,MATCH((C7&amp;B17),Input_Call,0),MATCH(Q11,Input_Header,0)))</f>
        <v>0</v>
      </c>
      <c r="R17" s="698">
        <f t="shared" si="8"/>
        <v>0</v>
      </c>
      <c r="T17" s="699">
        <f t="shared" si="9"/>
        <v>0</v>
      </c>
      <c r="U17" s="699">
        <f t="shared" si="9"/>
        <v>12</v>
      </c>
      <c r="V17" s="699">
        <f t="shared" si="9"/>
        <v>0</v>
      </c>
      <c r="W17" s="699">
        <f t="shared" si="9"/>
        <v>0</v>
      </c>
      <c r="X17" s="699">
        <f t="shared" si="9"/>
        <v>0</v>
      </c>
      <c r="Y17" s="699">
        <f t="shared" si="9"/>
        <v>0</v>
      </c>
      <c r="Z17" s="699">
        <f t="shared" si="9"/>
        <v>0</v>
      </c>
      <c r="AA17" s="699">
        <f t="shared" si="9"/>
        <v>0</v>
      </c>
      <c r="AB17" s="699">
        <f t="shared" si="9"/>
        <v>0</v>
      </c>
      <c r="AC17" s="699">
        <f t="shared" si="9"/>
        <v>0</v>
      </c>
      <c r="AD17" s="699">
        <f t="shared" si="9"/>
        <v>0</v>
      </c>
      <c r="AE17" s="699">
        <f t="shared" si="9"/>
        <v>0</v>
      </c>
      <c r="AF17" s="699">
        <f t="shared" si="9"/>
        <v>0</v>
      </c>
      <c r="AG17" s="699">
        <f t="shared" si="9"/>
        <v>0</v>
      </c>
      <c r="AI17" s="698">
        <f t="shared" si="4"/>
        <v>0</v>
      </c>
      <c r="AJ17" s="21"/>
      <c r="AK17" s="21"/>
      <c r="AL17" s="4" t="str">
        <f>$A17&amp;$C7&amp;InputSheet!C$46&amp;InputSheet!D$46</f>
        <v>Base YearISTBD1Contr/Govt</v>
      </c>
      <c r="AM17" s="700">
        <f t="shared" si="5"/>
        <v>0</v>
      </c>
      <c r="AP17" s="387" t="str">
        <f t="shared" si="6"/>
        <v>0</v>
      </c>
    </row>
    <row r="18" spans="1:42" outlineLevel="1">
      <c r="A18" s="6" t="str">
        <f t="shared" si="7"/>
        <v>Base Year</v>
      </c>
      <c r="B18" s="6" t="str">
        <f>InputSheet!G$47</f>
        <v>TBD2</v>
      </c>
      <c r="E18" s="21">
        <f>IF(E11="",0,INDEX(Input_Range,MATCH((C7&amp;B18),Input_Call,0),MATCH(E11,Input_Header,0)))</f>
        <v>0</v>
      </c>
      <c r="F18" s="21">
        <f>IF(F11="",0,INDEX(Input_Range,MATCH((C7&amp;B18),Input_Call,0),MATCH(F11,Input_Header,0)))</f>
        <v>0</v>
      </c>
      <c r="G18" s="21">
        <f>IF(G11="",0,INDEX(Input_Range,MATCH((C7&amp;B18),Input_Call,0),MATCH(G11,Input_Header,0)))</f>
        <v>0</v>
      </c>
      <c r="H18" s="21">
        <f>IF(H11="",0,INDEX(Input_Range,MATCH((C7&amp;B18),Input_Call,0),MATCH(H11,Input_Header,0)))</f>
        <v>0</v>
      </c>
      <c r="I18" s="21">
        <f>IF(I11="",0,INDEX(Input_Range,MATCH((C7&amp;B18),Input_Call,0),MATCH(I11,Input_Header,0)))</f>
        <v>0</v>
      </c>
      <c r="J18" s="21">
        <f>IF(J11="",0,INDEX(Input_Range,MATCH((C7&amp;B18),Input_Call,0),MATCH(J11,Input_Header,0)))</f>
        <v>0</v>
      </c>
      <c r="K18" s="21">
        <f>IF(K11="",0,INDEX(Input_Range,MATCH((C7&amp;B18),Input_Call,0),MATCH(K11,Input_Header,0)))</f>
        <v>0</v>
      </c>
      <c r="L18" s="21">
        <f>IF(L11="",0,INDEX(Input_Range,MATCH((C7&amp;B18),Input_Call,0),MATCH(L11,Input_Header,0)))</f>
        <v>0</v>
      </c>
      <c r="M18" s="21">
        <f>IF(M11="",0,INDEX(Input_Range,MATCH((C7&amp;B18),Input_Call,0),MATCH(M11,Input_Header,0)))</f>
        <v>0</v>
      </c>
      <c r="N18" s="21">
        <f>IF(N11="",0,INDEX(Input_Range,MATCH((C7&amp;B18),Input_Call,0),MATCH(N11,Input_Header,0)))</f>
        <v>0</v>
      </c>
      <c r="O18" s="21">
        <f>IF(O11="",0,INDEX(Input_Range,MATCH((C7&amp;B18),Input_Call,0),MATCH(O11,Input_Header,0)))</f>
        <v>0</v>
      </c>
      <c r="P18" s="21">
        <f>IF(P11="",0,INDEX(Input_Range,MATCH((C7&amp;B18),Input_Call,0),MATCH(P11,Input_Header,0)))</f>
        <v>0</v>
      </c>
      <c r="Q18" s="21">
        <f>IF(Q11="",0,INDEX(Input_Range,MATCH((C7&amp;B18),Input_Call,0),MATCH(Q11,Input_Header,0)))</f>
        <v>0</v>
      </c>
      <c r="R18" s="698">
        <f t="shared" si="8"/>
        <v>0</v>
      </c>
      <c r="T18" s="699">
        <f t="shared" si="9"/>
        <v>0</v>
      </c>
      <c r="U18" s="699">
        <f t="shared" si="9"/>
        <v>12</v>
      </c>
      <c r="V18" s="699">
        <f t="shared" si="9"/>
        <v>0</v>
      </c>
      <c r="W18" s="699">
        <f t="shared" si="9"/>
        <v>0</v>
      </c>
      <c r="X18" s="699">
        <f t="shared" si="9"/>
        <v>0</v>
      </c>
      <c r="Y18" s="699">
        <f t="shared" si="9"/>
        <v>0</v>
      </c>
      <c r="Z18" s="699">
        <f t="shared" si="9"/>
        <v>0</v>
      </c>
      <c r="AA18" s="699">
        <f t="shared" si="9"/>
        <v>0</v>
      </c>
      <c r="AB18" s="699">
        <f t="shared" si="9"/>
        <v>0</v>
      </c>
      <c r="AC18" s="699">
        <f t="shared" si="9"/>
        <v>0</v>
      </c>
      <c r="AD18" s="699">
        <f t="shared" si="9"/>
        <v>0</v>
      </c>
      <c r="AE18" s="699">
        <f t="shared" si="9"/>
        <v>0</v>
      </c>
      <c r="AF18" s="699">
        <f t="shared" si="9"/>
        <v>0</v>
      </c>
      <c r="AG18" s="699">
        <f t="shared" si="9"/>
        <v>0</v>
      </c>
      <c r="AI18" s="698">
        <f t="shared" si="4"/>
        <v>0</v>
      </c>
      <c r="AJ18" s="21"/>
      <c r="AK18" s="21"/>
      <c r="AL18" s="4" t="str">
        <f>$A18&amp;$C7&amp;InputSheet!C$47&amp;InputSheet!D$47</f>
        <v>Base YearISTBD2Contr/Govt</v>
      </c>
      <c r="AM18" s="700">
        <f t="shared" si="5"/>
        <v>0</v>
      </c>
      <c r="AP18" s="387" t="str">
        <f t="shared" si="6"/>
        <v>0</v>
      </c>
    </row>
    <row r="19" spans="1:42" outlineLevel="1">
      <c r="A19" s="6" t="str">
        <f t="shared" si="7"/>
        <v>Base Year</v>
      </c>
      <c r="B19" s="6" t="str">
        <f>InputSheet!G$48</f>
        <v>TBD3</v>
      </c>
      <c r="E19" s="21">
        <f>IF(E11="",0,INDEX(Input_Range,MATCH((C7&amp;B19),Input_Call,0),MATCH(E11,Input_Header,0)))</f>
        <v>0</v>
      </c>
      <c r="F19" s="21">
        <f>IF(F11="",0,INDEX(Input_Range,MATCH((C7&amp;B19),Input_Call,0),MATCH(F11,Input_Header,0)))</f>
        <v>0</v>
      </c>
      <c r="G19" s="21">
        <f>IF(G11="",0,INDEX(Input_Range,MATCH((C7&amp;B19),Input_Call,0),MATCH(G11,Input_Header,0)))</f>
        <v>0</v>
      </c>
      <c r="H19" s="21">
        <f>IF(H11="",0,INDEX(Input_Range,MATCH((C7&amp;B19),Input_Call,0),MATCH(H11,Input_Header,0)))</f>
        <v>0</v>
      </c>
      <c r="I19" s="21">
        <f>IF(I11="",0,INDEX(Input_Range,MATCH((C7&amp;B19),Input_Call,0),MATCH(I11,Input_Header,0)))</f>
        <v>0</v>
      </c>
      <c r="J19" s="21">
        <f>IF(J11="",0,INDEX(Input_Range,MATCH((C7&amp;B19),Input_Call,0),MATCH(J11,Input_Header,0)))</f>
        <v>0</v>
      </c>
      <c r="K19" s="21">
        <f>IF(K11="",0,INDEX(Input_Range,MATCH((C7&amp;B19),Input_Call,0),MATCH(K11,Input_Header,0)))</f>
        <v>0</v>
      </c>
      <c r="L19" s="21">
        <f>IF(L11="",0,INDEX(Input_Range,MATCH((C7&amp;B19),Input_Call,0),MATCH(L11,Input_Header,0)))</f>
        <v>0</v>
      </c>
      <c r="M19" s="21">
        <f>IF(M11="",0,INDEX(Input_Range,MATCH((C7&amp;B19),Input_Call,0),MATCH(M11,Input_Header,0)))</f>
        <v>0</v>
      </c>
      <c r="N19" s="21">
        <f>IF(N11="",0,INDEX(Input_Range,MATCH((C7&amp;B19),Input_Call,0),MATCH(N11,Input_Header,0)))</f>
        <v>0</v>
      </c>
      <c r="O19" s="21">
        <f>IF(O11="",0,INDEX(Input_Range,MATCH((C7&amp;B19),Input_Call,0),MATCH(O11,Input_Header,0)))</f>
        <v>0</v>
      </c>
      <c r="P19" s="21">
        <f>IF(P11="",0,INDEX(Input_Range,MATCH((C7&amp;B19),Input_Call,0),MATCH(P11,Input_Header,0)))</f>
        <v>0</v>
      </c>
      <c r="Q19" s="21">
        <f>IF(Q11="",0,INDEX(Input_Range,MATCH((C7&amp;B19),Input_Call,0),MATCH(Q11,Input_Header,0)))</f>
        <v>0</v>
      </c>
      <c r="R19" s="698">
        <f t="shared" si="8"/>
        <v>0</v>
      </c>
      <c r="T19" s="699">
        <f t="shared" si="9"/>
        <v>0</v>
      </c>
      <c r="U19" s="699">
        <f t="shared" si="9"/>
        <v>12</v>
      </c>
      <c r="V19" s="699">
        <f t="shared" si="9"/>
        <v>0</v>
      </c>
      <c r="W19" s="699">
        <f t="shared" si="9"/>
        <v>0</v>
      </c>
      <c r="X19" s="699">
        <f t="shared" si="9"/>
        <v>0</v>
      </c>
      <c r="Y19" s="699">
        <f t="shared" si="9"/>
        <v>0</v>
      </c>
      <c r="Z19" s="699">
        <f t="shared" si="9"/>
        <v>0</v>
      </c>
      <c r="AA19" s="699">
        <f t="shared" si="9"/>
        <v>0</v>
      </c>
      <c r="AB19" s="699">
        <f t="shared" si="9"/>
        <v>0</v>
      </c>
      <c r="AC19" s="699">
        <f t="shared" si="9"/>
        <v>0</v>
      </c>
      <c r="AD19" s="699">
        <f t="shared" si="9"/>
        <v>0</v>
      </c>
      <c r="AE19" s="699">
        <f t="shared" si="9"/>
        <v>0</v>
      </c>
      <c r="AF19" s="699">
        <f t="shared" si="9"/>
        <v>0</v>
      </c>
      <c r="AG19" s="699">
        <f t="shared" si="9"/>
        <v>0</v>
      </c>
      <c r="AI19" s="698">
        <f t="shared" si="4"/>
        <v>0</v>
      </c>
      <c r="AJ19" s="21"/>
      <c r="AK19" s="21"/>
      <c r="AL19" s="4" t="str">
        <f>$A19&amp;$C7&amp;InputSheet!C$48&amp;InputSheet!D$48</f>
        <v>Base YearISTBD3Contr/Govt</v>
      </c>
      <c r="AM19" s="700">
        <f t="shared" si="5"/>
        <v>0</v>
      </c>
      <c r="AP19" s="387" t="str">
        <f t="shared" si="6"/>
        <v>0</v>
      </c>
    </row>
    <row r="20" spans="1:42">
      <c r="E20" s="698"/>
      <c r="F20" s="698"/>
      <c r="G20" s="698"/>
      <c r="H20" s="698"/>
      <c r="I20" s="698"/>
      <c r="J20" s="698"/>
      <c r="K20" s="698"/>
      <c r="L20" s="698"/>
      <c r="M20" s="698"/>
      <c r="N20" s="698"/>
      <c r="O20" s="698"/>
      <c r="P20" s="698"/>
      <c r="Q20" s="698"/>
      <c r="R20" s="698"/>
      <c r="AI20" s="21"/>
      <c r="AJ20" s="21"/>
      <c r="AK20" s="21"/>
      <c r="AP20" s="387" t="str">
        <f t="shared" si="6"/>
        <v>1</v>
      </c>
    </row>
    <row r="21" spans="1:42">
      <c r="A21" s="530" t="str">
        <f>B21</f>
        <v>Option Year 1</v>
      </c>
      <c r="B21" s="691" t="str">
        <f>InputSheet!$C$23</f>
        <v>Option Year 1</v>
      </c>
      <c r="C21" s="28"/>
      <c r="AP21" s="387" t="str">
        <f t="shared" si="6"/>
        <v>1</v>
      </c>
    </row>
    <row r="22" spans="1:42">
      <c r="B22" s="314" t="s">
        <v>587</v>
      </c>
      <c r="C22" s="692" t="s">
        <v>588</v>
      </c>
      <c r="E22" s="1216" t="str">
        <f>"Indirect Rates - "&amp;C$7</f>
        <v>Indirect Rates - IS</v>
      </c>
      <c r="F22" s="1216"/>
      <c r="G22" s="1216"/>
      <c r="H22" s="1216"/>
      <c r="I22" s="1216"/>
      <c r="J22" s="1216"/>
      <c r="K22" s="1216"/>
      <c r="L22" s="1216"/>
      <c r="M22" s="1216"/>
      <c r="N22" s="1216"/>
      <c r="O22" s="1216"/>
      <c r="P22" s="1216"/>
      <c r="Q22" s="1216"/>
      <c r="R22" s="1216"/>
      <c r="S22" s="844"/>
      <c r="T22" s="1217" t="s">
        <v>794</v>
      </c>
      <c r="U22" s="1217"/>
      <c r="V22" s="1217"/>
      <c r="W22" s="1217"/>
      <c r="X22" s="1217"/>
      <c r="Y22" s="1217"/>
      <c r="Z22" s="1217"/>
      <c r="AA22" s="1217"/>
      <c r="AB22" s="1217"/>
      <c r="AC22" s="1217"/>
      <c r="AD22" s="1217"/>
      <c r="AE22" s="1217"/>
      <c r="AF22" s="1217"/>
      <c r="AG22" s="1217"/>
      <c r="AI22" s="692" t="s">
        <v>615</v>
      </c>
      <c r="AJ22" s="50"/>
      <c r="AK22" s="50"/>
      <c r="AP22" s="387" t="str">
        <f t="shared" si="6"/>
        <v>1</v>
      </c>
    </row>
    <row r="23" spans="1:42">
      <c r="B23" s="693">
        <f>VLOOKUP(A21,InputSheet!$C$8:$E$37,2,FALSE)</f>
        <v>40544</v>
      </c>
      <c r="C23" s="694">
        <f>VLOOKUP(A21,InputSheet!$C$8:$E$37,3,FALSE)</f>
        <v>40908</v>
      </c>
      <c r="E23" s="695">
        <f t="shared" ref="E23:R23" si="10">E11</f>
        <v>2009</v>
      </c>
      <c r="F23" s="695">
        <f t="shared" si="10"/>
        <v>2010</v>
      </c>
      <c r="G23" s="695">
        <f t="shared" si="10"/>
        <v>2011</v>
      </c>
      <c r="H23" s="695">
        <f t="shared" si="10"/>
        <v>2012</v>
      </c>
      <c r="I23" s="695">
        <f t="shared" si="10"/>
        <v>2013</v>
      </c>
      <c r="J23" s="695">
        <f t="shared" si="10"/>
        <v>2014</v>
      </c>
      <c r="K23" s="695">
        <f t="shared" si="10"/>
        <v>2015</v>
      </c>
      <c r="L23" s="695">
        <f t="shared" si="10"/>
        <v>2016</v>
      </c>
      <c r="M23" s="695">
        <f t="shared" si="10"/>
        <v>2017</v>
      </c>
      <c r="N23" s="695">
        <f t="shared" si="10"/>
        <v>2018</v>
      </c>
      <c r="O23" s="695">
        <f t="shared" si="10"/>
        <v>2019</v>
      </c>
      <c r="P23" s="695">
        <f t="shared" si="10"/>
        <v>2020</v>
      </c>
      <c r="Q23" s="695">
        <f t="shared" si="10"/>
        <v>2021</v>
      </c>
      <c r="R23" s="695">
        <f t="shared" si="10"/>
        <v>2022</v>
      </c>
      <c r="S23" s="680"/>
      <c r="T23" s="695">
        <f t="shared" ref="T23:AG23" si="11">T11</f>
        <v>2009</v>
      </c>
      <c r="U23" s="695">
        <f t="shared" si="11"/>
        <v>2010</v>
      </c>
      <c r="V23" s="695">
        <f t="shared" si="11"/>
        <v>2011</v>
      </c>
      <c r="W23" s="695">
        <f t="shared" si="11"/>
        <v>2012</v>
      </c>
      <c r="X23" s="695">
        <f t="shared" si="11"/>
        <v>2013</v>
      </c>
      <c r="Y23" s="695">
        <f t="shared" si="11"/>
        <v>2014</v>
      </c>
      <c r="Z23" s="695">
        <f t="shared" si="11"/>
        <v>2015</v>
      </c>
      <c r="AA23" s="695">
        <f t="shared" si="11"/>
        <v>2016</v>
      </c>
      <c r="AB23" s="695">
        <f t="shared" si="11"/>
        <v>2017</v>
      </c>
      <c r="AC23" s="695">
        <f t="shared" si="11"/>
        <v>2018</v>
      </c>
      <c r="AD23" s="695">
        <f t="shared" si="11"/>
        <v>2019</v>
      </c>
      <c r="AE23" s="695">
        <f t="shared" si="11"/>
        <v>2020</v>
      </c>
      <c r="AF23" s="695">
        <f t="shared" si="11"/>
        <v>2021</v>
      </c>
      <c r="AG23" s="695">
        <f t="shared" si="11"/>
        <v>2022</v>
      </c>
      <c r="AI23" s="696" t="str">
        <f>B21</f>
        <v>Option Year 1</v>
      </c>
      <c r="AJ23" s="28"/>
      <c r="AK23" s="28"/>
      <c r="AP23" s="387" t="str">
        <f t="shared" si="6"/>
        <v>1</v>
      </c>
    </row>
    <row r="24" spans="1:42">
      <c r="A24" s="6" t="str">
        <f>A21</f>
        <v>Option Year 1</v>
      </c>
      <c r="B24" s="6" t="str">
        <f t="shared" ref="B24:B31" si="12">B12</f>
        <v>PRB</v>
      </c>
      <c r="E24" s="698">
        <f>IF(E23="",0,INDEX(Input_Range,MATCH((C7&amp;B24),Input_Call,0),MATCH(E23,Input_Header,0)))</f>
        <v>0.31240000000000001</v>
      </c>
      <c r="F24" s="698">
        <f>IF(F23="",0,INDEX(Input_Range,MATCH((C7&amp;B24),Input_Call,0),MATCH(F23,Input_Header,0)))</f>
        <v>0.31240000000000001</v>
      </c>
      <c r="G24" s="698">
        <f>IF(G23="",0,INDEX(Input_Range,MATCH((C7&amp;B24),Input_Call,0),MATCH(G23,Input_Header,0)))</f>
        <v>0.31240000000000001</v>
      </c>
      <c r="H24" s="698">
        <f>IF(H23="",0,INDEX(Input_Range,MATCH((C7&amp;B24),Input_Call,0),MATCH(H23,Input_Header,0)))</f>
        <v>0.31240000000000001</v>
      </c>
      <c r="I24" s="698">
        <f>IF(I23="",0,INDEX(Input_Range,MATCH((C7&amp;B24),Input_Call,0),MATCH(I23,Input_Header,0)))</f>
        <v>0.31240000000000001</v>
      </c>
      <c r="J24" s="698">
        <f>IF(J23="",0,INDEX(Input_Range,MATCH((C7&amp;B24),Input_Call,0),MATCH(J23,Input_Header,0)))</f>
        <v>0.31240000000000001</v>
      </c>
      <c r="K24" s="698">
        <f>IF(K23="",0,INDEX(Input_Range,MATCH((C7&amp;B24),Input_Call,0),MATCH(K23,Input_Header,0)))</f>
        <v>0.31240000000000001</v>
      </c>
      <c r="L24" s="698">
        <f>IF(L23="",0,INDEX(Input_Range,MATCH((C7&amp;B24),Input_Call,0),MATCH(L23,Input_Header,0)))</f>
        <v>0.31240000000000001</v>
      </c>
      <c r="M24" s="698">
        <f>IF(M23="",0,INDEX(Input_Range,MATCH((C7&amp;B24),Input_Call,0),MATCH(M23,Input_Header,0)))</f>
        <v>0.31240000000000001</v>
      </c>
      <c r="N24" s="698">
        <f>IF(N23="",0,INDEX(Input_Range,MATCH((C7&amp;B24),Input_Call,0),MATCH(N23,Input_Header,0)))</f>
        <v>0.31240000000000001</v>
      </c>
      <c r="O24" s="698">
        <f>IF(O23="",0,INDEX(Input_Range,MATCH((C7&amp;B24),Input_Call,0),MATCH(O23,Input_Header,0)))</f>
        <v>0.31240000000000001</v>
      </c>
      <c r="P24" s="698">
        <f>IF(P23="",0,INDEX(Input_Range,MATCH((C7&amp;B24),Input_Call,0),MATCH(P23,Input_Header,0)))</f>
        <v>0.31240000000000001</v>
      </c>
      <c r="Q24" s="698">
        <f>IF(Q23="",0,INDEX(Input_Range,MATCH((C7&amp;B24),Input_Call,0),MATCH(Q23,Input_Header,0)))</f>
        <v>0.31240000000000001</v>
      </c>
      <c r="R24" s="698">
        <f>Q24</f>
        <v>0.31240000000000001</v>
      </c>
      <c r="T24" s="699">
        <f>ROUND((MAX(0,(MIN($C23,DATE(T$23,12,31))-MAX($B23,DATE(T$23,1,1))+1)))/30.41667,0)</f>
        <v>0</v>
      </c>
      <c r="U24" s="699">
        <f>ROUND((MAX(0,(MIN($C23,DATE(U$23,12,31))-MAX($B23,DATE(U$23,1,1))+1)))/30.41667,0)</f>
        <v>0</v>
      </c>
      <c r="V24" s="699">
        <f t="shared" ref="V24:AG24" si="13">ROUND((MAX(0,(MIN($C23,DATE(V$23,12,31))-MAX($B23,DATE(V$23,1,1))+1)))/30.41667,0)</f>
        <v>12</v>
      </c>
      <c r="W24" s="699">
        <f t="shared" si="13"/>
        <v>0</v>
      </c>
      <c r="X24" s="699">
        <f t="shared" si="13"/>
        <v>0</v>
      </c>
      <c r="Y24" s="699">
        <f t="shared" si="13"/>
        <v>0</v>
      </c>
      <c r="Z24" s="699">
        <f t="shared" si="13"/>
        <v>0</v>
      </c>
      <c r="AA24" s="699">
        <f t="shared" si="13"/>
        <v>0</v>
      </c>
      <c r="AB24" s="699">
        <f t="shared" si="13"/>
        <v>0</v>
      </c>
      <c r="AC24" s="699">
        <f t="shared" si="13"/>
        <v>0</v>
      </c>
      <c r="AD24" s="699">
        <f t="shared" si="13"/>
        <v>0</v>
      </c>
      <c r="AE24" s="699">
        <f t="shared" si="13"/>
        <v>0</v>
      </c>
      <c r="AF24" s="699">
        <f t="shared" si="13"/>
        <v>0</v>
      </c>
      <c r="AG24" s="699">
        <f t="shared" si="13"/>
        <v>0</v>
      </c>
      <c r="AI24" s="698">
        <f t="shared" ref="AI24:AI31" si="14">ROUND(SUMPRODUCT(E24:R24,T24:AG24)/SUM(T24:AG24),4)</f>
        <v>0.31240000000000001</v>
      </c>
      <c r="AJ24" s="698"/>
      <c r="AK24" s="698"/>
      <c r="AL24" s="4" t="str">
        <f>$A24&amp;$C7&amp;InputSheet!C$41&amp;InputSheet!D$41</f>
        <v>Option Year 1ISPRBContr/Govt</v>
      </c>
      <c r="AM24" s="700">
        <f t="shared" ref="AM24:AM31" si="15">AI24</f>
        <v>0.31240000000000001</v>
      </c>
      <c r="AP24" s="387" t="str">
        <f t="shared" si="6"/>
        <v>1</v>
      </c>
    </row>
    <row r="25" spans="1:42">
      <c r="A25" s="6" t="str">
        <f t="shared" ref="A25:A31" si="16">A24</f>
        <v>Option Year 1</v>
      </c>
      <c r="B25" s="6" t="str">
        <f t="shared" si="12"/>
        <v>Overhead - Offsite</v>
      </c>
      <c r="E25" s="698">
        <f>IF(E23="",0,INDEX(Input_Range,MATCH((C7&amp;B25),Input_Call,0),MATCH(E23,Input_Header,0)))</f>
        <v>0.1988</v>
      </c>
      <c r="F25" s="698">
        <f>IF(F23="",0,INDEX(Input_Range,MATCH((C7&amp;B25),Input_Call,0),MATCH(F23,Input_Header,0)))</f>
        <v>0.1988</v>
      </c>
      <c r="G25" s="698">
        <f>IF(G23="",0,INDEX(Input_Range,MATCH((C7&amp;B25),Input_Call,0),MATCH(G23,Input_Header,0)))</f>
        <v>0.1988</v>
      </c>
      <c r="H25" s="698">
        <f>IF(H23="",0,INDEX(Input_Range,MATCH((C7&amp;B25),Input_Call,0),MATCH(H23,Input_Header,0)))</f>
        <v>0.1988</v>
      </c>
      <c r="I25" s="698">
        <f>IF(I23="",0,INDEX(Input_Range,MATCH((C7&amp;B25),Input_Call,0),MATCH(I23,Input_Header,0)))</f>
        <v>0.1988</v>
      </c>
      <c r="J25" s="698">
        <f>IF(J23="",0,INDEX(Input_Range,MATCH((C7&amp;B25),Input_Call,0),MATCH(J23,Input_Header,0)))</f>
        <v>0.1988</v>
      </c>
      <c r="K25" s="698">
        <f>IF(K23="",0,INDEX(Input_Range,MATCH((C7&amp;B25),Input_Call,0),MATCH(K23,Input_Header,0)))</f>
        <v>0.1988</v>
      </c>
      <c r="L25" s="698">
        <f>IF(L23="",0,INDEX(Input_Range,MATCH((C7&amp;B25),Input_Call,0),MATCH(L23,Input_Header,0)))</f>
        <v>0.1988</v>
      </c>
      <c r="M25" s="698">
        <f>IF(M23="",0,INDEX(Input_Range,MATCH((C7&amp;B25),Input_Call,0),MATCH(M23,Input_Header,0)))</f>
        <v>0.1988</v>
      </c>
      <c r="N25" s="698">
        <f>IF(N23="",0,INDEX(Input_Range,MATCH((C7&amp;B25),Input_Call,0),MATCH(N23,Input_Header,0)))</f>
        <v>0.1988</v>
      </c>
      <c r="O25" s="698">
        <f>IF(O23="",0,INDEX(Input_Range,MATCH((C7&amp;B25),Input_Call,0),MATCH(O23,Input_Header,0)))</f>
        <v>0.1988</v>
      </c>
      <c r="P25" s="698">
        <f>IF(P23="",0,INDEX(Input_Range,MATCH((C7&amp;B25),Input_Call,0),MATCH(P23,Input_Header,0)))</f>
        <v>0.1988</v>
      </c>
      <c r="Q25" s="698">
        <f>IF(Q23="",0,INDEX(Input_Range,MATCH((C7&amp;B25),Input_Call,0),MATCH(Q23,Input_Header,0)))</f>
        <v>0.1988</v>
      </c>
      <c r="R25" s="698">
        <f t="shared" ref="R25:R31" si="17">Q25</f>
        <v>0.1988</v>
      </c>
      <c r="T25" s="699">
        <f t="shared" ref="T25:AG31" si="18">T24</f>
        <v>0</v>
      </c>
      <c r="U25" s="699">
        <f t="shared" si="18"/>
        <v>0</v>
      </c>
      <c r="V25" s="699">
        <f t="shared" si="18"/>
        <v>12</v>
      </c>
      <c r="W25" s="699">
        <f t="shared" si="18"/>
        <v>0</v>
      </c>
      <c r="X25" s="699">
        <f t="shared" si="18"/>
        <v>0</v>
      </c>
      <c r="Y25" s="699">
        <f t="shared" si="18"/>
        <v>0</v>
      </c>
      <c r="Z25" s="699">
        <f t="shared" si="18"/>
        <v>0</v>
      </c>
      <c r="AA25" s="699">
        <f t="shared" si="18"/>
        <v>0</v>
      </c>
      <c r="AB25" s="699">
        <f t="shared" si="18"/>
        <v>0</v>
      </c>
      <c r="AC25" s="699">
        <f t="shared" si="18"/>
        <v>0</v>
      </c>
      <c r="AD25" s="699">
        <f t="shared" si="18"/>
        <v>0</v>
      </c>
      <c r="AE25" s="699">
        <f t="shared" si="18"/>
        <v>0</v>
      </c>
      <c r="AF25" s="699">
        <f t="shared" si="18"/>
        <v>0</v>
      </c>
      <c r="AG25" s="699">
        <f t="shared" si="18"/>
        <v>0</v>
      </c>
      <c r="AI25" s="698">
        <f t="shared" si="14"/>
        <v>0.1988</v>
      </c>
      <c r="AJ25" s="698"/>
      <c r="AK25" s="698"/>
      <c r="AL25" s="4" t="str">
        <f>$A25&amp;$C7&amp;InputSheet!C$42&amp;InputSheet!D$42</f>
        <v>Option Year 1ISOverheadContr</v>
      </c>
      <c r="AM25" s="700">
        <f t="shared" si="15"/>
        <v>0.1988</v>
      </c>
      <c r="AP25" s="387" t="str">
        <f t="shared" si="6"/>
        <v>0</v>
      </c>
    </row>
    <row r="26" spans="1:42">
      <c r="A26" s="6" t="str">
        <f t="shared" si="16"/>
        <v>Option Year 1</v>
      </c>
      <c r="B26" s="6" t="str">
        <f t="shared" si="12"/>
        <v>Overhead - Onsite</v>
      </c>
      <c r="E26" s="698">
        <f>IF(E23="",0,INDEX(Input_Range,MATCH((C7&amp;B26),Input_Call,0),MATCH(E23,Input_Header,0)))</f>
        <v>2.23E-2</v>
      </c>
      <c r="F26" s="698">
        <f>IF(F23="",0,INDEX(Input_Range,MATCH((C7&amp;B26),Input_Call,0),MATCH(F23,Input_Header,0)))</f>
        <v>2.23E-2</v>
      </c>
      <c r="G26" s="698">
        <f>IF(G23="",0,INDEX(Input_Range,MATCH((C7&amp;B26),Input_Call,0),MATCH(G23,Input_Header,0)))</f>
        <v>2.23E-2</v>
      </c>
      <c r="H26" s="698">
        <f>IF(H23="",0,INDEX(Input_Range,MATCH((C7&amp;B26),Input_Call,0),MATCH(H23,Input_Header,0)))</f>
        <v>2.23E-2</v>
      </c>
      <c r="I26" s="698">
        <f>IF(I23="",0,INDEX(Input_Range,MATCH((C7&amp;B26),Input_Call,0),MATCH(I23,Input_Header,0)))</f>
        <v>2.23E-2</v>
      </c>
      <c r="J26" s="698">
        <f>IF(J23="",0,INDEX(Input_Range,MATCH((C7&amp;B26),Input_Call,0),MATCH(J23,Input_Header,0)))</f>
        <v>2.23E-2</v>
      </c>
      <c r="K26" s="698">
        <f>IF(K23="",0,INDEX(Input_Range,MATCH((C7&amp;B26),Input_Call,0),MATCH(K23,Input_Header,0)))</f>
        <v>2.23E-2</v>
      </c>
      <c r="L26" s="698">
        <f>IF(L23="",0,INDEX(Input_Range,MATCH((C7&amp;B26),Input_Call,0),MATCH(L23,Input_Header,0)))</f>
        <v>2.23E-2</v>
      </c>
      <c r="M26" s="698">
        <f>IF(M23="",0,INDEX(Input_Range,MATCH((C7&amp;B26),Input_Call,0),MATCH(M23,Input_Header,0)))</f>
        <v>2.23E-2</v>
      </c>
      <c r="N26" s="698">
        <f>IF(N23="",0,INDEX(Input_Range,MATCH((C7&amp;B26),Input_Call,0),MATCH(N23,Input_Header,0)))</f>
        <v>2.23E-2</v>
      </c>
      <c r="O26" s="698">
        <f>IF(O23="",0,INDEX(Input_Range,MATCH((C7&amp;B26),Input_Call,0),MATCH(O23,Input_Header,0)))</f>
        <v>2.23E-2</v>
      </c>
      <c r="P26" s="698">
        <f>IF(P23="",0,INDEX(Input_Range,MATCH((C7&amp;B26),Input_Call,0),MATCH(P23,Input_Header,0)))</f>
        <v>2.23E-2</v>
      </c>
      <c r="Q26" s="698">
        <f>IF(Q23="",0,INDEX(Input_Range,MATCH((C7&amp;B26),Input_Call,0),MATCH(Q23,Input_Header,0)))</f>
        <v>2.23E-2</v>
      </c>
      <c r="R26" s="698">
        <f t="shared" si="17"/>
        <v>2.23E-2</v>
      </c>
      <c r="T26" s="699">
        <f t="shared" si="18"/>
        <v>0</v>
      </c>
      <c r="U26" s="699">
        <f t="shared" si="18"/>
        <v>0</v>
      </c>
      <c r="V26" s="699">
        <f t="shared" si="18"/>
        <v>12</v>
      </c>
      <c r="W26" s="699">
        <f t="shared" si="18"/>
        <v>0</v>
      </c>
      <c r="X26" s="699">
        <f t="shared" si="18"/>
        <v>0</v>
      </c>
      <c r="Y26" s="699">
        <f t="shared" si="18"/>
        <v>0</v>
      </c>
      <c r="Z26" s="699">
        <f t="shared" si="18"/>
        <v>0</v>
      </c>
      <c r="AA26" s="699">
        <f t="shared" si="18"/>
        <v>0</v>
      </c>
      <c r="AB26" s="699">
        <f t="shared" si="18"/>
        <v>0</v>
      </c>
      <c r="AC26" s="699">
        <f t="shared" si="18"/>
        <v>0</v>
      </c>
      <c r="AD26" s="699">
        <f t="shared" si="18"/>
        <v>0</v>
      </c>
      <c r="AE26" s="699">
        <f t="shared" si="18"/>
        <v>0</v>
      </c>
      <c r="AF26" s="699">
        <f t="shared" si="18"/>
        <v>0</v>
      </c>
      <c r="AG26" s="699">
        <f t="shared" si="18"/>
        <v>0</v>
      </c>
      <c r="AI26" s="698">
        <f t="shared" si="14"/>
        <v>2.23E-2</v>
      </c>
      <c r="AJ26" s="698"/>
      <c r="AK26" s="698"/>
      <c r="AL26" s="4" t="str">
        <f>$A26&amp;$C7&amp;InputSheet!C$43&amp;InputSheet!D$43</f>
        <v>Option Year 1ISOverheadGovt</v>
      </c>
      <c r="AM26" s="700">
        <f t="shared" si="15"/>
        <v>2.23E-2</v>
      </c>
      <c r="AP26" s="387" t="str">
        <f t="shared" si="6"/>
        <v>1</v>
      </c>
    </row>
    <row r="27" spans="1:42">
      <c r="A27" s="6" t="str">
        <f t="shared" si="16"/>
        <v>Option Year 1</v>
      </c>
      <c r="B27" s="6" t="str">
        <f t="shared" si="12"/>
        <v>Material Handling</v>
      </c>
      <c r="E27" s="698">
        <f>IF(E23="",0,INDEX(Input_Range,MATCH((C7&amp;B27),Input_Call,0),MATCH(E23,Input_Header,0)))</f>
        <v>3.1699999999999999E-2</v>
      </c>
      <c r="F27" s="698">
        <f>IF(F23="",0,INDEX(Input_Range,MATCH((C7&amp;B27),Input_Call,0),MATCH(F23,Input_Header,0)))</f>
        <v>3.0700000000000002E-2</v>
      </c>
      <c r="G27" s="698">
        <f>IF(G23="",0,INDEX(Input_Range,MATCH((C7&amp;B27),Input_Call,0),MATCH(G23,Input_Header,0)))</f>
        <v>2.9700000000000001E-2</v>
      </c>
      <c r="H27" s="698">
        <f>IF(H23="",0,INDEX(Input_Range,MATCH((C7&amp;B27),Input_Call,0),MATCH(H23,Input_Header,0)))</f>
        <v>2.8799999999999999E-2</v>
      </c>
      <c r="I27" s="698">
        <f>IF(I23="",0,INDEX(Input_Range,MATCH((C7&amp;B27),Input_Call,0),MATCH(I23,Input_Header,0)))</f>
        <v>2.8000000000000001E-2</v>
      </c>
      <c r="J27" s="698">
        <f>IF(J23="",0,INDEX(Input_Range,MATCH((C7&amp;B27),Input_Call,0),MATCH(J23,Input_Header,0)))</f>
        <v>2.8000000000000001E-2</v>
      </c>
      <c r="K27" s="698">
        <f>IF(K23="",0,INDEX(Input_Range,MATCH((C7&amp;B27),Input_Call,0),MATCH(K23,Input_Header,0)))</f>
        <v>2.8000000000000001E-2</v>
      </c>
      <c r="L27" s="698">
        <f>IF(L23="",0,INDEX(Input_Range,MATCH((C7&amp;B27),Input_Call,0),MATCH(L23,Input_Header,0)))</f>
        <v>2.8000000000000001E-2</v>
      </c>
      <c r="M27" s="698">
        <f>IF(M23="",0,INDEX(Input_Range,MATCH((C7&amp;B27),Input_Call,0),MATCH(M23,Input_Header,0)))</f>
        <v>2.8000000000000001E-2</v>
      </c>
      <c r="N27" s="698">
        <f>IF(N23="",0,INDEX(Input_Range,MATCH((C7&amp;B27),Input_Call,0),MATCH(N23,Input_Header,0)))</f>
        <v>2.8000000000000001E-2</v>
      </c>
      <c r="O27" s="698">
        <f>IF(O23="",0,INDEX(Input_Range,MATCH((C7&amp;B27),Input_Call,0),MATCH(O23,Input_Header,0)))</f>
        <v>2.8000000000000001E-2</v>
      </c>
      <c r="P27" s="698">
        <f>IF(P23="",0,INDEX(Input_Range,MATCH((C7&amp;B27),Input_Call,0),MATCH(P23,Input_Header,0)))</f>
        <v>2.8000000000000001E-2</v>
      </c>
      <c r="Q27" s="698">
        <f>IF(Q23="",0,INDEX(Input_Range,MATCH((C7&amp;B27),Input_Call,0),MATCH(Q23,Input_Header,0)))</f>
        <v>2.8000000000000001E-2</v>
      </c>
      <c r="R27" s="698">
        <f t="shared" si="17"/>
        <v>2.8000000000000001E-2</v>
      </c>
      <c r="T27" s="699">
        <f t="shared" si="18"/>
        <v>0</v>
      </c>
      <c r="U27" s="699">
        <f t="shared" si="18"/>
        <v>0</v>
      </c>
      <c r="V27" s="699">
        <f t="shared" si="18"/>
        <v>12</v>
      </c>
      <c r="W27" s="699">
        <f t="shared" si="18"/>
        <v>0</v>
      </c>
      <c r="X27" s="699">
        <f t="shared" si="18"/>
        <v>0</v>
      </c>
      <c r="Y27" s="699">
        <f t="shared" si="18"/>
        <v>0</v>
      </c>
      <c r="Z27" s="699">
        <f t="shared" si="18"/>
        <v>0</v>
      </c>
      <c r="AA27" s="699">
        <f t="shared" si="18"/>
        <v>0</v>
      </c>
      <c r="AB27" s="699">
        <f t="shared" si="18"/>
        <v>0</v>
      </c>
      <c r="AC27" s="699">
        <f t="shared" si="18"/>
        <v>0</v>
      </c>
      <c r="AD27" s="699">
        <f t="shared" si="18"/>
        <v>0</v>
      </c>
      <c r="AE27" s="699">
        <f t="shared" si="18"/>
        <v>0</v>
      </c>
      <c r="AF27" s="699">
        <f t="shared" si="18"/>
        <v>0</v>
      </c>
      <c r="AG27" s="699">
        <f t="shared" si="18"/>
        <v>0</v>
      </c>
      <c r="AI27" s="698">
        <f t="shared" si="14"/>
        <v>2.9700000000000001E-2</v>
      </c>
      <c r="AJ27" s="698"/>
      <c r="AK27" s="698"/>
      <c r="AL27" s="4" t="str">
        <f>$A27&amp;$C7&amp;InputSheet!C$44&amp;InputSheet!D$44</f>
        <v>Option Year 1ISMHContr/Govt</v>
      </c>
      <c r="AM27" s="700">
        <f t="shared" si="15"/>
        <v>2.9700000000000001E-2</v>
      </c>
      <c r="AP27" s="387" t="str">
        <f t="shared" si="6"/>
        <v>0</v>
      </c>
    </row>
    <row r="28" spans="1:42">
      <c r="A28" s="6" t="str">
        <f t="shared" si="16"/>
        <v>Option Year 1</v>
      </c>
      <c r="B28" s="6" t="str">
        <f t="shared" si="12"/>
        <v>G&amp;A</v>
      </c>
      <c r="E28" s="698">
        <f>IF(E23="",0,INDEX(Input_Range,MATCH((C7&amp;B28),Input_Call,0),MATCH(E23,Input_Header,0)))</f>
        <v>9.7500000000000003E-2</v>
      </c>
      <c r="F28" s="698">
        <f>IF(F23="",0,INDEX(Input_Range,MATCH((C7&amp;B28),Input_Call,0),MATCH(F23,Input_Header,0)))</f>
        <v>9.4700000000000006E-2</v>
      </c>
      <c r="G28" s="698">
        <f>IF(G23="",0,INDEX(Input_Range,MATCH((C7&amp;B28),Input_Call,0),MATCH(G23,Input_Header,0)))</f>
        <v>9.1999999999999998E-2</v>
      </c>
      <c r="H28" s="698">
        <f>IF(H23="",0,INDEX(Input_Range,MATCH((C7&amp;B28),Input_Call,0),MATCH(H23,Input_Header,0)))</f>
        <v>8.9499999999999996E-2</v>
      </c>
      <c r="I28" s="698">
        <f>IF(I23="",0,INDEX(Input_Range,MATCH((C7&amp;B28),Input_Call,0),MATCH(I23,Input_Header,0)))</f>
        <v>8.7099999999999997E-2</v>
      </c>
      <c r="J28" s="698">
        <f>IF(J23="",0,INDEX(Input_Range,MATCH((C7&amp;B28),Input_Call,0),MATCH(J23,Input_Header,0)))</f>
        <v>8.7099999999999997E-2</v>
      </c>
      <c r="K28" s="698">
        <f>IF(K23="",0,INDEX(Input_Range,MATCH((C7&amp;B28),Input_Call,0),MATCH(K23,Input_Header,0)))</f>
        <v>8.7099999999999997E-2</v>
      </c>
      <c r="L28" s="698">
        <f>IF(L23="",0,INDEX(Input_Range,MATCH((C7&amp;B28),Input_Call,0),MATCH(L23,Input_Header,0)))</f>
        <v>8.7099999999999997E-2</v>
      </c>
      <c r="M28" s="698">
        <f>IF(M23="",0,INDEX(Input_Range,MATCH((C7&amp;B28),Input_Call,0),MATCH(M23,Input_Header,0)))</f>
        <v>8.7099999999999997E-2</v>
      </c>
      <c r="N28" s="698">
        <f>IF(N23="",0,INDEX(Input_Range,MATCH((C7&amp;B28),Input_Call,0),MATCH(N23,Input_Header,0)))</f>
        <v>8.7099999999999997E-2</v>
      </c>
      <c r="O28" s="698">
        <f>IF(O23="",0,INDEX(Input_Range,MATCH((C7&amp;B28),Input_Call,0),MATCH(O23,Input_Header,0)))</f>
        <v>8.7099999999999997E-2</v>
      </c>
      <c r="P28" s="698">
        <f>IF(P23="",0,INDEX(Input_Range,MATCH((C7&amp;B28),Input_Call,0),MATCH(P23,Input_Header,0)))</f>
        <v>8.7099999999999997E-2</v>
      </c>
      <c r="Q28" s="698">
        <f>IF(Q23="",0,INDEX(Input_Range,MATCH((C7&amp;B28),Input_Call,0),MATCH(Q23,Input_Header,0)))</f>
        <v>8.7099999999999997E-2</v>
      </c>
      <c r="R28" s="698">
        <f t="shared" si="17"/>
        <v>8.7099999999999997E-2</v>
      </c>
      <c r="T28" s="699">
        <f t="shared" si="18"/>
        <v>0</v>
      </c>
      <c r="U28" s="699">
        <f t="shared" si="18"/>
        <v>0</v>
      </c>
      <c r="V28" s="699">
        <f t="shared" si="18"/>
        <v>12</v>
      </c>
      <c r="W28" s="699">
        <f t="shared" si="18"/>
        <v>0</v>
      </c>
      <c r="X28" s="699">
        <f t="shared" si="18"/>
        <v>0</v>
      </c>
      <c r="Y28" s="699">
        <f t="shared" si="18"/>
        <v>0</v>
      </c>
      <c r="Z28" s="699">
        <f t="shared" si="18"/>
        <v>0</v>
      </c>
      <c r="AA28" s="699">
        <f t="shared" si="18"/>
        <v>0</v>
      </c>
      <c r="AB28" s="699">
        <f t="shared" si="18"/>
        <v>0</v>
      </c>
      <c r="AC28" s="699">
        <f t="shared" si="18"/>
        <v>0</v>
      </c>
      <c r="AD28" s="699">
        <f t="shared" si="18"/>
        <v>0</v>
      </c>
      <c r="AE28" s="699">
        <f t="shared" si="18"/>
        <v>0</v>
      </c>
      <c r="AF28" s="699">
        <f t="shared" si="18"/>
        <v>0</v>
      </c>
      <c r="AG28" s="699">
        <f t="shared" si="18"/>
        <v>0</v>
      </c>
      <c r="AI28" s="698">
        <f t="shared" si="14"/>
        <v>9.1999999999999998E-2</v>
      </c>
      <c r="AJ28" s="698"/>
      <c r="AK28" s="698"/>
      <c r="AL28" s="4" t="str">
        <f>$A28&amp;$C7&amp;InputSheet!C$45&amp;InputSheet!D$45</f>
        <v>Option Year 1ISG&amp;AContr/Govt</v>
      </c>
      <c r="AM28" s="700">
        <f t="shared" si="15"/>
        <v>9.1999999999999998E-2</v>
      </c>
      <c r="AP28" s="387" t="str">
        <f t="shared" si="6"/>
        <v>1</v>
      </c>
    </row>
    <row r="29" spans="1:42" outlineLevel="1">
      <c r="A29" s="6" t="str">
        <f t="shared" si="16"/>
        <v>Option Year 1</v>
      </c>
      <c r="B29" s="6" t="str">
        <f t="shared" si="12"/>
        <v>TBD1</v>
      </c>
      <c r="E29" s="21">
        <f>IF(E23="",0,INDEX(Input_Range,MATCH((C7&amp;B29),Input_Call,0),MATCH(E23,Input_Header,0)))</f>
        <v>0</v>
      </c>
      <c r="F29" s="21">
        <f>IF(F23="",0,INDEX(Input_Range,MATCH((C7&amp;B29),Input_Call,0),MATCH(F23,Input_Header,0)))</f>
        <v>0</v>
      </c>
      <c r="G29" s="21">
        <f>IF(G23="",0,INDEX(Input_Range,MATCH((C7&amp;B29),Input_Call,0),MATCH(G23,Input_Header,0)))</f>
        <v>0</v>
      </c>
      <c r="H29" s="21">
        <f>IF(H23="",0,INDEX(Input_Range,MATCH((C7&amp;B29),Input_Call,0),MATCH(H23,Input_Header,0)))</f>
        <v>0</v>
      </c>
      <c r="I29" s="21">
        <f>IF(I23="",0,INDEX(Input_Range,MATCH((C7&amp;B29),Input_Call,0),MATCH(I23,Input_Header,0)))</f>
        <v>0</v>
      </c>
      <c r="J29" s="21">
        <f>IF(J23="",0,INDEX(Input_Range,MATCH((C7&amp;B29),Input_Call,0),MATCH(J23,Input_Header,0)))</f>
        <v>0</v>
      </c>
      <c r="K29" s="21">
        <f>IF(K23="",0,INDEX(Input_Range,MATCH((C7&amp;B29),Input_Call,0),MATCH(K23,Input_Header,0)))</f>
        <v>0</v>
      </c>
      <c r="L29" s="21">
        <f>IF(L23="",0,INDEX(Input_Range,MATCH((C7&amp;B29),Input_Call,0),MATCH(L23,Input_Header,0)))</f>
        <v>0</v>
      </c>
      <c r="M29" s="21">
        <f>IF(M23="",0,INDEX(Input_Range,MATCH((C7&amp;B29),Input_Call,0),MATCH(M23,Input_Header,0)))</f>
        <v>0</v>
      </c>
      <c r="N29" s="21">
        <f>IF(N23="",0,INDEX(Input_Range,MATCH((C7&amp;B29),Input_Call,0),MATCH(N23,Input_Header,0)))</f>
        <v>0</v>
      </c>
      <c r="O29" s="21">
        <f>IF(O23="",0,INDEX(Input_Range,MATCH((C7&amp;B29),Input_Call,0),MATCH(O23,Input_Header,0)))</f>
        <v>0</v>
      </c>
      <c r="P29" s="21">
        <f>IF(P23="",0,INDEX(Input_Range,MATCH((C7&amp;B29),Input_Call,0),MATCH(P23,Input_Header,0)))</f>
        <v>0</v>
      </c>
      <c r="Q29" s="21">
        <f>IF(Q23="",0,INDEX(Input_Range,MATCH((C7&amp;B29),Input_Call,0),MATCH(Q23,Input_Header,0)))</f>
        <v>0</v>
      </c>
      <c r="R29" s="698">
        <f t="shared" si="17"/>
        <v>0</v>
      </c>
      <c r="T29" s="699">
        <f t="shared" si="18"/>
        <v>0</v>
      </c>
      <c r="U29" s="699">
        <f t="shared" si="18"/>
        <v>0</v>
      </c>
      <c r="V29" s="699">
        <f t="shared" si="18"/>
        <v>12</v>
      </c>
      <c r="W29" s="699">
        <f t="shared" si="18"/>
        <v>0</v>
      </c>
      <c r="X29" s="699">
        <f t="shared" si="18"/>
        <v>0</v>
      </c>
      <c r="Y29" s="699">
        <f t="shared" si="18"/>
        <v>0</v>
      </c>
      <c r="Z29" s="699">
        <f t="shared" si="18"/>
        <v>0</v>
      </c>
      <c r="AA29" s="699">
        <f t="shared" si="18"/>
        <v>0</v>
      </c>
      <c r="AB29" s="699">
        <f t="shared" si="18"/>
        <v>0</v>
      </c>
      <c r="AC29" s="699">
        <f t="shared" si="18"/>
        <v>0</v>
      </c>
      <c r="AD29" s="699">
        <f t="shared" si="18"/>
        <v>0</v>
      </c>
      <c r="AE29" s="699">
        <f t="shared" si="18"/>
        <v>0</v>
      </c>
      <c r="AF29" s="699">
        <f t="shared" si="18"/>
        <v>0</v>
      </c>
      <c r="AG29" s="699">
        <f t="shared" si="18"/>
        <v>0</v>
      </c>
      <c r="AI29" s="698">
        <f t="shared" si="14"/>
        <v>0</v>
      </c>
      <c r="AJ29" s="21"/>
      <c r="AK29" s="21"/>
      <c r="AL29" s="4" t="str">
        <f>$A29&amp;$C7&amp;InputSheet!C$46&amp;InputSheet!D$46</f>
        <v>Option Year 1ISTBD1Contr/Govt</v>
      </c>
      <c r="AM29" s="700">
        <f t="shared" si="15"/>
        <v>0</v>
      </c>
      <c r="AP29" s="387" t="str">
        <f t="shared" si="6"/>
        <v>0</v>
      </c>
    </row>
    <row r="30" spans="1:42" outlineLevel="1">
      <c r="A30" s="6" t="str">
        <f t="shared" si="16"/>
        <v>Option Year 1</v>
      </c>
      <c r="B30" s="6" t="str">
        <f t="shared" si="12"/>
        <v>TBD2</v>
      </c>
      <c r="E30" s="21">
        <f>IF(E23="",0,INDEX(Input_Range,MATCH((C7&amp;B30),Input_Call,0),MATCH(E23,Input_Header,0)))</f>
        <v>0</v>
      </c>
      <c r="F30" s="21">
        <f>IF(F23="",0,INDEX(Input_Range,MATCH((C7&amp;B30),Input_Call,0),MATCH(F23,Input_Header,0)))</f>
        <v>0</v>
      </c>
      <c r="G30" s="21">
        <f>IF(G23="",0,INDEX(Input_Range,MATCH((C7&amp;B30),Input_Call,0),MATCH(G23,Input_Header,0)))</f>
        <v>0</v>
      </c>
      <c r="H30" s="21">
        <f>IF(H23="",0,INDEX(Input_Range,MATCH((C7&amp;B30),Input_Call,0),MATCH(H23,Input_Header,0)))</f>
        <v>0</v>
      </c>
      <c r="I30" s="21">
        <f>IF(I23="",0,INDEX(Input_Range,MATCH((C7&amp;B30),Input_Call,0),MATCH(I23,Input_Header,0)))</f>
        <v>0</v>
      </c>
      <c r="J30" s="21">
        <f>IF(J23="",0,INDEX(Input_Range,MATCH((C7&amp;B30),Input_Call,0),MATCH(J23,Input_Header,0)))</f>
        <v>0</v>
      </c>
      <c r="K30" s="21">
        <f>IF(K23="",0,INDEX(Input_Range,MATCH((C7&amp;B30),Input_Call,0),MATCH(K23,Input_Header,0)))</f>
        <v>0</v>
      </c>
      <c r="L30" s="21">
        <f>IF(L23="",0,INDEX(Input_Range,MATCH((C7&amp;B30),Input_Call,0),MATCH(L23,Input_Header,0)))</f>
        <v>0</v>
      </c>
      <c r="M30" s="21">
        <f>IF(M23="",0,INDEX(Input_Range,MATCH((C7&amp;B30),Input_Call,0),MATCH(M23,Input_Header,0)))</f>
        <v>0</v>
      </c>
      <c r="N30" s="21">
        <f>IF(N23="",0,INDEX(Input_Range,MATCH((C7&amp;B30),Input_Call,0),MATCH(N23,Input_Header,0)))</f>
        <v>0</v>
      </c>
      <c r="O30" s="21">
        <f>IF(O23="",0,INDEX(Input_Range,MATCH((C7&amp;B30),Input_Call,0),MATCH(O23,Input_Header,0)))</f>
        <v>0</v>
      </c>
      <c r="P30" s="21">
        <f>IF(P23="",0,INDEX(Input_Range,MATCH((C7&amp;B30),Input_Call,0),MATCH(P23,Input_Header,0)))</f>
        <v>0</v>
      </c>
      <c r="Q30" s="21">
        <f>IF(Q23="",0,INDEX(Input_Range,MATCH((C7&amp;B30),Input_Call,0),MATCH(Q23,Input_Header,0)))</f>
        <v>0</v>
      </c>
      <c r="R30" s="698">
        <f t="shared" si="17"/>
        <v>0</v>
      </c>
      <c r="T30" s="699">
        <f t="shared" si="18"/>
        <v>0</v>
      </c>
      <c r="U30" s="699">
        <f t="shared" si="18"/>
        <v>0</v>
      </c>
      <c r="V30" s="699">
        <f t="shared" si="18"/>
        <v>12</v>
      </c>
      <c r="W30" s="699">
        <f t="shared" si="18"/>
        <v>0</v>
      </c>
      <c r="X30" s="699">
        <f t="shared" si="18"/>
        <v>0</v>
      </c>
      <c r="Y30" s="699">
        <f t="shared" si="18"/>
        <v>0</v>
      </c>
      <c r="Z30" s="699">
        <f t="shared" si="18"/>
        <v>0</v>
      </c>
      <c r="AA30" s="699">
        <f t="shared" si="18"/>
        <v>0</v>
      </c>
      <c r="AB30" s="699">
        <f t="shared" si="18"/>
        <v>0</v>
      </c>
      <c r="AC30" s="699">
        <f t="shared" si="18"/>
        <v>0</v>
      </c>
      <c r="AD30" s="699">
        <f t="shared" si="18"/>
        <v>0</v>
      </c>
      <c r="AE30" s="699">
        <f t="shared" si="18"/>
        <v>0</v>
      </c>
      <c r="AF30" s="699">
        <f t="shared" si="18"/>
        <v>0</v>
      </c>
      <c r="AG30" s="699">
        <f t="shared" si="18"/>
        <v>0</v>
      </c>
      <c r="AI30" s="698">
        <f t="shared" si="14"/>
        <v>0</v>
      </c>
      <c r="AJ30" s="21"/>
      <c r="AK30" s="21"/>
      <c r="AL30" s="4" t="str">
        <f>$A30&amp;$C7&amp;InputSheet!C$47&amp;InputSheet!D$47</f>
        <v>Option Year 1ISTBD2Contr/Govt</v>
      </c>
      <c r="AM30" s="700">
        <f t="shared" si="15"/>
        <v>0</v>
      </c>
      <c r="AP30" s="387" t="str">
        <f t="shared" si="6"/>
        <v>0</v>
      </c>
    </row>
    <row r="31" spans="1:42" outlineLevel="1">
      <c r="A31" s="6" t="str">
        <f t="shared" si="16"/>
        <v>Option Year 1</v>
      </c>
      <c r="B31" s="6" t="str">
        <f t="shared" si="12"/>
        <v>TBD3</v>
      </c>
      <c r="E31" s="21">
        <f>IF(E23="",0,INDEX(Input_Range,MATCH((C7&amp;B31),Input_Call,0),MATCH(E23,Input_Header,0)))</f>
        <v>0</v>
      </c>
      <c r="F31" s="21">
        <f>IF(F23="",0,INDEX(Input_Range,MATCH((C7&amp;B31),Input_Call,0),MATCH(F23,Input_Header,0)))</f>
        <v>0</v>
      </c>
      <c r="G31" s="21">
        <f>IF(G23="",0,INDEX(Input_Range,MATCH((C7&amp;B31),Input_Call,0),MATCH(G23,Input_Header,0)))</f>
        <v>0</v>
      </c>
      <c r="H31" s="21">
        <f>IF(H23="",0,INDEX(Input_Range,MATCH((C7&amp;B31),Input_Call,0),MATCH(H23,Input_Header,0)))</f>
        <v>0</v>
      </c>
      <c r="I31" s="21">
        <f>IF(I23="",0,INDEX(Input_Range,MATCH((C7&amp;B31),Input_Call,0),MATCH(I23,Input_Header,0)))</f>
        <v>0</v>
      </c>
      <c r="J31" s="21">
        <f>IF(J23="",0,INDEX(Input_Range,MATCH((C7&amp;B31),Input_Call,0),MATCH(J23,Input_Header,0)))</f>
        <v>0</v>
      </c>
      <c r="K31" s="21">
        <f>IF(K23="",0,INDEX(Input_Range,MATCH((C7&amp;B31),Input_Call,0),MATCH(K23,Input_Header,0)))</f>
        <v>0</v>
      </c>
      <c r="L31" s="21">
        <f>IF(L23="",0,INDEX(Input_Range,MATCH((C7&amp;B31),Input_Call,0),MATCH(L23,Input_Header,0)))</f>
        <v>0</v>
      </c>
      <c r="M31" s="21">
        <f>IF(M23="",0,INDEX(Input_Range,MATCH((C7&amp;B31),Input_Call,0),MATCH(M23,Input_Header,0)))</f>
        <v>0</v>
      </c>
      <c r="N31" s="21">
        <f>IF(N23="",0,INDEX(Input_Range,MATCH((C7&amp;B31),Input_Call,0),MATCH(N23,Input_Header,0)))</f>
        <v>0</v>
      </c>
      <c r="O31" s="21">
        <f>IF(O23="",0,INDEX(Input_Range,MATCH((C7&amp;B31),Input_Call,0),MATCH(O23,Input_Header,0)))</f>
        <v>0</v>
      </c>
      <c r="P31" s="21">
        <f>IF(P23="",0,INDEX(Input_Range,MATCH((C7&amp;B31),Input_Call,0),MATCH(P23,Input_Header,0)))</f>
        <v>0</v>
      </c>
      <c r="Q31" s="21">
        <f>IF(Q23="",0,INDEX(Input_Range,MATCH((C7&amp;B31),Input_Call,0),MATCH(Q23,Input_Header,0)))</f>
        <v>0</v>
      </c>
      <c r="R31" s="698">
        <f t="shared" si="17"/>
        <v>0</v>
      </c>
      <c r="T31" s="699">
        <f t="shared" si="18"/>
        <v>0</v>
      </c>
      <c r="U31" s="699">
        <f t="shared" si="18"/>
        <v>0</v>
      </c>
      <c r="V31" s="699">
        <f t="shared" si="18"/>
        <v>12</v>
      </c>
      <c r="W31" s="699">
        <f t="shared" si="18"/>
        <v>0</v>
      </c>
      <c r="X31" s="699">
        <f t="shared" si="18"/>
        <v>0</v>
      </c>
      <c r="Y31" s="699">
        <f t="shared" si="18"/>
        <v>0</v>
      </c>
      <c r="Z31" s="699">
        <f t="shared" si="18"/>
        <v>0</v>
      </c>
      <c r="AA31" s="699">
        <f t="shared" si="18"/>
        <v>0</v>
      </c>
      <c r="AB31" s="699">
        <f t="shared" si="18"/>
        <v>0</v>
      </c>
      <c r="AC31" s="699">
        <f t="shared" si="18"/>
        <v>0</v>
      </c>
      <c r="AD31" s="699">
        <f t="shared" si="18"/>
        <v>0</v>
      </c>
      <c r="AE31" s="699">
        <f t="shared" si="18"/>
        <v>0</v>
      </c>
      <c r="AF31" s="699">
        <f t="shared" si="18"/>
        <v>0</v>
      </c>
      <c r="AG31" s="699">
        <f t="shared" si="18"/>
        <v>0</v>
      </c>
      <c r="AI31" s="698">
        <f t="shared" si="14"/>
        <v>0</v>
      </c>
      <c r="AJ31" s="21"/>
      <c r="AK31" s="21"/>
      <c r="AL31" s="4" t="str">
        <f>$A31&amp;$C7&amp;InputSheet!C$48&amp;InputSheet!D$48</f>
        <v>Option Year 1ISTBD3Contr/Govt</v>
      </c>
      <c r="AM31" s="700">
        <f t="shared" si="15"/>
        <v>0</v>
      </c>
      <c r="AP31" s="387" t="str">
        <f t="shared" si="6"/>
        <v>0</v>
      </c>
    </row>
    <row r="32" spans="1:42">
      <c r="E32" s="698"/>
      <c r="F32" s="698"/>
      <c r="G32" s="698"/>
      <c r="H32" s="698"/>
      <c r="I32" s="698"/>
      <c r="J32" s="698"/>
      <c r="K32" s="698"/>
      <c r="L32" s="698"/>
      <c r="M32" s="698"/>
      <c r="N32" s="698"/>
      <c r="O32" s="698"/>
      <c r="P32" s="698"/>
      <c r="Q32" s="698"/>
      <c r="R32" s="698"/>
      <c r="AI32" s="21"/>
      <c r="AJ32" s="21"/>
      <c r="AK32" s="21"/>
      <c r="AP32" s="387" t="str">
        <f t="shared" si="6"/>
        <v>1</v>
      </c>
    </row>
    <row r="33" spans="1:42">
      <c r="A33" s="530" t="str">
        <f>B33</f>
        <v>Option Year 2</v>
      </c>
      <c r="B33" s="691" t="str">
        <f>InputSheet!$C$24</f>
        <v>Option Year 2</v>
      </c>
      <c r="C33" s="28"/>
      <c r="AP33" s="387" t="str">
        <f t="shared" si="6"/>
        <v>1</v>
      </c>
    </row>
    <row r="34" spans="1:42">
      <c r="B34" s="314" t="s">
        <v>587</v>
      </c>
      <c r="C34" s="692" t="s">
        <v>588</v>
      </c>
      <c r="E34" s="1216" t="str">
        <f>"Indirect Rates - "&amp;C$7</f>
        <v>Indirect Rates - IS</v>
      </c>
      <c r="F34" s="1216"/>
      <c r="G34" s="1216"/>
      <c r="H34" s="1216"/>
      <c r="I34" s="1216"/>
      <c r="J34" s="1216"/>
      <c r="K34" s="1216"/>
      <c r="L34" s="1216"/>
      <c r="M34" s="1216"/>
      <c r="N34" s="1216"/>
      <c r="O34" s="1216"/>
      <c r="P34" s="1216"/>
      <c r="Q34" s="1216"/>
      <c r="R34" s="1216"/>
      <c r="S34" s="844"/>
      <c r="T34" s="1217" t="s">
        <v>794</v>
      </c>
      <c r="U34" s="1217"/>
      <c r="V34" s="1217"/>
      <c r="W34" s="1217"/>
      <c r="X34" s="1217"/>
      <c r="Y34" s="1217"/>
      <c r="Z34" s="1217"/>
      <c r="AA34" s="1217"/>
      <c r="AB34" s="1217"/>
      <c r="AC34" s="1217"/>
      <c r="AD34" s="1217"/>
      <c r="AE34" s="1217"/>
      <c r="AF34" s="1217"/>
      <c r="AG34" s="1217"/>
      <c r="AI34" s="692" t="s">
        <v>615</v>
      </c>
      <c r="AJ34" s="50"/>
      <c r="AK34" s="50"/>
      <c r="AP34" s="387" t="str">
        <f t="shared" si="6"/>
        <v>1</v>
      </c>
    </row>
    <row r="35" spans="1:42">
      <c r="B35" s="693">
        <f>VLOOKUP(A33,InputSheet!$C$8:$E$37,2,FALSE)</f>
        <v>40909</v>
      </c>
      <c r="C35" s="694">
        <f>VLOOKUP(A33,InputSheet!$C$8:$E$37,3,FALSE)</f>
        <v>41152</v>
      </c>
      <c r="E35" s="695">
        <f t="shared" ref="E35:R35" si="19">E23</f>
        <v>2009</v>
      </c>
      <c r="F35" s="695">
        <f t="shared" si="19"/>
        <v>2010</v>
      </c>
      <c r="G35" s="695">
        <f t="shared" si="19"/>
        <v>2011</v>
      </c>
      <c r="H35" s="695">
        <f t="shared" si="19"/>
        <v>2012</v>
      </c>
      <c r="I35" s="695">
        <f t="shared" si="19"/>
        <v>2013</v>
      </c>
      <c r="J35" s="695">
        <f t="shared" si="19"/>
        <v>2014</v>
      </c>
      <c r="K35" s="695">
        <f t="shared" si="19"/>
        <v>2015</v>
      </c>
      <c r="L35" s="695">
        <f t="shared" si="19"/>
        <v>2016</v>
      </c>
      <c r="M35" s="695">
        <f t="shared" si="19"/>
        <v>2017</v>
      </c>
      <c r="N35" s="695">
        <f t="shared" si="19"/>
        <v>2018</v>
      </c>
      <c r="O35" s="695">
        <f t="shared" si="19"/>
        <v>2019</v>
      </c>
      <c r="P35" s="695">
        <f t="shared" si="19"/>
        <v>2020</v>
      </c>
      <c r="Q35" s="695">
        <f t="shared" si="19"/>
        <v>2021</v>
      </c>
      <c r="R35" s="695">
        <f t="shared" si="19"/>
        <v>2022</v>
      </c>
      <c r="S35" s="680"/>
      <c r="T35" s="695">
        <f t="shared" ref="T35:AG35" si="20">T23</f>
        <v>2009</v>
      </c>
      <c r="U35" s="695">
        <f t="shared" si="20"/>
        <v>2010</v>
      </c>
      <c r="V35" s="695">
        <f t="shared" si="20"/>
        <v>2011</v>
      </c>
      <c r="W35" s="695">
        <f t="shared" si="20"/>
        <v>2012</v>
      </c>
      <c r="X35" s="695">
        <f t="shared" si="20"/>
        <v>2013</v>
      </c>
      <c r="Y35" s="695">
        <f t="shared" si="20"/>
        <v>2014</v>
      </c>
      <c r="Z35" s="695">
        <f t="shared" si="20"/>
        <v>2015</v>
      </c>
      <c r="AA35" s="695">
        <f t="shared" si="20"/>
        <v>2016</v>
      </c>
      <c r="AB35" s="695">
        <f t="shared" si="20"/>
        <v>2017</v>
      </c>
      <c r="AC35" s="695">
        <f t="shared" si="20"/>
        <v>2018</v>
      </c>
      <c r="AD35" s="695">
        <f t="shared" si="20"/>
        <v>2019</v>
      </c>
      <c r="AE35" s="695">
        <f t="shared" si="20"/>
        <v>2020</v>
      </c>
      <c r="AF35" s="695">
        <f t="shared" si="20"/>
        <v>2021</v>
      </c>
      <c r="AG35" s="695">
        <f t="shared" si="20"/>
        <v>2022</v>
      </c>
      <c r="AI35" s="696" t="str">
        <f>B33</f>
        <v>Option Year 2</v>
      </c>
      <c r="AJ35" s="28"/>
      <c r="AK35" s="28"/>
      <c r="AP35" s="387" t="str">
        <f t="shared" si="6"/>
        <v>1</v>
      </c>
    </row>
    <row r="36" spans="1:42">
      <c r="A36" s="6" t="str">
        <f>A33</f>
        <v>Option Year 2</v>
      </c>
      <c r="B36" s="6" t="str">
        <f t="shared" ref="B36:B43" si="21">B24</f>
        <v>PRB</v>
      </c>
      <c r="E36" s="698">
        <f>IF(E35="",0,INDEX(Input_Range,MATCH((C7&amp;B36),Input_Call,0),MATCH(E35,Input_Header,0)))</f>
        <v>0.31240000000000001</v>
      </c>
      <c r="F36" s="698">
        <f>IF(F35="",0,INDEX(Input_Range,MATCH((C7&amp;B36),Input_Call,0),MATCH(F35,Input_Header,0)))</f>
        <v>0.31240000000000001</v>
      </c>
      <c r="G36" s="698">
        <f>IF(G35="",0,INDEX(Input_Range,MATCH((C7&amp;B36),Input_Call,0),MATCH(G35,Input_Header,0)))</f>
        <v>0.31240000000000001</v>
      </c>
      <c r="H36" s="698">
        <f>IF(H35="",0,INDEX(Input_Range,MATCH((C7&amp;B36),Input_Call,0),MATCH(H35,Input_Header,0)))</f>
        <v>0.31240000000000001</v>
      </c>
      <c r="I36" s="698">
        <f>IF(I35="",0,INDEX(Input_Range,MATCH((C7&amp;B36),Input_Call,0),MATCH(I35,Input_Header,0)))</f>
        <v>0.31240000000000001</v>
      </c>
      <c r="J36" s="698">
        <f>IF(J35="",0,INDEX(Input_Range,MATCH((C7&amp;B36),Input_Call,0),MATCH(J35,Input_Header,0)))</f>
        <v>0.31240000000000001</v>
      </c>
      <c r="K36" s="698">
        <f>IF(K35="",0,INDEX(Input_Range,MATCH((C7&amp;B36),Input_Call,0),MATCH(K35,Input_Header,0)))</f>
        <v>0.31240000000000001</v>
      </c>
      <c r="L36" s="698">
        <f>IF(L35="",0,INDEX(Input_Range,MATCH((C7&amp;B36),Input_Call,0),MATCH(L35,Input_Header,0)))</f>
        <v>0.31240000000000001</v>
      </c>
      <c r="M36" s="698">
        <f>IF(M35="",0,INDEX(Input_Range,MATCH((C7&amp;B36),Input_Call,0),MATCH(M35,Input_Header,0)))</f>
        <v>0.31240000000000001</v>
      </c>
      <c r="N36" s="698">
        <f>IF(N35="",0,INDEX(Input_Range,MATCH((C7&amp;B36),Input_Call,0),MATCH(N35,Input_Header,0)))</f>
        <v>0.31240000000000001</v>
      </c>
      <c r="O36" s="698">
        <f>IF(O35="",0,INDEX(Input_Range,MATCH((C7&amp;B36),Input_Call,0),MATCH(O35,Input_Header,0)))</f>
        <v>0.31240000000000001</v>
      </c>
      <c r="P36" s="698">
        <f>IF(P35="",0,INDEX(Input_Range,MATCH((C7&amp;B36),Input_Call,0),MATCH(P35,Input_Header,0)))</f>
        <v>0.31240000000000001</v>
      </c>
      <c r="Q36" s="698">
        <f>IF(Q35="",0,INDEX(Input_Range,MATCH((C7&amp;B36),Input_Call,0),MATCH(Q35,Input_Header,0)))</f>
        <v>0.31240000000000001</v>
      </c>
      <c r="R36" s="698">
        <f>Q36</f>
        <v>0.31240000000000001</v>
      </c>
      <c r="T36" s="699">
        <f t="shared" ref="T36:AG36" si="22">ROUND((MAX(0,(MIN($C35,DATE(T35,12,31))-MAX($B35,DATE(T35,1,1))+1)))/30.41667,0)</f>
        <v>0</v>
      </c>
      <c r="U36" s="699">
        <f t="shared" si="22"/>
        <v>0</v>
      </c>
      <c r="V36" s="699">
        <f t="shared" si="22"/>
        <v>0</v>
      </c>
      <c r="W36" s="699">
        <f t="shared" si="22"/>
        <v>8</v>
      </c>
      <c r="X36" s="699">
        <f t="shared" si="22"/>
        <v>0</v>
      </c>
      <c r="Y36" s="699">
        <f t="shared" si="22"/>
        <v>0</v>
      </c>
      <c r="Z36" s="699">
        <f t="shared" si="22"/>
        <v>0</v>
      </c>
      <c r="AA36" s="699">
        <f t="shared" si="22"/>
        <v>0</v>
      </c>
      <c r="AB36" s="699">
        <f t="shared" si="22"/>
        <v>0</v>
      </c>
      <c r="AC36" s="699">
        <f t="shared" si="22"/>
        <v>0</v>
      </c>
      <c r="AD36" s="699">
        <f t="shared" si="22"/>
        <v>0</v>
      </c>
      <c r="AE36" s="699">
        <f t="shared" si="22"/>
        <v>0</v>
      </c>
      <c r="AF36" s="699">
        <f t="shared" si="22"/>
        <v>0</v>
      </c>
      <c r="AG36" s="699">
        <f t="shared" si="22"/>
        <v>0</v>
      </c>
      <c r="AI36" s="698">
        <f t="shared" ref="AI36:AI43" si="23">ROUND(SUMPRODUCT(E36:R36,T36:AG36)/SUM(T36:AG36),4)</f>
        <v>0.31240000000000001</v>
      </c>
      <c r="AJ36" s="698"/>
      <c r="AK36" s="698"/>
      <c r="AL36" s="4" t="str">
        <f>$A36&amp;$C7&amp;InputSheet!C$41&amp;InputSheet!D$41</f>
        <v>Option Year 2ISPRBContr/Govt</v>
      </c>
      <c r="AM36" s="700">
        <f t="shared" ref="AM36:AM43" si="24">AI36</f>
        <v>0.31240000000000001</v>
      </c>
      <c r="AP36" s="387" t="str">
        <f t="shared" si="6"/>
        <v>1</v>
      </c>
    </row>
    <row r="37" spans="1:42">
      <c r="A37" s="6" t="str">
        <f t="shared" ref="A37:A43" si="25">A36</f>
        <v>Option Year 2</v>
      </c>
      <c r="B37" s="6" t="str">
        <f t="shared" si="21"/>
        <v>Overhead - Offsite</v>
      </c>
      <c r="E37" s="698">
        <f>IF(E35="",0,INDEX(Input_Range,MATCH((C7&amp;B37),Input_Call,0),MATCH(E35,Input_Header,0)))</f>
        <v>0.1988</v>
      </c>
      <c r="F37" s="698">
        <f>IF(F35="",0,INDEX(Input_Range,MATCH((C7&amp;B37),Input_Call,0),MATCH(F35,Input_Header,0)))</f>
        <v>0.1988</v>
      </c>
      <c r="G37" s="698">
        <f>IF(G35="",0,INDEX(Input_Range,MATCH((C7&amp;B37),Input_Call,0),MATCH(G35,Input_Header,0)))</f>
        <v>0.1988</v>
      </c>
      <c r="H37" s="698">
        <f>IF(H35="",0,INDEX(Input_Range,MATCH((C7&amp;B37),Input_Call,0),MATCH(H35,Input_Header,0)))</f>
        <v>0.1988</v>
      </c>
      <c r="I37" s="698">
        <f>IF(I35="",0,INDEX(Input_Range,MATCH((C7&amp;B37),Input_Call,0),MATCH(I35,Input_Header,0)))</f>
        <v>0.1988</v>
      </c>
      <c r="J37" s="698">
        <f>IF(J35="",0,INDEX(Input_Range,MATCH((C7&amp;B37),Input_Call,0),MATCH(J35,Input_Header,0)))</f>
        <v>0.1988</v>
      </c>
      <c r="K37" s="698">
        <f>IF(K35="",0,INDEX(Input_Range,MATCH((C7&amp;B37),Input_Call,0),MATCH(K35,Input_Header,0)))</f>
        <v>0.1988</v>
      </c>
      <c r="L37" s="698">
        <f>IF(L35="",0,INDEX(Input_Range,MATCH((C7&amp;B37),Input_Call,0),MATCH(L35,Input_Header,0)))</f>
        <v>0.1988</v>
      </c>
      <c r="M37" s="698">
        <f>IF(M35="",0,INDEX(Input_Range,MATCH((C7&amp;B37),Input_Call,0),MATCH(M35,Input_Header,0)))</f>
        <v>0.1988</v>
      </c>
      <c r="N37" s="698">
        <f>IF(N35="",0,INDEX(Input_Range,MATCH((C7&amp;B37),Input_Call,0),MATCH(N35,Input_Header,0)))</f>
        <v>0.1988</v>
      </c>
      <c r="O37" s="698">
        <f>IF(O35="",0,INDEX(Input_Range,MATCH((C7&amp;B37),Input_Call,0),MATCH(O35,Input_Header,0)))</f>
        <v>0.1988</v>
      </c>
      <c r="P37" s="698">
        <f>IF(P35="",0,INDEX(Input_Range,MATCH((C7&amp;B37),Input_Call,0),MATCH(P35,Input_Header,0)))</f>
        <v>0.1988</v>
      </c>
      <c r="Q37" s="698">
        <f>IF(Q35="",0,INDEX(Input_Range,MATCH((C7&amp;B37),Input_Call,0),MATCH(Q35,Input_Header,0)))</f>
        <v>0.1988</v>
      </c>
      <c r="R37" s="698">
        <f t="shared" ref="R37:R43" si="26">Q37</f>
        <v>0.1988</v>
      </c>
      <c r="T37" s="699">
        <f t="shared" ref="T37:AG43" si="27">T36</f>
        <v>0</v>
      </c>
      <c r="U37" s="699">
        <f t="shared" si="27"/>
        <v>0</v>
      </c>
      <c r="V37" s="699">
        <f t="shared" si="27"/>
        <v>0</v>
      </c>
      <c r="W37" s="699">
        <f t="shared" si="27"/>
        <v>8</v>
      </c>
      <c r="X37" s="699">
        <f t="shared" si="27"/>
        <v>0</v>
      </c>
      <c r="Y37" s="699">
        <f t="shared" si="27"/>
        <v>0</v>
      </c>
      <c r="Z37" s="699">
        <f t="shared" si="27"/>
        <v>0</v>
      </c>
      <c r="AA37" s="699">
        <f t="shared" si="27"/>
        <v>0</v>
      </c>
      <c r="AB37" s="699">
        <f t="shared" si="27"/>
        <v>0</v>
      </c>
      <c r="AC37" s="699">
        <f t="shared" si="27"/>
        <v>0</v>
      </c>
      <c r="AD37" s="699">
        <f t="shared" si="27"/>
        <v>0</v>
      </c>
      <c r="AE37" s="699">
        <f t="shared" si="27"/>
        <v>0</v>
      </c>
      <c r="AF37" s="699">
        <f t="shared" si="27"/>
        <v>0</v>
      </c>
      <c r="AG37" s="699">
        <f t="shared" si="27"/>
        <v>0</v>
      </c>
      <c r="AI37" s="698">
        <f t="shared" si="23"/>
        <v>0.1988</v>
      </c>
      <c r="AJ37" s="698"/>
      <c r="AK37" s="698"/>
      <c r="AL37" s="4" t="str">
        <f>$A37&amp;$C7&amp;InputSheet!C$42&amp;InputSheet!D$42</f>
        <v>Option Year 2ISOverheadContr</v>
      </c>
      <c r="AM37" s="700">
        <f t="shared" si="24"/>
        <v>0.1988</v>
      </c>
      <c r="AP37" s="387" t="str">
        <f t="shared" si="6"/>
        <v>0</v>
      </c>
    </row>
    <row r="38" spans="1:42">
      <c r="A38" s="6" t="str">
        <f t="shared" si="25"/>
        <v>Option Year 2</v>
      </c>
      <c r="B38" s="6" t="str">
        <f t="shared" si="21"/>
        <v>Overhead - Onsite</v>
      </c>
      <c r="E38" s="698">
        <f>IF(E35="",0,INDEX(Input_Range,MATCH((C7&amp;B38),Input_Call,0),MATCH(E35,Input_Header,0)))</f>
        <v>2.23E-2</v>
      </c>
      <c r="F38" s="698">
        <f>IF(F35="",0,INDEX(Input_Range,MATCH((C7&amp;B38),Input_Call,0),MATCH(F35,Input_Header,0)))</f>
        <v>2.23E-2</v>
      </c>
      <c r="G38" s="698">
        <f>IF(G35="",0,INDEX(Input_Range,MATCH((C7&amp;B38),Input_Call,0),MATCH(G35,Input_Header,0)))</f>
        <v>2.23E-2</v>
      </c>
      <c r="H38" s="698">
        <f>IF(H35="",0,INDEX(Input_Range,MATCH((C7&amp;B38),Input_Call,0),MATCH(H35,Input_Header,0)))</f>
        <v>2.23E-2</v>
      </c>
      <c r="I38" s="698">
        <f>IF(I35="",0,INDEX(Input_Range,MATCH((C7&amp;B38),Input_Call,0),MATCH(I35,Input_Header,0)))</f>
        <v>2.23E-2</v>
      </c>
      <c r="J38" s="698">
        <f>IF(J35="",0,INDEX(Input_Range,MATCH((C7&amp;B38),Input_Call,0),MATCH(J35,Input_Header,0)))</f>
        <v>2.23E-2</v>
      </c>
      <c r="K38" s="698">
        <f>IF(K35="",0,INDEX(Input_Range,MATCH((C7&amp;B38),Input_Call,0),MATCH(K35,Input_Header,0)))</f>
        <v>2.23E-2</v>
      </c>
      <c r="L38" s="698">
        <f>IF(L35="",0,INDEX(Input_Range,MATCH((C7&amp;B38),Input_Call,0),MATCH(L35,Input_Header,0)))</f>
        <v>2.23E-2</v>
      </c>
      <c r="M38" s="698">
        <f>IF(M35="",0,INDEX(Input_Range,MATCH((C7&amp;B38),Input_Call,0),MATCH(M35,Input_Header,0)))</f>
        <v>2.23E-2</v>
      </c>
      <c r="N38" s="698">
        <f>IF(N35="",0,INDEX(Input_Range,MATCH((C7&amp;B38),Input_Call,0),MATCH(N35,Input_Header,0)))</f>
        <v>2.23E-2</v>
      </c>
      <c r="O38" s="698">
        <f>IF(O35="",0,INDEX(Input_Range,MATCH((C7&amp;B38),Input_Call,0),MATCH(O35,Input_Header,0)))</f>
        <v>2.23E-2</v>
      </c>
      <c r="P38" s="698">
        <f>IF(P35="",0,INDEX(Input_Range,MATCH((C7&amp;B38),Input_Call,0),MATCH(P35,Input_Header,0)))</f>
        <v>2.23E-2</v>
      </c>
      <c r="Q38" s="698">
        <f>IF(Q35="",0,INDEX(Input_Range,MATCH((C7&amp;B38),Input_Call,0),MATCH(Q35,Input_Header,0)))</f>
        <v>2.23E-2</v>
      </c>
      <c r="R38" s="698">
        <f t="shared" si="26"/>
        <v>2.23E-2</v>
      </c>
      <c r="T38" s="699">
        <f t="shared" si="27"/>
        <v>0</v>
      </c>
      <c r="U38" s="699">
        <f t="shared" si="27"/>
        <v>0</v>
      </c>
      <c r="V38" s="699">
        <f t="shared" si="27"/>
        <v>0</v>
      </c>
      <c r="W38" s="699">
        <f t="shared" si="27"/>
        <v>8</v>
      </c>
      <c r="X38" s="699">
        <f t="shared" si="27"/>
        <v>0</v>
      </c>
      <c r="Y38" s="699">
        <f t="shared" si="27"/>
        <v>0</v>
      </c>
      <c r="Z38" s="699">
        <f t="shared" si="27"/>
        <v>0</v>
      </c>
      <c r="AA38" s="699">
        <f t="shared" si="27"/>
        <v>0</v>
      </c>
      <c r="AB38" s="699">
        <f t="shared" si="27"/>
        <v>0</v>
      </c>
      <c r="AC38" s="699">
        <f t="shared" si="27"/>
        <v>0</v>
      </c>
      <c r="AD38" s="699">
        <f t="shared" si="27"/>
        <v>0</v>
      </c>
      <c r="AE38" s="699">
        <f t="shared" si="27"/>
        <v>0</v>
      </c>
      <c r="AF38" s="699">
        <f t="shared" si="27"/>
        <v>0</v>
      </c>
      <c r="AG38" s="699">
        <f t="shared" si="27"/>
        <v>0</v>
      </c>
      <c r="AI38" s="698">
        <f t="shared" si="23"/>
        <v>2.23E-2</v>
      </c>
      <c r="AJ38" s="698"/>
      <c r="AK38" s="698"/>
      <c r="AL38" s="4" t="str">
        <f>$A38&amp;$C7&amp;InputSheet!C$43&amp;InputSheet!D$43</f>
        <v>Option Year 2ISOverheadGovt</v>
      </c>
      <c r="AM38" s="700">
        <f t="shared" si="24"/>
        <v>2.23E-2</v>
      </c>
      <c r="AP38" s="387" t="str">
        <f t="shared" si="6"/>
        <v>1</v>
      </c>
    </row>
    <row r="39" spans="1:42">
      <c r="A39" s="6" t="str">
        <f t="shared" si="25"/>
        <v>Option Year 2</v>
      </c>
      <c r="B39" s="6" t="str">
        <f t="shared" si="21"/>
        <v>Material Handling</v>
      </c>
      <c r="E39" s="698">
        <f>IF(E35="",0,INDEX(Input_Range,MATCH((C7&amp;B39),Input_Call,0),MATCH(E35,Input_Header,0)))</f>
        <v>3.1699999999999999E-2</v>
      </c>
      <c r="F39" s="698">
        <f>IF(F35="",0,INDEX(Input_Range,MATCH((C7&amp;B39),Input_Call,0),MATCH(F35,Input_Header,0)))</f>
        <v>3.0700000000000002E-2</v>
      </c>
      <c r="G39" s="698">
        <f>IF(G35="",0,INDEX(Input_Range,MATCH((C7&amp;B39),Input_Call,0),MATCH(G35,Input_Header,0)))</f>
        <v>2.9700000000000001E-2</v>
      </c>
      <c r="H39" s="698">
        <f>IF(H35="",0,INDEX(Input_Range,MATCH((C7&amp;B39),Input_Call,0),MATCH(H35,Input_Header,0)))</f>
        <v>2.8799999999999999E-2</v>
      </c>
      <c r="I39" s="698">
        <f>IF(I35="",0,INDEX(Input_Range,MATCH((C7&amp;B39),Input_Call,0),MATCH(I35,Input_Header,0)))</f>
        <v>2.8000000000000001E-2</v>
      </c>
      <c r="J39" s="698">
        <f>IF(J35="",0,INDEX(Input_Range,MATCH((C7&amp;B39),Input_Call,0),MATCH(J35,Input_Header,0)))</f>
        <v>2.8000000000000001E-2</v>
      </c>
      <c r="K39" s="698">
        <f>IF(K35="",0,INDEX(Input_Range,MATCH((C7&amp;B39),Input_Call,0),MATCH(K35,Input_Header,0)))</f>
        <v>2.8000000000000001E-2</v>
      </c>
      <c r="L39" s="698">
        <f>IF(L35="",0,INDEX(Input_Range,MATCH((C7&amp;B39),Input_Call,0),MATCH(L35,Input_Header,0)))</f>
        <v>2.8000000000000001E-2</v>
      </c>
      <c r="M39" s="698">
        <f>IF(M35="",0,INDEX(Input_Range,MATCH((C7&amp;B39),Input_Call,0),MATCH(M35,Input_Header,0)))</f>
        <v>2.8000000000000001E-2</v>
      </c>
      <c r="N39" s="698">
        <f>IF(N35="",0,INDEX(Input_Range,MATCH((C7&amp;B39),Input_Call,0),MATCH(N35,Input_Header,0)))</f>
        <v>2.8000000000000001E-2</v>
      </c>
      <c r="O39" s="698">
        <f>IF(O35="",0,INDEX(Input_Range,MATCH((C7&amp;B39),Input_Call,0),MATCH(O35,Input_Header,0)))</f>
        <v>2.8000000000000001E-2</v>
      </c>
      <c r="P39" s="698">
        <f>IF(P35="",0,INDEX(Input_Range,MATCH((C7&amp;B39),Input_Call,0),MATCH(P35,Input_Header,0)))</f>
        <v>2.8000000000000001E-2</v>
      </c>
      <c r="Q39" s="698">
        <f>IF(Q35="",0,INDEX(Input_Range,MATCH((C7&amp;B39),Input_Call,0),MATCH(Q35,Input_Header,0)))</f>
        <v>2.8000000000000001E-2</v>
      </c>
      <c r="R39" s="698">
        <f t="shared" si="26"/>
        <v>2.8000000000000001E-2</v>
      </c>
      <c r="T39" s="699">
        <f t="shared" si="27"/>
        <v>0</v>
      </c>
      <c r="U39" s="699">
        <f t="shared" si="27"/>
        <v>0</v>
      </c>
      <c r="V39" s="699">
        <f t="shared" si="27"/>
        <v>0</v>
      </c>
      <c r="W39" s="699">
        <f t="shared" si="27"/>
        <v>8</v>
      </c>
      <c r="X39" s="699">
        <f t="shared" si="27"/>
        <v>0</v>
      </c>
      <c r="Y39" s="699">
        <f t="shared" si="27"/>
        <v>0</v>
      </c>
      <c r="Z39" s="699">
        <f t="shared" si="27"/>
        <v>0</v>
      </c>
      <c r="AA39" s="699">
        <f t="shared" si="27"/>
        <v>0</v>
      </c>
      <c r="AB39" s="699">
        <f t="shared" si="27"/>
        <v>0</v>
      </c>
      <c r="AC39" s="699">
        <f t="shared" si="27"/>
        <v>0</v>
      </c>
      <c r="AD39" s="699">
        <f t="shared" si="27"/>
        <v>0</v>
      </c>
      <c r="AE39" s="699">
        <f t="shared" si="27"/>
        <v>0</v>
      </c>
      <c r="AF39" s="699">
        <f t="shared" si="27"/>
        <v>0</v>
      </c>
      <c r="AG39" s="699">
        <f t="shared" si="27"/>
        <v>0</v>
      </c>
      <c r="AI39" s="698">
        <f t="shared" si="23"/>
        <v>2.8799999999999999E-2</v>
      </c>
      <c r="AJ39" s="698"/>
      <c r="AK39" s="698"/>
      <c r="AL39" s="4" t="str">
        <f>$A39&amp;$C7&amp;InputSheet!C$44&amp;InputSheet!D$44</f>
        <v>Option Year 2ISMHContr/Govt</v>
      </c>
      <c r="AM39" s="700">
        <f t="shared" si="24"/>
        <v>2.8799999999999999E-2</v>
      </c>
      <c r="AP39" s="387" t="str">
        <f t="shared" si="6"/>
        <v>0</v>
      </c>
    </row>
    <row r="40" spans="1:42">
      <c r="A40" s="6" t="str">
        <f t="shared" si="25"/>
        <v>Option Year 2</v>
      </c>
      <c r="B40" s="6" t="str">
        <f t="shared" si="21"/>
        <v>G&amp;A</v>
      </c>
      <c r="E40" s="698">
        <f>IF(E35="",0,INDEX(Input_Range,MATCH((C7&amp;B40),Input_Call,0),MATCH(E35,Input_Header,0)))</f>
        <v>9.7500000000000003E-2</v>
      </c>
      <c r="F40" s="698">
        <f>IF(F35="",0,INDEX(Input_Range,MATCH((C7&amp;B40),Input_Call,0),MATCH(F35,Input_Header,0)))</f>
        <v>9.4700000000000006E-2</v>
      </c>
      <c r="G40" s="698">
        <f>IF(G35="",0,INDEX(Input_Range,MATCH((C7&amp;B40),Input_Call,0),MATCH(G35,Input_Header,0)))</f>
        <v>9.1999999999999998E-2</v>
      </c>
      <c r="H40" s="698">
        <f>IF(H35="",0,INDEX(Input_Range,MATCH((C7&amp;B40),Input_Call,0),MATCH(H35,Input_Header,0)))</f>
        <v>8.9499999999999996E-2</v>
      </c>
      <c r="I40" s="698">
        <f>IF(I35="",0,INDEX(Input_Range,MATCH((C7&amp;B40),Input_Call,0),MATCH(I35,Input_Header,0)))</f>
        <v>8.7099999999999997E-2</v>
      </c>
      <c r="J40" s="698">
        <f>IF(J35="",0,INDEX(Input_Range,MATCH((C7&amp;B40),Input_Call,0),MATCH(J35,Input_Header,0)))</f>
        <v>8.7099999999999997E-2</v>
      </c>
      <c r="K40" s="698">
        <f>IF(K35="",0,INDEX(Input_Range,MATCH((C7&amp;B40),Input_Call,0),MATCH(K35,Input_Header,0)))</f>
        <v>8.7099999999999997E-2</v>
      </c>
      <c r="L40" s="698">
        <f>IF(L35="",0,INDEX(Input_Range,MATCH((C7&amp;B40),Input_Call,0),MATCH(L35,Input_Header,0)))</f>
        <v>8.7099999999999997E-2</v>
      </c>
      <c r="M40" s="698">
        <f>IF(M35="",0,INDEX(Input_Range,MATCH((C7&amp;B40),Input_Call,0),MATCH(M35,Input_Header,0)))</f>
        <v>8.7099999999999997E-2</v>
      </c>
      <c r="N40" s="698">
        <f>IF(N35="",0,INDEX(Input_Range,MATCH((C7&amp;B40),Input_Call,0),MATCH(N35,Input_Header,0)))</f>
        <v>8.7099999999999997E-2</v>
      </c>
      <c r="O40" s="698">
        <f>IF(O35="",0,INDEX(Input_Range,MATCH((C7&amp;B40),Input_Call,0),MATCH(O35,Input_Header,0)))</f>
        <v>8.7099999999999997E-2</v>
      </c>
      <c r="P40" s="698">
        <f>IF(P35="",0,INDEX(Input_Range,MATCH((C7&amp;B40),Input_Call,0),MATCH(P35,Input_Header,0)))</f>
        <v>8.7099999999999997E-2</v>
      </c>
      <c r="Q40" s="698">
        <f>IF(Q35="",0,INDEX(Input_Range,MATCH((C7&amp;B40),Input_Call,0),MATCH(Q35,Input_Header,0)))</f>
        <v>8.7099999999999997E-2</v>
      </c>
      <c r="R40" s="698">
        <f t="shared" si="26"/>
        <v>8.7099999999999997E-2</v>
      </c>
      <c r="T40" s="699">
        <f t="shared" si="27"/>
        <v>0</v>
      </c>
      <c r="U40" s="699">
        <f t="shared" si="27"/>
        <v>0</v>
      </c>
      <c r="V40" s="699">
        <f t="shared" si="27"/>
        <v>0</v>
      </c>
      <c r="W40" s="699">
        <f t="shared" si="27"/>
        <v>8</v>
      </c>
      <c r="X40" s="699">
        <f t="shared" si="27"/>
        <v>0</v>
      </c>
      <c r="Y40" s="699">
        <f t="shared" si="27"/>
        <v>0</v>
      </c>
      <c r="Z40" s="699">
        <f t="shared" si="27"/>
        <v>0</v>
      </c>
      <c r="AA40" s="699">
        <f t="shared" si="27"/>
        <v>0</v>
      </c>
      <c r="AB40" s="699">
        <f t="shared" si="27"/>
        <v>0</v>
      </c>
      <c r="AC40" s="699">
        <f t="shared" si="27"/>
        <v>0</v>
      </c>
      <c r="AD40" s="699">
        <f t="shared" si="27"/>
        <v>0</v>
      </c>
      <c r="AE40" s="699">
        <f t="shared" si="27"/>
        <v>0</v>
      </c>
      <c r="AF40" s="699">
        <f t="shared" si="27"/>
        <v>0</v>
      </c>
      <c r="AG40" s="699">
        <f t="shared" si="27"/>
        <v>0</v>
      </c>
      <c r="AI40" s="698">
        <f t="shared" si="23"/>
        <v>8.9499999999999996E-2</v>
      </c>
      <c r="AJ40" s="698"/>
      <c r="AK40" s="698"/>
      <c r="AL40" s="4" t="str">
        <f>$A40&amp;$C7&amp;InputSheet!C$45&amp;InputSheet!D$45</f>
        <v>Option Year 2ISG&amp;AContr/Govt</v>
      </c>
      <c r="AM40" s="700">
        <f t="shared" si="24"/>
        <v>8.9499999999999996E-2</v>
      </c>
      <c r="AP40" s="387" t="str">
        <f t="shared" si="6"/>
        <v>1</v>
      </c>
    </row>
    <row r="41" spans="1:42" outlineLevel="1">
      <c r="A41" s="6" t="str">
        <f t="shared" si="25"/>
        <v>Option Year 2</v>
      </c>
      <c r="B41" s="6" t="str">
        <f t="shared" si="21"/>
        <v>TBD1</v>
      </c>
      <c r="E41" s="21">
        <f>IF(E35="",0,INDEX(Input_Range,MATCH((C7&amp;B41),Input_Call,0),MATCH(E35,Input_Header,0)))</f>
        <v>0</v>
      </c>
      <c r="F41" s="21">
        <f>IF(F35="",0,INDEX(Input_Range,MATCH((C7&amp;B41),Input_Call,0),MATCH(F35,Input_Header,0)))</f>
        <v>0</v>
      </c>
      <c r="G41" s="21">
        <f>IF(G35="",0,INDEX(Input_Range,MATCH((C7&amp;B41),Input_Call,0),MATCH(G35,Input_Header,0)))</f>
        <v>0</v>
      </c>
      <c r="H41" s="21">
        <f>IF(H35="",0,INDEX(Input_Range,MATCH((C7&amp;B41),Input_Call,0),MATCH(H35,Input_Header,0)))</f>
        <v>0</v>
      </c>
      <c r="I41" s="21">
        <f>IF(I35="",0,INDEX(Input_Range,MATCH((C7&amp;B41),Input_Call,0),MATCH(I35,Input_Header,0)))</f>
        <v>0</v>
      </c>
      <c r="J41" s="21">
        <f>IF(J35="",0,INDEX(Input_Range,MATCH((C7&amp;B41),Input_Call,0),MATCH(J35,Input_Header,0)))</f>
        <v>0</v>
      </c>
      <c r="K41" s="21">
        <f>IF(K35="",0,INDEX(Input_Range,MATCH((C7&amp;B41),Input_Call,0),MATCH(K35,Input_Header,0)))</f>
        <v>0</v>
      </c>
      <c r="L41" s="21">
        <f>IF(L35="",0,INDEX(Input_Range,MATCH((C7&amp;B41),Input_Call,0),MATCH(L35,Input_Header,0)))</f>
        <v>0</v>
      </c>
      <c r="M41" s="21">
        <f>IF(M35="",0,INDEX(Input_Range,MATCH((C7&amp;B41),Input_Call,0),MATCH(M35,Input_Header,0)))</f>
        <v>0</v>
      </c>
      <c r="N41" s="21">
        <f>IF(N35="",0,INDEX(Input_Range,MATCH((C7&amp;B41),Input_Call,0),MATCH(N35,Input_Header,0)))</f>
        <v>0</v>
      </c>
      <c r="O41" s="21">
        <f>IF(O35="",0,INDEX(Input_Range,MATCH((C7&amp;B41),Input_Call,0),MATCH(O35,Input_Header,0)))</f>
        <v>0</v>
      </c>
      <c r="P41" s="21">
        <f>IF(P35="",0,INDEX(Input_Range,MATCH((C7&amp;B41),Input_Call,0),MATCH(P35,Input_Header,0)))</f>
        <v>0</v>
      </c>
      <c r="Q41" s="21">
        <f>IF(Q35="",0,INDEX(Input_Range,MATCH((C7&amp;B41),Input_Call,0),MATCH(Q35,Input_Header,0)))</f>
        <v>0</v>
      </c>
      <c r="R41" s="698">
        <f t="shared" si="26"/>
        <v>0</v>
      </c>
      <c r="T41" s="699">
        <f t="shared" si="27"/>
        <v>0</v>
      </c>
      <c r="U41" s="699">
        <f t="shared" si="27"/>
        <v>0</v>
      </c>
      <c r="V41" s="699">
        <f t="shared" si="27"/>
        <v>0</v>
      </c>
      <c r="W41" s="699">
        <f t="shared" si="27"/>
        <v>8</v>
      </c>
      <c r="X41" s="699">
        <f t="shared" si="27"/>
        <v>0</v>
      </c>
      <c r="Y41" s="699">
        <f t="shared" si="27"/>
        <v>0</v>
      </c>
      <c r="Z41" s="699">
        <f t="shared" si="27"/>
        <v>0</v>
      </c>
      <c r="AA41" s="699">
        <f t="shared" si="27"/>
        <v>0</v>
      </c>
      <c r="AB41" s="699">
        <f t="shared" si="27"/>
        <v>0</v>
      </c>
      <c r="AC41" s="699">
        <f t="shared" si="27"/>
        <v>0</v>
      </c>
      <c r="AD41" s="699">
        <f t="shared" si="27"/>
        <v>0</v>
      </c>
      <c r="AE41" s="699">
        <f t="shared" si="27"/>
        <v>0</v>
      </c>
      <c r="AF41" s="699">
        <f t="shared" si="27"/>
        <v>0</v>
      </c>
      <c r="AG41" s="699">
        <f t="shared" si="27"/>
        <v>0</v>
      </c>
      <c r="AI41" s="698">
        <f t="shared" si="23"/>
        <v>0</v>
      </c>
      <c r="AJ41" s="21"/>
      <c r="AK41" s="21"/>
      <c r="AL41" s="4" t="str">
        <f>$A41&amp;$C7&amp;InputSheet!C$46&amp;InputSheet!D$46</f>
        <v>Option Year 2ISTBD1Contr/Govt</v>
      </c>
      <c r="AM41" s="700">
        <f t="shared" si="24"/>
        <v>0</v>
      </c>
      <c r="AP41" s="387" t="str">
        <f t="shared" si="6"/>
        <v>0</v>
      </c>
    </row>
    <row r="42" spans="1:42" outlineLevel="1">
      <c r="A42" s="6" t="str">
        <f t="shared" si="25"/>
        <v>Option Year 2</v>
      </c>
      <c r="B42" s="6" t="str">
        <f t="shared" si="21"/>
        <v>TBD2</v>
      </c>
      <c r="E42" s="21">
        <f>IF(E35="",0,INDEX(Input_Range,MATCH((C7&amp;B42),Input_Call,0),MATCH(E35,Input_Header,0)))</f>
        <v>0</v>
      </c>
      <c r="F42" s="21">
        <f>IF(F35="",0,INDEX(Input_Range,MATCH((C7&amp;B42),Input_Call,0),MATCH(F35,Input_Header,0)))</f>
        <v>0</v>
      </c>
      <c r="G42" s="21">
        <f>IF(G35="",0,INDEX(Input_Range,MATCH((C7&amp;B42),Input_Call,0),MATCH(G35,Input_Header,0)))</f>
        <v>0</v>
      </c>
      <c r="H42" s="21">
        <f>IF(H35="",0,INDEX(Input_Range,MATCH((C7&amp;B42),Input_Call,0),MATCH(H35,Input_Header,0)))</f>
        <v>0</v>
      </c>
      <c r="I42" s="21">
        <f>IF(I35="",0,INDEX(Input_Range,MATCH((C7&amp;B42),Input_Call,0),MATCH(I35,Input_Header,0)))</f>
        <v>0</v>
      </c>
      <c r="J42" s="21">
        <f>IF(J35="",0,INDEX(Input_Range,MATCH((C7&amp;B42),Input_Call,0),MATCH(J35,Input_Header,0)))</f>
        <v>0</v>
      </c>
      <c r="K42" s="21">
        <f>IF(K35="",0,INDEX(Input_Range,MATCH((C7&amp;B42),Input_Call,0),MATCH(K35,Input_Header,0)))</f>
        <v>0</v>
      </c>
      <c r="L42" s="21">
        <f>IF(L35="",0,INDEX(Input_Range,MATCH((C7&amp;B42),Input_Call,0),MATCH(L35,Input_Header,0)))</f>
        <v>0</v>
      </c>
      <c r="M42" s="21">
        <f>IF(M35="",0,INDEX(Input_Range,MATCH((C7&amp;B42),Input_Call,0),MATCH(M35,Input_Header,0)))</f>
        <v>0</v>
      </c>
      <c r="N42" s="21">
        <f>IF(N35="",0,INDEX(Input_Range,MATCH((C7&amp;B42),Input_Call,0),MATCH(N35,Input_Header,0)))</f>
        <v>0</v>
      </c>
      <c r="O42" s="21">
        <f>IF(O35="",0,INDEX(Input_Range,MATCH((C7&amp;B42),Input_Call,0),MATCH(O35,Input_Header,0)))</f>
        <v>0</v>
      </c>
      <c r="P42" s="21">
        <f>IF(P35="",0,INDEX(Input_Range,MATCH((C7&amp;B42),Input_Call,0),MATCH(P35,Input_Header,0)))</f>
        <v>0</v>
      </c>
      <c r="Q42" s="21">
        <f>IF(Q35="",0,INDEX(Input_Range,MATCH((C7&amp;B42),Input_Call,0),MATCH(Q35,Input_Header,0)))</f>
        <v>0</v>
      </c>
      <c r="R42" s="698">
        <f t="shared" si="26"/>
        <v>0</v>
      </c>
      <c r="T42" s="699">
        <f t="shared" si="27"/>
        <v>0</v>
      </c>
      <c r="U42" s="699">
        <f t="shared" si="27"/>
        <v>0</v>
      </c>
      <c r="V42" s="699">
        <f t="shared" si="27"/>
        <v>0</v>
      </c>
      <c r="W42" s="699">
        <f t="shared" si="27"/>
        <v>8</v>
      </c>
      <c r="X42" s="699">
        <f t="shared" si="27"/>
        <v>0</v>
      </c>
      <c r="Y42" s="699">
        <f t="shared" si="27"/>
        <v>0</v>
      </c>
      <c r="Z42" s="699">
        <f t="shared" si="27"/>
        <v>0</v>
      </c>
      <c r="AA42" s="699">
        <f t="shared" si="27"/>
        <v>0</v>
      </c>
      <c r="AB42" s="699">
        <f t="shared" si="27"/>
        <v>0</v>
      </c>
      <c r="AC42" s="699">
        <f t="shared" si="27"/>
        <v>0</v>
      </c>
      <c r="AD42" s="699">
        <f t="shared" si="27"/>
        <v>0</v>
      </c>
      <c r="AE42" s="699">
        <f t="shared" si="27"/>
        <v>0</v>
      </c>
      <c r="AF42" s="699">
        <f t="shared" si="27"/>
        <v>0</v>
      </c>
      <c r="AG42" s="699">
        <f t="shared" si="27"/>
        <v>0</v>
      </c>
      <c r="AI42" s="698">
        <f t="shared" si="23"/>
        <v>0</v>
      </c>
      <c r="AJ42" s="21"/>
      <c r="AK42" s="21"/>
      <c r="AL42" s="4" t="str">
        <f>$A42&amp;$C7&amp;InputSheet!C$47&amp;InputSheet!D$47</f>
        <v>Option Year 2ISTBD2Contr/Govt</v>
      </c>
      <c r="AM42" s="700">
        <f t="shared" si="24"/>
        <v>0</v>
      </c>
      <c r="AP42" s="387" t="str">
        <f t="shared" si="6"/>
        <v>0</v>
      </c>
    </row>
    <row r="43" spans="1:42" outlineLevel="1">
      <c r="A43" s="6" t="str">
        <f t="shared" si="25"/>
        <v>Option Year 2</v>
      </c>
      <c r="B43" s="6" t="str">
        <f t="shared" si="21"/>
        <v>TBD3</v>
      </c>
      <c r="E43" s="21">
        <f>IF(E35="",0,INDEX(Input_Range,MATCH((C7&amp;B43),Input_Call,0),MATCH(E35,Input_Header,0)))</f>
        <v>0</v>
      </c>
      <c r="F43" s="21">
        <f>IF(F35="",0,INDEX(Input_Range,MATCH((C7&amp;B43),Input_Call,0),MATCH(F35,Input_Header,0)))</f>
        <v>0</v>
      </c>
      <c r="G43" s="21">
        <f>IF(G35="",0,INDEX(Input_Range,MATCH((C7&amp;B43),Input_Call,0),MATCH(G35,Input_Header,0)))</f>
        <v>0</v>
      </c>
      <c r="H43" s="21">
        <f>IF(H35="",0,INDEX(Input_Range,MATCH((C7&amp;B43),Input_Call,0),MATCH(H35,Input_Header,0)))</f>
        <v>0</v>
      </c>
      <c r="I43" s="21">
        <f>IF(I35="",0,INDEX(Input_Range,MATCH((C7&amp;B43),Input_Call,0),MATCH(I35,Input_Header,0)))</f>
        <v>0</v>
      </c>
      <c r="J43" s="21">
        <f>IF(J35="",0,INDEX(Input_Range,MATCH((C7&amp;B43),Input_Call,0),MATCH(J35,Input_Header,0)))</f>
        <v>0</v>
      </c>
      <c r="K43" s="21">
        <f>IF(K35="",0,INDEX(Input_Range,MATCH((C7&amp;B43),Input_Call,0),MATCH(K35,Input_Header,0)))</f>
        <v>0</v>
      </c>
      <c r="L43" s="21">
        <f>IF(L35="",0,INDEX(Input_Range,MATCH((C7&amp;B43),Input_Call,0),MATCH(L35,Input_Header,0)))</f>
        <v>0</v>
      </c>
      <c r="M43" s="21">
        <f>IF(M35="",0,INDEX(Input_Range,MATCH((C7&amp;B43),Input_Call,0),MATCH(M35,Input_Header,0)))</f>
        <v>0</v>
      </c>
      <c r="N43" s="21">
        <f>IF(N35="",0,INDEX(Input_Range,MATCH((C7&amp;B43),Input_Call,0),MATCH(N35,Input_Header,0)))</f>
        <v>0</v>
      </c>
      <c r="O43" s="21">
        <f>IF(O35="",0,INDEX(Input_Range,MATCH((C7&amp;B43),Input_Call,0),MATCH(O35,Input_Header,0)))</f>
        <v>0</v>
      </c>
      <c r="P43" s="21">
        <f>IF(P35="",0,INDEX(Input_Range,MATCH((C7&amp;B43),Input_Call,0),MATCH(P35,Input_Header,0)))</f>
        <v>0</v>
      </c>
      <c r="Q43" s="21">
        <f>IF(Q35="",0,INDEX(Input_Range,MATCH((C7&amp;B43),Input_Call,0),MATCH(Q35,Input_Header,0)))</f>
        <v>0</v>
      </c>
      <c r="R43" s="698">
        <f t="shared" si="26"/>
        <v>0</v>
      </c>
      <c r="T43" s="699">
        <f t="shared" si="27"/>
        <v>0</v>
      </c>
      <c r="U43" s="699">
        <f t="shared" si="27"/>
        <v>0</v>
      </c>
      <c r="V43" s="699">
        <f t="shared" si="27"/>
        <v>0</v>
      </c>
      <c r="W43" s="699">
        <f t="shared" si="27"/>
        <v>8</v>
      </c>
      <c r="X43" s="699">
        <f t="shared" si="27"/>
        <v>0</v>
      </c>
      <c r="Y43" s="699">
        <f t="shared" si="27"/>
        <v>0</v>
      </c>
      <c r="Z43" s="699">
        <f t="shared" si="27"/>
        <v>0</v>
      </c>
      <c r="AA43" s="699">
        <f t="shared" si="27"/>
        <v>0</v>
      </c>
      <c r="AB43" s="699">
        <f t="shared" si="27"/>
        <v>0</v>
      </c>
      <c r="AC43" s="699">
        <f t="shared" si="27"/>
        <v>0</v>
      </c>
      <c r="AD43" s="699">
        <f t="shared" si="27"/>
        <v>0</v>
      </c>
      <c r="AE43" s="699">
        <f t="shared" si="27"/>
        <v>0</v>
      </c>
      <c r="AF43" s="699">
        <f t="shared" si="27"/>
        <v>0</v>
      </c>
      <c r="AG43" s="699">
        <f t="shared" si="27"/>
        <v>0</v>
      </c>
      <c r="AI43" s="698">
        <f t="shared" si="23"/>
        <v>0</v>
      </c>
      <c r="AJ43" s="21"/>
      <c r="AK43" s="21"/>
      <c r="AL43" s="4" t="str">
        <f>$A43&amp;$C7&amp;InputSheet!C$48&amp;InputSheet!D$48</f>
        <v>Option Year 2ISTBD3Contr/Govt</v>
      </c>
      <c r="AM43" s="700">
        <f t="shared" si="24"/>
        <v>0</v>
      </c>
      <c r="AP43" s="387" t="str">
        <f t="shared" si="6"/>
        <v>0</v>
      </c>
    </row>
    <row r="44" spans="1:42">
      <c r="E44" s="698"/>
      <c r="F44" s="698"/>
      <c r="G44" s="698"/>
      <c r="H44" s="698"/>
      <c r="I44" s="698"/>
      <c r="J44" s="698"/>
      <c r="K44" s="698"/>
      <c r="L44" s="698"/>
      <c r="M44" s="698"/>
      <c r="N44" s="698"/>
      <c r="O44" s="698"/>
      <c r="P44" s="698"/>
      <c r="Q44" s="698"/>
      <c r="R44" s="698"/>
      <c r="AI44" s="21"/>
      <c r="AJ44" s="21"/>
      <c r="AK44" s="21"/>
      <c r="AP44" s="387" t="str">
        <f t="shared" si="6"/>
        <v>1</v>
      </c>
    </row>
    <row r="45" spans="1:42">
      <c r="A45" s="530" t="str">
        <f>B45</f>
        <v>Training and Processing</v>
      </c>
      <c r="B45" s="691" t="str">
        <f>InputSheet!$C$25</f>
        <v>Training and Processing</v>
      </c>
      <c r="C45" s="28"/>
      <c r="AP45" s="387" t="str">
        <f t="shared" si="6"/>
        <v>1</v>
      </c>
    </row>
    <row r="46" spans="1:42">
      <c r="B46" s="314" t="s">
        <v>587</v>
      </c>
      <c r="C46" s="692" t="s">
        <v>588</v>
      </c>
      <c r="E46" s="1216" t="str">
        <f>"Indirect Rates - "&amp;C$7</f>
        <v>Indirect Rates - IS</v>
      </c>
      <c r="F46" s="1216"/>
      <c r="G46" s="1216"/>
      <c r="H46" s="1216"/>
      <c r="I46" s="1216"/>
      <c r="J46" s="1216"/>
      <c r="K46" s="1216"/>
      <c r="L46" s="1216"/>
      <c r="M46" s="1216"/>
      <c r="N46" s="1216"/>
      <c r="O46" s="1216"/>
      <c r="P46" s="1216"/>
      <c r="Q46" s="1216"/>
      <c r="R46" s="1216"/>
      <c r="S46" s="844"/>
      <c r="T46" s="1217" t="s">
        <v>794</v>
      </c>
      <c r="U46" s="1217"/>
      <c r="V46" s="1217"/>
      <c r="W46" s="1217"/>
      <c r="X46" s="1217"/>
      <c r="Y46" s="1217"/>
      <c r="Z46" s="1217"/>
      <c r="AA46" s="1217"/>
      <c r="AB46" s="1217"/>
      <c r="AC46" s="1217"/>
      <c r="AD46" s="1217"/>
      <c r="AE46" s="1217"/>
      <c r="AF46" s="1217"/>
      <c r="AG46" s="1217"/>
      <c r="AI46" s="692" t="s">
        <v>615</v>
      </c>
      <c r="AJ46" s="50"/>
      <c r="AK46" s="50"/>
      <c r="AP46" s="387" t="str">
        <f t="shared" si="6"/>
        <v>1</v>
      </c>
    </row>
    <row r="47" spans="1:42">
      <c r="B47" s="693">
        <f>VLOOKUP(A45,InputSheet!$C$8:$E$37,2,FALSE)</f>
        <v>40179</v>
      </c>
      <c r="C47" s="694">
        <f>VLOOKUP(A45,InputSheet!$C$8:$E$37,3,FALSE)</f>
        <v>41152</v>
      </c>
      <c r="E47" s="695">
        <f t="shared" ref="E47:R47" si="28">E35</f>
        <v>2009</v>
      </c>
      <c r="F47" s="695">
        <f t="shared" si="28"/>
        <v>2010</v>
      </c>
      <c r="G47" s="695">
        <f t="shared" si="28"/>
        <v>2011</v>
      </c>
      <c r="H47" s="695">
        <f t="shared" si="28"/>
        <v>2012</v>
      </c>
      <c r="I47" s="695">
        <f t="shared" si="28"/>
        <v>2013</v>
      </c>
      <c r="J47" s="695">
        <f t="shared" si="28"/>
        <v>2014</v>
      </c>
      <c r="K47" s="695">
        <f t="shared" si="28"/>
        <v>2015</v>
      </c>
      <c r="L47" s="695">
        <f t="shared" si="28"/>
        <v>2016</v>
      </c>
      <c r="M47" s="695">
        <f t="shared" si="28"/>
        <v>2017</v>
      </c>
      <c r="N47" s="695">
        <f t="shared" si="28"/>
        <v>2018</v>
      </c>
      <c r="O47" s="695">
        <f t="shared" si="28"/>
        <v>2019</v>
      </c>
      <c r="P47" s="695">
        <f t="shared" si="28"/>
        <v>2020</v>
      </c>
      <c r="Q47" s="695">
        <f t="shared" si="28"/>
        <v>2021</v>
      </c>
      <c r="R47" s="695">
        <f t="shared" si="28"/>
        <v>2022</v>
      </c>
      <c r="S47" s="680"/>
      <c r="T47" s="695">
        <f t="shared" ref="T47:AG47" si="29">T35</f>
        <v>2009</v>
      </c>
      <c r="U47" s="695">
        <f t="shared" si="29"/>
        <v>2010</v>
      </c>
      <c r="V47" s="695">
        <f t="shared" si="29"/>
        <v>2011</v>
      </c>
      <c r="W47" s="695">
        <f t="shared" si="29"/>
        <v>2012</v>
      </c>
      <c r="X47" s="695">
        <f t="shared" si="29"/>
        <v>2013</v>
      </c>
      <c r="Y47" s="695">
        <f t="shared" si="29"/>
        <v>2014</v>
      </c>
      <c r="Z47" s="695">
        <f t="shared" si="29"/>
        <v>2015</v>
      </c>
      <c r="AA47" s="695">
        <f t="shared" si="29"/>
        <v>2016</v>
      </c>
      <c r="AB47" s="695">
        <f t="shared" si="29"/>
        <v>2017</v>
      </c>
      <c r="AC47" s="695">
        <f t="shared" si="29"/>
        <v>2018</v>
      </c>
      <c r="AD47" s="695">
        <f t="shared" si="29"/>
        <v>2019</v>
      </c>
      <c r="AE47" s="695">
        <f t="shared" si="29"/>
        <v>2020</v>
      </c>
      <c r="AF47" s="695">
        <f t="shared" si="29"/>
        <v>2021</v>
      </c>
      <c r="AG47" s="695">
        <f t="shared" si="29"/>
        <v>2022</v>
      </c>
      <c r="AI47" s="696" t="str">
        <f>B45</f>
        <v>Training and Processing</v>
      </c>
      <c r="AJ47" s="28"/>
      <c r="AK47" s="28"/>
      <c r="AP47" s="387" t="str">
        <f t="shared" si="6"/>
        <v>1</v>
      </c>
    </row>
    <row r="48" spans="1:42">
      <c r="A48" s="6" t="str">
        <f>A45</f>
        <v>Training and Processing</v>
      </c>
      <c r="B48" s="6" t="str">
        <f t="shared" ref="B48:B55" si="30">B36</f>
        <v>PRB</v>
      </c>
      <c r="E48" s="698">
        <f>IF(E47="",0,INDEX(Input_Range,MATCH((C7&amp;B48),Input_Call,0),MATCH(E47,Input_Header,0)))</f>
        <v>0.31240000000000001</v>
      </c>
      <c r="F48" s="698">
        <f>IF(F47="",0,INDEX(Input_Range,MATCH((C7&amp;B48),Input_Call,0),MATCH(F47,Input_Header,0)))</f>
        <v>0.31240000000000001</v>
      </c>
      <c r="G48" s="698">
        <f>IF(G47="",0,INDEX(Input_Range,MATCH((C7&amp;B48),Input_Call,0),MATCH(G47,Input_Header,0)))</f>
        <v>0.31240000000000001</v>
      </c>
      <c r="H48" s="698">
        <f>IF(H47="",0,INDEX(Input_Range,MATCH((C7&amp;B48),Input_Call,0),MATCH(H47,Input_Header,0)))</f>
        <v>0.31240000000000001</v>
      </c>
      <c r="I48" s="698">
        <f>IF(I47="",0,INDEX(Input_Range,MATCH((C7&amp;B48),Input_Call,0),MATCH(I47,Input_Header,0)))</f>
        <v>0.31240000000000001</v>
      </c>
      <c r="J48" s="698">
        <f>IF(J47="",0,INDEX(Input_Range,MATCH((C7&amp;B48),Input_Call,0),MATCH(J47,Input_Header,0)))</f>
        <v>0.31240000000000001</v>
      </c>
      <c r="K48" s="698">
        <f>IF(K47="",0,INDEX(Input_Range,MATCH((C7&amp;B48),Input_Call,0),MATCH(K47,Input_Header,0)))</f>
        <v>0.31240000000000001</v>
      </c>
      <c r="L48" s="698">
        <f>IF(L47="",0,INDEX(Input_Range,MATCH((C7&amp;B48),Input_Call,0),MATCH(L47,Input_Header,0)))</f>
        <v>0.31240000000000001</v>
      </c>
      <c r="M48" s="698">
        <f>IF(M47="",0,INDEX(Input_Range,MATCH((C7&amp;B48),Input_Call,0),MATCH(M47,Input_Header,0)))</f>
        <v>0.31240000000000001</v>
      </c>
      <c r="N48" s="698">
        <f>IF(N47="",0,INDEX(Input_Range,MATCH((C7&amp;B48),Input_Call,0),MATCH(N47,Input_Header,0)))</f>
        <v>0.31240000000000001</v>
      </c>
      <c r="O48" s="698">
        <f>IF(O47="",0,INDEX(Input_Range,MATCH((C7&amp;B48),Input_Call,0),MATCH(O47,Input_Header,0)))</f>
        <v>0.31240000000000001</v>
      </c>
      <c r="P48" s="698">
        <f>IF(P47="",0,INDEX(Input_Range,MATCH((C7&amp;B48),Input_Call,0),MATCH(P47,Input_Header,0)))</f>
        <v>0.31240000000000001</v>
      </c>
      <c r="Q48" s="698">
        <f>IF(Q47="",0,INDEX(Input_Range,MATCH((C7&amp;B48),Input_Call,0),MATCH(Q47,Input_Header,0)))</f>
        <v>0.31240000000000001</v>
      </c>
      <c r="R48" s="698">
        <f>Q48</f>
        <v>0.31240000000000001</v>
      </c>
      <c r="T48" s="699">
        <f t="shared" ref="T48:AG48" si="31">ROUND((MAX(0,(MIN($C47,DATE(T47,12,31))-MAX($B47,DATE(T47,1,1))+1)))/30.41667,0)</f>
        <v>0</v>
      </c>
      <c r="U48" s="699">
        <f t="shared" si="31"/>
        <v>12</v>
      </c>
      <c r="V48" s="699">
        <f t="shared" si="31"/>
        <v>12</v>
      </c>
      <c r="W48" s="699">
        <f t="shared" si="31"/>
        <v>8</v>
      </c>
      <c r="X48" s="699">
        <f t="shared" si="31"/>
        <v>0</v>
      </c>
      <c r="Y48" s="699">
        <f t="shared" si="31"/>
        <v>0</v>
      </c>
      <c r="Z48" s="699">
        <f t="shared" si="31"/>
        <v>0</v>
      </c>
      <c r="AA48" s="699">
        <f t="shared" si="31"/>
        <v>0</v>
      </c>
      <c r="AB48" s="699">
        <f t="shared" si="31"/>
        <v>0</v>
      </c>
      <c r="AC48" s="699">
        <f t="shared" si="31"/>
        <v>0</v>
      </c>
      <c r="AD48" s="699">
        <f t="shared" si="31"/>
        <v>0</v>
      </c>
      <c r="AE48" s="699">
        <f t="shared" si="31"/>
        <v>0</v>
      </c>
      <c r="AF48" s="699">
        <f t="shared" si="31"/>
        <v>0</v>
      </c>
      <c r="AG48" s="699">
        <f t="shared" si="31"/>
        <v>0</v>
      </c>
      <c r="AI48" s="698">
        <f t="shared" ref="AI48:AI55" si="32">ROUND(SUMPRODUCT(E48:R48,T48:AG48)/SUM(T48:AG48),4)</f>
        <v>0.31240000000000001</v>
      </c>
      <c r="AJ48" s="698"/>
      <c r="AK48" s="698"/>
      <c r="AL48" s="4" t="str">
        <f>$A48&amp;$C7&amp;InputSheet!C$41&amp;InputSheet!D$41</f>
        <v>Training and ProcessingISPRBContr/Govt</v>
      </c>
      <c r="AM48" s="700">
        <f t="shared" ref="AM48:AM55" si="33">AI48</f>
        <v>0.31240000000000001</v>
      </c>
      <c r="AP48" s="387" t="str">
        <f t="shared" si="6"/>
        <v>1</v>
      </c>
    </row>
    <row r="49" spans="1:42">
      <c r="A49" s="6" t="str">
        <f t="shared" ref="A49:A55" si="34">A48</f>
        <v>Training and Processing</v>
      </c>
      <c r="B49" s="6" t="str">
        <f t="shared" si="30"/>
        <v>Overhead - Offsite</v>
      </c>
      <c r="E49" s="698">
        <f>IF(E47="",0,INDEX(Input_Range,MATCH((C7&amp;B49),Input_Call,0),MATCH(E47,Input_Header,0)))</f>
        <v>0.1988</v>
      </c>
      <c r="F49" s="698">
        <f>IF(F47="",0,INDEX(Input_Range,MATCH((C7&amp;B49),Input_Call,0),MATCH(F47,Input_Header,0)))</f>
        <v>0.1988</v>
      </c>
      <c r="G49" s="698">
        <f>IF(G47="",0,INDEX(Input_Range,MATCH((C7&amp;B49),Input_Call,0),MATCH(G47,Input_Header,0)))</f>
        <v>0.1988</v>
      </c>
      <c r="H49" s="698">
        <f>IF(H47="",0,INDEX(Input_Range,MATCH((C7&amp;B49),Input_Call,0),MATCH(H47,Input_Header,0)))</f>
        <v>0.1988</v>
      </c>
      <c r="I49" s="698">
        <f>IF(I47="",0,INDEX(Input_Range,MATCH((C7&amp;B49),Input_Call,0),MATCH(I47,Input_Header,0)))</f>
        <v>0.1988</v>
      </c>
      <c r="J49" s="698">
        <f>IF(J47="",0,INDEX(Input_Range,MATCH((C7&amp;B49),Input_Call,0),MATCH(J47,Input_Header,0)))</f>
        <v>0.1988</v>
      </c>
      <c r="K49" s="698">
        <f>IF(K47="",0,INDEX(Input_Range,MATCH((C7&amp;B49),Input_Call,0),MATCH(K47,Input_Header,0)))</f>
        <v>0.1988</v>
      </c>
      <c r="L49" s="698">
        <f>IF(L47="",0,INDEX(Input_Range,MATCH((C7&amp;B49),Input_Call,0),MATCH(L47,Input_Header,0)))</f>
        <v>0.1988</v>
      </c>
      <c r="M49" s="698">
        <f>IF(M47="",0,INDEX(Input_Range,MATCH((C7&amp;B49),Input_Call,0),MATCH(M47,Input_Header,0)))</f>
        <v>0.1988</v>
      </c>
      <c r="N49" s="698">
        <f>IF(N47="",0,INDEX(Input_Range,MATCH((C7&amp;B49),Input_Call,0),MATCH(N47,Input_Header,0)))</f>
        <v>0.1988</v>
      </c>
      <c r="O49" s="698">
        <f>IF(O47="",0,INDEX(Input_Range,MATCH((C7&amp;B49),Input_Call,0),MATCH(O47,Input_Header,0)))</f>
        <v>0.1988</v>
      </c>
      <c r="P49" s="698">
        <f>IF(P47="",0,INDEX(Input_Range,MATCH((C7&amp;B49),Input_Call,0),MATCH(P47,Input_Header,0)))</f>
        <v>0.1988</v>
      </c>
      <c r="Q49" s="698">
        <f>IF(Q47="",0,INDEX(Input_Range,MATCH((C7&amp;B49),Input_Call,0),MATCH(Q47,Input_Header,0)))</f>
        <v>0.1988</v>
      </c>
      <c r="R49" s="698">
        <f t="shared" ref="R49:R55" si="35">Q49</f>
        <v>0.1988</v>
      </c>
      <c r="T49" s="699">
        <f t="shared" ref="T49:AG55" si="36">T48</f>
        <v>0</v>
      </c>
      <c r="U49" s="699">
        <f t="shared" si="36"/>
        <v>12</v>
      </c>
      <c r="V49" s="699">
        <f t="shared" si="36"/>
        <v>12</v>
      </c>
      <c r="W49" s="699">
        <f t="shared" si="36"/>
        <v>8</v>
      </c>
      <c r="X49" s="699">
        <f t="shared" si="36"/>
        <v>0</v>
      </c>
      <c r="Y49" s="699">
        <f t="shared" si="36"/>
        <v>0</v>
      </c>
      <c r="Z49" s="699">
        <f t="shared" si="36"/>
        <v>0</v>
      </c>
      <c r="AA49" s="699">
        <f t="shared" si="36"/>
        <v>0</v>
      </c>
      <c r="AB49" s="699">
        <f t="shared" si="36"/>
        <v>0</v>
      </c>
      <c r="AC49" s="699">
        <f t="shared" si="36"/>
        <v>0</v>
      </c>
      <c r="AD49" s="699">
        <f t="shared" si="36"/>
        <v>0</v>
      </c>
      <c r="AE49" s="699">
        <f t="shared" si="36"/>
        <v>0</v>
      </c>
      <c r="AF49" s="699">
        <f t="shared" si="36"/>
        <v>0</v>
      </c>
      <c r="AG49" s="699">
        <f t="shared" si="36"/>
        <v>0</v>
      </c>
      <c r="AI49" s="698">
        <f t="shared" si="32"/>
        <v>0.1988</v>
      </c>
      <c r="AJ49" s="698"/>
      <c r="AK49" s="698"/>
      <c r="AL49" s="4" t="str">
        <f>$A49&amp;$C7&amp;InputSheet!C$42&amp;InputSheet!D$42</f>
        <v>Training and ProcessingISOverheadContr</v>
      </c>
      <c r="AM49" s="700">
        <f t="shared" si="33"/>
        <v>0.1988</v>
      </c>
      <c r="AP49" s="387" t="str">
        <f t="shared" si="6"/>
        <v>0</v>
      </c>
    </row>
    <row r="50" spans="1:42">
      <c r="A50" s="6" t="str">
        <f t="shared" si="34"/>
        <v>Training and Processing</v>
      </c>
      <c r="B50" s="6" t="str">
        <f t="shared" si="30"/>
        <v>Overhead - Onsite</v>
      </c>
      <c r="E50" s="698">
        <f>IF(E47="",0,INDEX(Input_Range,MATCH((C7&amp;B50),Input_Call,0),MATCH(E47,Input_Header,0)))</f>
        <v>2.23E-2</v>
      </c>
      <c r="F50" s="698">
        <f>IF(F47="",0,INDEX(Input_Range,MATCH((C7&amp;B50),Input_Call,0),MATCH(F47,Input_Header,0)))</f>
        <v>2.23E-2</v>
      </c>
      <c r="G50" s="698">
        <f>IF(G47="",0,INDEX(Input_Range,MATCH((C7&amp;B50),Input_Call,0),MATCH(G47,Input_Header,0)))</f>
        <v>2.23E-2</v>
      </c>
      <c r="H50" s="698">
        <f>IF(H47="",0,INDEX(Input_Range,MATCH((C7&amp;B50),Input_Call,0),MATCH(H47,Input_Header,0)))</f>
        <v>2.23E-2</v>
      </c>
      <c r="I50" s="698">
        <f>IF(I47="",0,INDEX(Input_Range,MATCH((C7&amp;B50),Input_Call,0),MATCH(I47,Input_Header,0)))</f>
        <v>2.23E-2</v>
      </c>
      <c r="J50" s="698">
        <f>IF(J47="",0,INDEX(Input_Range,MATCH((C7&amp;B50),Input_Call,0),MATCH(J47,Input_Header,0)))</f>
        <v>2.23E-2</v>
      </c>
      <c r="K50" s="698">
        <f>IF(K47="",0,INDEX(Input_Range,MATCH((C7&amp;B50),Input_Call,0),MATCH(K47,Input_Header,0)))</f>
        <v>2.23E-2</v>
      </c>
      <c r="L50" s="698">
        <f>IF(L47="",0,INDEX(Input_Range,MATCH((C7&amp;B50),Input_Call,0),MATCH(L47,Input_Header,0)))</f>
        <v>2.23E-2</v>
      </c>
      <c r="M50" s="698">
        <f>IF(M47="",0,INDEX(Input_Range,MATCH((C7&amp;B50),Input_Call,0),MATCH(M47,Input_Header,0)))</f>
        <v>2.23E-2</v>
      </c>
      <c r="N50" s="698">
        <f>IF(N47="",0,INDEX(Input_Range,MATCH((C7&amp;B50),Input_Call,0),MATCH(N47,Input_Header,0)))</f>
        <v>2.23E-2</v>
      </c>
      <c r="O50" s="698">
        <f>IF(O47="",0,INDEX(Input_Range,MATCH((C7&amp;B50),Input_Call,0),MATCH(O47,Input_Header,0)))</f>
        <v>2.23E-2</v>
      </c>
      <c r="P50" s="698">
        <f>IF(P47="",0,INDEX(Input_Range,MATCH((C7&amp;B50),Input_Call,0),MATCH(P47,Input_Header,0)))</f>
        <v>2.23E-2</v>
      </c>
      <c r="Q50" s="698">
        <f>IF(Q47="",0,INDEX(Input_Range,MATCH((C7&amp;B50),Input_Call,0),MATCH(Q47,Input_Header,0)))</f>
        <v>2.23E-2</v>
      </c>
      <c r="R50" s="698">
        <f t="shared" si="35"/>
        <v>2.23E-2</v>
      </c>
      <c r="T50" s="699">
        <f t="shared" si="36"/>
        <v>0</v>
      </c>
      <c r="U50" s="699">
        <f t="shared" si="36"/>
        <v>12</v>
      </c>
      <c r="V50" s="699">
        <f t="shared" si="36"/>
        <v>12</v>
      </c>
      <c r="W50" s="699">
        <f t="shared" si="36"/>
        <v>8</v>
      </c>
      <c r="X50" s="699">
        <f t="shared" si="36"/>
        <v>0</v>
      </c>
      <c r="Y50" s="699">
        <f t="shared" si="36"/>
        <v>0</v>
      </c>
      <c r="Z50" s="699">
        <f t="shared" si="36"/>
        <v>0</v>
      </c>
      <c r="AA50" s="699">
        <f t="shared" si="36"/>
        <v>0</v>
      </c>
      <c r="AB50" s="699">
        <f t="shared" si="36"/>
        <v>0</v>
      </c>
      <c r="AC50" s="699">
        <f t="shared" si="36"/>
        <v>0</v>
      </c>
      <c r="AD50" s="699">
        <f t="shared" si="36"/>
        <v>0</v>
      </c>
      <c r="AE50" s="699">
        <f t="shared" si="36"/>
        <v>0</v>
      </c>
      <c r="AF50" s="699">
        <f t="shared" si="36"/>
        <v>0</v>
      </c>
      <c r="AG50" s="699">
        <f t="shared" si="36"/>
        <v>0</v>
      </c>
      <c r="AI50" s="698">
        <f t="shared" si="32"/>
        <v>2.23E-2</v>
      </c>
      <c r="AJ50" s="698"/>
      <c r="AK50" s="698"/>
      <c r="AL50" s="4" t="str">
        <f>$A50&amp;$C7&amp;InputSheet!C$43&amp;InputSheet!D$43</f>
        <v>Training and ProcessingISOverheadGovt</v>
      </c>
      <c r="AM50" s="700">
        <f t="shared" si="33"/>
        <v>2.23E-2</v>
      </c>
      <c r="AP50" s="387" t="str">
        <f t="shared" si="6"/>
        <v>1</v>
      </c>
    </row>
    <row r="51" spans="1:42">
      <c r="A51" s="6" t="str">
        <f t="shared" si="34"/>
        <v>Training and Processing</v>
      </c>
      <c r="B51" s="6" t="str">
        <f t="shared" si="30"/>
        <v>Material Handling</v>
      </c>
      <c r="E51" s="698">
        <f>IF(E47="",0,INDEX(Input_Range,MATCH((C7&amp;B51),Input_Call,0),MATCH(E47,Input_Header,0)))</f>
        <v>3.1699999999999999E-2</v>
      </c>
      <c r="F51" s="698">
        <f>IF(F47="",0,INDEX(Input_Range,MATCH((C7&amp;B51),Input_Call,0),MATCH(F47,Input_Header,0)))</f>
        <v>3.0700000000000002E-2</v>
      </c>
      <c r="G51" s="698">
        <f>IF(G47="",0,INDEX(Input_Range,MATCH((C7&amp;B51),Input_Call,0),MATCH(G47,Input_Header,0)))</f>
        <v>2.9700000000000001E-2</v>
      </c>
      <c r="H51" s="698">
        <f>IF(H47="",0,INDEX(Input_Range,MATCH((C7&amp;B51),Input_Call,0),MATCH(H47,Input_Header,0)))</f>
        <v>2.8799999999999999E-2</v>
      </c>
      <c r="I51" s="698">
        <f>IF(I47="",0,INDEX(Input_Range,MATCH((C7&amp;B51),Input_Call,0),MATCH(I47,Input_Header,0)))</f>
        <v>2.8000000000000001E-2</v>
      </c>
      <c r="J51" s="698">
        <f>IF(J47="",0,INDEX(Input_Range,MATCH((C7&amp;B51),Input_Call,0),MATCH(J47,Input_Header,0)))</f>
        <v>2.8000000000000001E-2</v>
      </c>
      <c r="K51" s="698">
        <f>IF(K47="",0,INDEX(Input_Range,MATCH((C7&amp;B51),Input_Call,0),MATCH(K47,Input_Header,0)))</f>
        <v>2.8000000000000001E-2</v>
      </c>
      <c r="L51" s="698">
        <f>IF(L47="",0,INDEX(Input_Range,MATCH((C7&amp;B51),Input_Call,0),MATCH(L47,Input_Header,0)))</f>
        <v>2.8000000000000001E-2</v>
      </c>
      <c r="M51" s="698">
        <f>IF(M47="",0,INDEX(Input_Range,MATCH((C7&amp;B51),Input_Call,0),MATCH(M47,Input_Header,0)))</f>
        <v>2.8000000000000001E-2</v>
      </c>
      <c r="N51" s="698">
        <f>IF(N47="",0,INDEX(Input_Range,MATCH((C7&amp;B51),Input_Call,0),MATCH(N47,Input_Header,0)))</f>
        <v>2.8000000000000001E-2</v>
      </c>
      <c r="O51" s="698">
        <f>IF(O47="",0,INDEX(Input_Range,MATCH((C7&amp;B51),Input_Call,0),MATCH(O47,Input_Header,0)))</f>
        <v>2.8000000000000001E-2</v>
      </c>
      <c r="P51" s="698">
        <f>IF(P47="",0,INDEX(Input_Range,MATCH((C7&amp;B51),Input_Call,0),MATCH(P47,Input_Header,0)))</f>
        <v>2.8000000000000001E-2</v>
      </c>
      <c r="Q51" s="698">
        <f>IF(Q47="",0,INDEX(Input_Range,MATCH((C7&amp;B51),Input_Call,0),MATCH(Q47,Input_Header,0)))</f>
        <v>2.8000000000000001E-2</v>
      </c>
      <c r="R51" s="698">
        <f t="shared" si="35"/>
        <v>2.8000000000000001E-2</v>
      </c>
      <c r="T51" s="699">
        <f t="shared" si="36"/>
        <v>0</v>
      </c>
      <c r="U51" s="699">
        <f t="shared" si="36"/>
        <v>12</v>
      </c>
      <c r="V51" s="699">
        <f t="shared" si="36"/>
        <v>12</v>
      </c>
      <c r="W51" s="699">
        <f t="shared" si="36"/>
        <v>8</v>
      </c>
      <c r="X51" s="699">
        <f t="shared" si="36"/>
        <v>0</v>
      </c>
      <c r="Y51" s="699">
        <f t="shared" si="36"/>
        <v>0</v>
      </c>
      <c r="Z51" s="699">
        <f t="shared" si="36"/>
        <v>0</v>
      </c>
      <c r="AA51" s="699">
        <f t="shared" si="36"/>
        <v>0</v>
      </c>
      <c r="AB51" s="699">
        <f t="shared" si="36"/>
        <v>0</v>
      </c>
      <c r="AC51" s="699">
        <f t="shared" si="36"/>
        <v>0</v>
      </c>
      <c r="AD51" s="699">
        <f t="shared" si="36"/>
        <v>0</v>
      </c>
      <c r="AE51" s="699">
        <f t="shared" si="36"/>
        <v>0</v>
      </c>
      <c r="AF51" s="699">
        <f t="shared" si="36"/>
        <v>0</v>
      </c>
      <c r="AG51" s="699">
        <f t="shared" si="36"/>
        <v>0</v>
      </c>
      <c r="AI51" s="698">
        <f t="shared" si="32"/>
        <v>2.9899999999999999E-2</v>
      </c>
      <c r="AJ51" s="698"/>
      <c r="AK51" s="698"/>
      <c r="AL51" s="4" t="str">
        <f>$A51&amp;$C7&amp;InputSheet!C$44&amp;InputSheet!D$44</f>
        <v>Training and ProcessingISMHContr/Govt</v>
      </c>
      <c r="AM51" s="700">
        <f t="shared" si="33"/>
        <v>2.9899999999999999E-2</v>
      </c>
      <c r="AP51" s="387" t="str">
        <f t="shared" si="6"/>
        <v>0</v>
      </c>
    </row>
    <row r="52" spans="1:42">
      <c r="A52" s="6" t="str">
        <f t="shared" si="34"/>
        <v>Training and Processing</v>
      </c>
      <c r="B52" s="6" t="str">
        <f t="shared" si="30"/>
        <v>G&amp;A</v>
      </c>
      <c r="E52" s="698">
        <f>IF(E47="",0,INDEX(Input_Range,MATCH((C7&amp;B52),Input_Call,0),MATCH(E47,Input_Header,0)))</f>
        <v>9.7500000000000003E-2</v>
      </c>
      <c r="F52" s="698">
        <f>IF(F47="",0,INDEX(Input_Range,MATCH((C7&amp;B52),Input_Call,0),MATCH(F47,Input_Header,0)))</f>
        <v>9.4700000000000006E-2</v>
      </c>
      <c r="G52" s="698">
        <f>IF(G47="",0,INDEX(Input_Range,MATCH((C7&amp;B52),Input_Call,0),MATCH(G47,Input_Header,0)))</f>
        <v>9.1999999999999998E-2</v>
      </c>
      <c r="H52" s="698">
        <f>IF(H47="",0,INDEX(Input_Range,MATCH((C7&amp;B52),Input_Call,0),MATCH(H47,Input_Header,0)))</f>
        <v>8.9499999999999996E-2</v>
      </c>
      <c r="I52" s="698">
        <f>IF(I47="",0,INDEX(Input_Range,MATCH((C7&amp;B52),Input_Call,0),MATCH(I47,Input_Header,0)))</f>
        <v>8.7099999999999997E-2</v>
      </c>
      <c r="J52" s="698">
        <f>IF(J47="",0,INDEX(Input_Range,MATCH((C7&amp;B52),Input_Call,0),MATCH(J47,Input_Header,0)))</f>
        <v>8.7099999999999997E-2</v>
      </c>
      <c r="K52" s="698">
        <f>IF(K47="",0,INDEX(Input_Range,MATCH((C7&amp;B52),Input_Call,0),MATCH(K47,Input_Header,0)))</f>
        <v>8.7099999999999997E-2</v>
      </c>
      <c r="L52" s="698">
        <f>IF(L47="",0,INDEX(Input_Range,MATCH((C7&amp;B52),Input_Call,0),MATCH(L47,Input_Header,0)))</f>
        <v>8.7099999999999997E-2</v>
      </c>
      <c r="M52" s="698">
        <f>IF(M47="",0,INDEX(Input_Range,MATCH((C7&amp;B52),Input_Call,0),MATCH(M47,Input_Header,0)))</f>
        <v>8.7099999999999997E-2</v>
      </c>
      <c r="N52" s="698">
        <f>IF(N47="",0,INDEX(Input_Range,MATCH((C7&amp;B52),Input_Call,0),MATCH(N47,Input_Header,0)))</f>
        <v>8.7099999999999997E-2</v>
      </c>
      <c r="O52" s="698">
        <f>IF(O47="",0,INDEX(Input_Range,MATCH((C7&amp;B52),Input_Call,0),MATCH(O47,Input_Header,0)))</f>
        <v>8.7099999999999997E-2</v>
      </c>
      <c r="P52" s="698">
        <f>IF(P47="",0,INDEX(Input_Range,MATCH((C7&amp;B52),Input_Call,0),MATCH(P47,Input_Header,0)))</f>
        <v>8.7099999999999997E-2</v>
      </c>
      <c r="Q52" s="698">
        <f>IF(Q47="",0,INDEX(Input_Range,MATCH((C7&amp;B52),Input_Call,0),MATCH(Q47,Input_Header,0)))</f>
        <v>8.7099999999999997E-2</v>
      </c>
      <c r="R52" s="698">
        <f t="shared" si="35"/>
        <v>8.7099999999999997E-2</v>
      </c>
      <c r="T52" s="699">
        <f t="shared" si="36"/>
        <v>0</v>
      </c>
      <c r="U52" s="699">
        <f t="shared" si="36"/>
        <v>12</v>
      </c>
      <c r="V52" s="699">
        <f t="shared" si="36"/>
        <v>12</v>
      </c>
      <c r="W52" s="699">
        <f t="shared" si="36"/>
        <v>8</v>
      </c>
      <c r="X52" s="699">
        <f t="shared" si="36"/>
        <v>0</v>
      </c>
      <c r="Y52" s="699">
        <f t="shared" si="36"/>
        <v>0</v>
      </c>
      <c r="Z52" s="699">
        <f t="shared" si="36"/>
        <v>0</v>
      </c>
      <c r="AA52" s="699">
        <f t="shared" si="36"/>
        <v>0</v>
      </c>
      <c r="AB52" s="699">
        <f t="shared" si="36"/>
        <v>0</v>
      </c>
      <c r="AC52" s="699">
        <f t="shared" si="36"/>
        <v>0</v>
      </c>
      <c r="AD52" s="699">
        <f t="shared" si="36"/>
        <v>0</v>
      </c>
      <c r="AE52" s="699">
        <f t="shared" si="36"/>
        <v>0</v>
      </c>
      <c r="AF52" s="699">
        <f t="shared" si="36"/>
        <v>0</v>
      </c>
      <c r="AG52" s="699">
        <f t="shared" si="36"/>
        <v>0</v>
      </c>
      <c r="AI52" s="698">
        <f t="shared" si="32"/>
        <v>9.2399999999999996E-2</v>
      </c>
      <c r="AJ52" s="698"/>
      <c r="AK52" s="698"/>
      <c r="AL52" s="4" t="str">
        <f>$A52&amp;$C7&amp;InputSheet!C$45&amp;InputSheet!D$45</f>
        <v>Training and ProcessingISG&amp;AContr/Govt</v>
      </c>
      <c r="AM52" s="700">
        <f t="shared" si="33"/>
        <v>9.2399999999999996E-2</v>
      </c>
      <c r="AP52" s="387" t="str">
        <f t="shared" si="6"/>
        <v>1</v>
      </c>
    </row>
    <row r="53" spans="1:42" outlineLevel="1">
      <c r="A53" s="6" t="str">
        <f t="shared" si="34"/>
        <v>Training and Processing</v>
      </c>
      <c r="B53" s="6" t="str">
        <f t="shared" si="30"/>
        <v>TBD1</v>
      </c>
      <c r="E53" s="21">
        <f>IF(E47="",0,INDEX(Input_Range,MATCH((C7&amp;B53),Input_Call,0),MATCH(E47,Input_Header,0)))</f>
        <v>0</v>
      </c>
      <c r="F53" s="21">
        <f>IF(F47="",0,INDEX(Input_Range,MATCH((C7&amp;B53),Input_Call,0),MATCH(F47,Input_Header,0)))</f>
        <v>0</v>
      </c>
      <c r="G53" s="21">
        <f>IF(G47="",0,INDEX(Input_Range,MATCH((C7&amp;B53),Input_Call,0),MATCH(G47,Input_Header,0)))</f>
        <v>0</v>
      </c>
      <c r="H53" s="21">
        <f>IF(H47="",0,INDEX(Input_Range,MATCH((C7&amp;B53),Input_Call,0),MATCH(H47,Input_Header,0)))</f>
        <v>0</v>
      </c>
      <c r="I53" s="21">
        <f>IF(I47="",0,INDEX(Input_Range,MATCH((C7&amp;B53),Input_Call,0),MATCH(I47,Input_Header,0)))</f>
        <v>0</v>
      </c>
      <c r="J53" s="21">
        <f>IF(J47="",0,INDEX(Input_Range,MATCH((C7&amp;B53),Input_Call,0),MATCH(J47,Input_Header,0)))</f>
        <v>0</v>
      </c>
      <c r="K53" s="21">
        <f>IF(K47="",0,INDEX(Input_Range,MATCH((C7&amp;B53),Input_Call,0),MATCH(K47,Input_Header,0)))</f>
        <v>0</v>
      </c>
      <c r="L53" s="21">
        <f>IF(L47="",0,INDEX(Input_Range,MATCH((C7&amp;B53),Input_Call,0),MATCH(L47,Input_Header,0)))</f>
        <v>0</v>
      </c>
      <c r="M53" s="21">
        <f>IF(M47="",0,INDEX(Input_Range,MATCH((C7&amp;B53),Input_Call,0),MATCH(M47,Input_Header,0)))</f>
        <v>0</v>
      </c>
      <c r="N53" s="21">
        <f>IF(N47="",0,INDEX(Input_Range,MATCH((C7&amp;B53),Input_Call,0),MATCH(N47,Input_Header,0)))</f>
        <v>0</v>
      </c>
      <c r="O53" s="21">
        <f>IF(O47="",0,INDEX(Input_Range,MATCH((C7&amp;B53),Input_Call,0),MATCH(O47,Input_Header,0)))</f>
        <v>0</v>
      </c>
      <c r="P53" s="21">
        <f>IF(P47="",0,INDEX(Input_Range,MATCH((C7&amp;B53),Input_Call,0),MATCH(P47,Input_Header,0)))</f>
        <v>0</v>
      </c>
      <c r="Q53" s="21">
        <f>IF(Q47="",0,INDEX(Input_Range,MATCH((C7&amp;B53),Input_Call,0),MATCH(Q47,Input_Header,0)))</f>
        <v>0</v>
      </c>
      <c r="R53" s="698">
        <f t="shared" si="35"/>
        <v>0</v>
      </c>
      <c r="T53" s="699">
        <f t="shared" si="36"/>
        <v>0</v>
      </c>
      <c r="U53" s="699">
        <f t="shared" si="36"/>
        <v>12</v>
      </c>
      <c r="V53" s="699">
        <f t="shared" si="36"/>
        <v>12</v>
      </c>
      <c r="W53" s="699">
        <f t="shared" si="36"/>
        <v>8</v>
      </c>
      <c r="X53" s="699">
        <f t="shared" si="36"/>
        <v>0</v>
      </c>
      <c r="Y53" s="699">
        <f t="shared" si="36"/>
        <v>0</v>
      </c>
      <c r="Z53" s="699">
        <f t="shared" si="36"/>
        <v>0</v>
      </c>
      <c r="AA53" s="699">
        <f t="shared" si="36"/>
        <v>0</v>
      </c>
      <c r="AB53" s="699">
        <f t="shared" si="36"/>
        <v>0</v>
      </c>
      <c r="AC53" s="699">
        <f t="shared" si="36"/>
        <v>0</v>
      </c>
      <c r="AD53" s="699">
        <f t="shared" si="36"/>
        <v>0</v>
      </c>
      <c r="AE53" s="699">
        <f t="shared" si="36"/>
        <v>0</v>
      </c>
      <c r="AF53" s="699">
        <f t="shared" si="36"/>
        <v>0</v>
      </c>
      <c r="AG53" s="699">
        <f t="shared" si="36"/>
        <v>0</v>
      </c>
      <c r="AI53" s="698">
        <f t="shared" si="32"/>
        <v>0</v>
      </c>
      <c r="AJ53" s="21"/>
      <c r="AK53" s="21"/>
      <c r="AL53" s="4" t="str">
        <f>$A53&amp;$C7&amp;InputSheet!C$46&amp;InputSheet!D$46</f>
        <v>Training and ProcessingISTBD1Contr/Govt</v>
      </c>
      <c r="AM53" s="700">
        <f t="shared" si="33"/>
        <v>0</v>
      </c>
      <c r="AP53" s="387" t="str">
        <f t="shared" si="6"/>
        <v>0</v>
      </c>
    </row>
    <row r="54" spans="1:42" outlineLevel="1">
      <c r="A54" s="6" t="str">
        <f t="shared" si="34"/>
        <v>Training and Processing</v>
      </c>
      <c r="B54" s="6" t="str">
        <f t="shared" si="30"/>
        <v>TBD2</v>
      </c>
      <c r="E54" s="21">
        <f>IF(E47="",0,INDEX(Input_Range,MATCH((C7&amp;B54),Input_Call,0),MATCH(E47,Input_Header,0)))</f>
        <v>0</v>
      </c>
      <c r="F54" s="21">
        <f>IF(F47="",0,INDEX(Input_Range,MATCH((C7&amp;B54),Input_Call,0),MATCH(F47,Input_Header,0)))</f>
        <v>0</v>
      </c>
      <c r="G54" s="21">
        <f>IF(G47="",0,INDEX(Input_Range,MATCH((C7&amp;B54),Input_Call,0),MATCH(G47,Input_Header,0)))</f>
        <v>0</v>
      </c>
      <c r="H54" s="21">
        <f>IF(H47="",0,INDEX(Input_Range,MATCH((C7&amp;B54),Input_Call,0),MATCH(H47,Input_Header,0)))</f>
        <v>0</v>
      </c>
      <c r="I54" s="21">
        <f>IF(I47="",0,INDEX(Input_Range,MATCH((C7&amp;B54),Input_Call,0),MATCH(I47,Input_Header,0)))</f>
        <v>0</v>
      </c>
      <c r="J54" s="21">
        <f>IF(J47="",0,INDEX(Input_Range,MATCH((C7&amp;B54),Input_Call,0),MATCH(J47,Input_Header,0)))</f>
        <v>0</v>
      </c>
      <c r="K54" s="21">
        <f>IF(K47="",0,INDEX(Input_Range,MATCH((C7&amp;B54),Input_Call,0),MATCH(K47,Input_Header,0)))</f>
        <v>0</v>
      </c>
      <c r="L54" s="21">
        <f>IF(L47="",0,INDEX(Input_Range,MATCH((C7&amp;B54),Input_Call,0),MATCH(L47,Input_Header,0)))</f>
        <v>0</v>
      </c>
      <c r="M54" s="21">
        <f>IF(M47="",0,INDEX(Input_Range,MATCH((C7&amp;B54),Input_Call,0),MATCH(M47,Input_Header,0)))</f>
        <v>0</v>
      </c>
      <c r="N54" s="21">
        <f>IF(N47="",0,INDEX(Input_Range,MATCH((C7&amp;B54),Input_Call,0),MATCH(N47,Input_Header,0)))</f>
        <v>0</v>
      </c>
      <c r="O54" s="21">
        <f>IF(O47="",0,INDEX(Input_Range,MATCH((C7&amp;B54),Input_Call,0),MATCH(O47,Input_Header,0)))</f>
        <v>0</v>
      </c>
      <c r="P54" s="21">
        <f>IF(P47="",0,INDEX(Input_Range,MATCH((C7&amp;B54),Input_Call,0),MATCH(P47,Input_Header,0)))</f>
        <v>0</v>
      </c>
      <c r="Q54" s="21">
        <f>IF(Q47="",0,INDEX(Input_Range,MATCH((C7&amp;B54),Input_Call,0),MATCH(Q47,Input_Header,0)))</f>
        <v>0</v>
      </c>
      <c r="R54" s="698">
        <f t="shared" si="35"/>
        <v>0</v>
      </c>
      <c r="T54" s="699">
        <f t="shared" si="36"/>
        <v>0</v>
      </c>
      <c r="U54" s="699">
        <f t="shared" si="36"/>
        <v>12</v>
      </c>
      <c r="V54" s="699">
        <f t="shared" si="36"/>
        <v>12</v>
      </c>
      <c r="W54" s="699">
        <f t="shared" si="36"/>
        <v>8</v>
      </c>
      <c r="X54" s="699">
        <f t="shared" si="36"/>
        <v>0</v>
      </c>
      <c r="Y54" s="699">
        <f t="shared" si="36"/>
        <v>0</v>
      </c>
      <c r="Z54" s="699">
        <f t="shared" si="36"/>
        <v>0</v>
      </c>
      <c r="AA54" s="699">
        <f t="shared" si="36"/>
        <v>0</v>
      </c>
      <c r="AB54" s="699">
        <f t="shared" si="36"/>
        <v>0</v>
      </c>
      <c r="AC54" s="699">
        <f t="shared" si="36"/>
        <v>0</v>
      </c>
      <c r="AD54" s="699">
        <f t="shared" si="36"/>
        <v>0</v>
      </c>
      <c r="AE54" s="699">
        <f t="shared" si="36"/>
        <v>0</v>
      </c>
      <c r="AF54" s="699">
        <f t="shared" si="36"/>
        <v>0</v>
      </c>
      <c r="AG54" s="699">
        <f t="shared" si="36"/>
        <v>0</v>
      </c>
      <c r="AI54" s="698">
        <f t="shared" si="32"/>
        <v>0</v>
      </c>
      <c r="AJ54" s="21"/>
      <c r="AK54" s="21"/>
      <c r="AL54" s="4" t="str">
        <f>$A54&amp;$C7&amp;InputSheet!C$47&amp;InputSheet!D$47</f>
        <v>Training and ProcessingISTBD2Contr/Govt</v>
      </c>
      <c r="AM54" s="700">
        <f t="shared" si="33"/>
        <v>0</v>
      </c>
      <c r="AP54" s="387" t="str">
        <f t="shared" si="6"/>
        <v>0</v>
      </c>
    </row>
    <row r="55" spans="1:42" outlineLevel="1">
      <c r="A55" s="6" t="str">
        <f t="shared" si="34"/>
        <v>Training and Processing</v>
      </c>
      <c r="B55" s="6" t="str">
        <f t="shared" si="30"/>
        <v>TBD3</v>
      </c>
      <c r="E55" s="21">
        <f>IF(E47="",0,INDEX(Input_Range,MATCH((C7&amp;B55),Input_Call,0),MATCH(E47,Input_Header,0)))</f>
        <v>0</v>
      </c>
      <c r="F55" s="21">
        <f>IF(F47="",0,INDEX(Input_Range,MATCH((C7&amp;B55),Input_Call,0),MATCH(F47,Input_Header,0)))</f>
        <v>0</v>
      </c>
      <c r="G55" s="21">
        <f>IF(G47="",0,INDEX(Input_Range,MATCH((C7&amp;B55),Input_Call,0),MATCH(G47,Input_Header,0)))</f>
        <v>0</v>
      </c>
      <c r="H55" s="21">
        <f>IF(H47="",0,INDEX(Input_Range,MATCH((C7&amp;B55),Input_Call,0),MATCH(H47,Input_Header,0)))</f>
        <v>0</v>
      </c>
      <c r="I55" s="21">
        <f>IF(I47="",0,INDEX(Input_Range,MATCH((C7&amp;B55),Input_Call,0),MATCH(I47,Input_Header,0)))</f>
        <v>0</v>
      </c>
      <c r="J55" s="21">
        <f>IF(J47="",0,INDEX(Input_Range,MATCH((C7&amp;B55),Input_Call,0),MATCH(J47,Input_Header,0)))</f>
        <v>0</v>
      </c>
      <c r="K55" s="21">
        <f>IF(K47="",0,INDEX(Input_Range,MATCH((C7&amp;B55),Input_Call,0),MATCH(K47,Input_Header,0)))</f>
        <v>0</v>
      </c>
      <c r="L55" s="21">
        <f>IF(L47="",0,INDEX(Input_Range,MATCH((C7&amp;B55),Input_Call,0),MATCH(L47,Input_Header,0)))</f>
        <v>0</v>
      </c>
      <c r="M55" s="21">
        <f>IF(M47="",0,INDEX(Input_Range,MATCH((C7&amp;B55),Input_Call,0),MATCH(M47,Input_Header,0)))</f>
        <v>0</v>
      </c>
      <c r="N55" s="21">
        <f>IF(N47="",0,INDEX(Input_Range,MATCH((C7&amp;B55),Input_Call,0),MATCH(N47,Input_Header,0)))</f>
        <v>0</v>
      </c>
      <c r="O55" s="21">
        <f>IF(O47="",0,INDEX(Input_Range,MATCH((C7&amp;B55),Input_Call,0),MATCH(O47,Input_Header,0)))</f>
        <v>0</v>
      </c>
      <c r="P55" s="21">
        <f>IF(P47="",0,INDEX(Input_Range,MATCH((C7&amp;B55),Input_Call,0),MATCH(P47,Input_Header,0)))</f>
        <v>0</v>
      </c>
      <c r="Q55" s="21">
        <f>IF(Q47="",0,INDEX(Input_Range,MATCH((C7&amp;B55),Input_Call,0),MATCH(Q47,Input_Header,0)))</f>
        <v>0</v>
      </c>
      <c r="R55" s="698">
        <f t="shared" si="35"/>
        <v>0</v>
      </c>
      <c r="T55" s="699">
        <f t="shared" si="36"/>
        <v>0</v>
      </c>
      <c r="U55" s="699">
        <f t="shared" si="36"/>
        <v>12</v>
      </c>
      <c r="V55" s="699">
        <f t="shared" si="36"/>
        <v>12</v>
      </c>
      <c r="W55" s="699">
        <f t="shared" si="36"/>
        <v>8</v>
      </c>
      <c r="X55" s="699">
        <f t="shared" si="36"/>
        <v>0</v>
      </c>
      <c r="Y55" s="699">
        <f t="shared" si="36"/>
        <v>0</v>
      </c>
      <c r="Z55" s="699">
        <f t="shared" si="36"/>
        <v>0</v>
      </c>
      <c r="AA55" s="699">
        <f t="shared" si="36"/>
        <v>0</v>
      </c>
      <c r="AB55" s="699">
        <f t="shared" si="36"/>
        <v>0</v>
      </c>
      <c r="AC55" s="699">
        <f t="shared" si="36"/>
        <v>0</v>
      </c>
      <c r="AD55" s="699">
        <f t="shared" si="36"/>
        <v>0</v>
      </c>
      <c r="AE55" s="699">
        <f t="shared" si="36"/>
        <v>0</v>
      </c>
      <c r="AF55" s="699">
        <f t="shared" si="36"/>
        <v>0</v>
      </c>
      <c r="AG55" s="699">
        <f t="shared" si="36"/>
        <v>0</v>
      </c>
      <c r="AI55" s="698">
        <f t="shared" si="32"/>
        <v>0</v>
      </c>
      <c r="AJ55" s="21"/>
      <c r="AK55" s="21"/>
      <c r="AL55" s="4" t="str">
        <f>$A55&amp;$C7&amp;InputSheet!C$48&amp;InputSheet!D$48</f>
        <v>Training and ProcessingISTBD3Contr/Govt</v>
      </c>
      <c r="AM55" s="700">
        <f t="shared" si="33"/>
        <v>0</v>
      </c>
      <c r="AP55" s="387" t="str">
        <f t="shared" si="6"/>
        <v>0</v>
      </c>
    </row>
    <row r="56" spans="1:42">
      <c r="E56" s="698"/>
      <c r="F56" s="698"/>
      <c r="G56" s="698"/>
      <c r="H56" s="698"/>
      <c r="I56" s="698"/>
      <c r="J56" s="698"/>
      <c r="K56" s="698"/>
      <c r="L56" s="698"/>
      <c r="M56" s="698"/>
      <c r="N56" s="698"/>
      <c r="O56" s="698"/>
      <c r="P56" s="698"/>
      <c r="Q56" s="698"/>
      <c r="R56" s="698"/>
      <c r="AI56" s="21"/>
      <c r="AJ56" s="21"/>
      <c r="AK56" s="21"/>
      <c r="AP56" s="387" t="str">
        <f t="shared" si="6"/>
        <v>1</v>
      </c>
    </row>
    <row r="57" spans="1:42">
      <c r="A57" s="530">
        <f>B57</f>
        <v>0</v>
      </c>
      <c r="B57" s="691">
        <f>InputSheet!$C$26</f>
        <v>0</v>
      </c>
      <c r="C57" s="28"/>
      <c r="AP57" s="387" t="str">
        <f t="shared" si="6"/>
        <v>1</v>
      </c>
    </row>
    <row r="58" spans="1:42">
      <c r="B58" s="314" t="s">
        <v>587</v>
      </c>
      <c r="C58" s="692" t="s">
        <v>588</v>
      </c>
      <c r="E58" s="1216" t="str">
        <f>"Indirect Rates - "&amp;C$7</f>
        <v>Indirect Rates - IS</v>
      </c>
      <c r="F58" s="1216"/>
      <c r="G58" s="1216"/>
      <c r="H58" s="1216"/>
      <c r="I58" s="1216"/>
      <c r="J58" s="1216"/>
      <c r="K58" s="1216"/>
      <c r="L58" s="1216"/>
      <c r="M58" s="1216"/>
      <c r="N58" s="1216"/>
      <c r="O58" s="1216"/>
      <c r="P58" s="1216"/>
      <c r="Q58" s="1216"/>
      <c r="R58" s="1216"/>
      <c r="S58" s="844"/>
      <c r="T58" s="1217" t="s">
        <v>794</v>
      </c>
      <c r="U58" s="1217"/>
      <c r="V58" s="1217"/>
      <c r="W58" s="1217"/>
      <c r="X58" s="1217"/>
      <c r="Y58" s="1217"/>
      <c r="Z58" s="1217"/>
      <c r="AA58" s="1217"/>
      <c r="AB58" s="1217"/>
      <c r="AC58" s="1217"/>
      <c r="AD58" s="1217"/>
      <c r="AE58" s="1217"/>
      <c r="AF58" s="1217"/>
      <c r="AG58" s="1217"/>
      <c r="AI58" s="692" t="s">
        <v>615</v>
      </c>
      <c r="AJ58" s="50"/>
      <c r="AK58" s="50"/>
      <c r="AP58" s="387" t="str">
        <f t="shared" si="6"/>
        <v>1</v>
      </c>
    </row>
    <row r="59" spans="1:42">
      <c r="B59" s="693" t="e">
        <f>VLOOKUP(A57,InputSheet!$C$8:$E$37,2,FALSE)</f>
        <v>#N/A</v>
      </c>
      <c r="C59" s="694" t="e">
        <f>VLOOKUP(A57,InputSheet!$C$8:$E$37,3,FALSE)</f>
        <v>#N/A</v>
      </c>
      <c r="E59" s="695">
        <f t="shared" ref="E59:R59" si="37">E47</f>
        <v>2009</v>
      </c>
      <c r="F59" s="695">
        <f t="shared" si="37"/>
        <v>2010</v>
      </c>
      <c r="G59" s="695">
        <f t="shared" si="37"/>
        <v>2011</v>
      </c>
      <c r="H59" s="695">
        <f t="shared" si="37"/>
        <v>2012</v>
      </c>
      <c r="I59" s="695">
        <f t="shared" si="37"/>
        <v>2013</v>
      </c>
      <c r="J59" s="695">
        <f t="shared" si="37"/>
        <v>2014</v>
      </c>
      <c r="K59" s="695">
        <f t="shared" si="37"/>
        <v>2015</v>
      </c>
      <c r="L59" s="695">
        <f t="shared" si="37"/>
        <v>2016</v>
      </c>
      <c r="M59" s="695">
        <f t="shared" si="37"/>
        <v>2017</v>
      </c>
      <c r="N59" s="695">
        <f t="shared" si="37"/>
        <v>2018</v>
      </c>
      <c r="O59" s="695">
        <f t="shared" si="37"/>
        <v>2019</v>
      </c>
      <c r="P59" s="695">
        <f t="shared" si="37"/>
        <v>2020</v>
      </c>
      <c r="Q59" s="695">
        <f t="shared" si="37"/>
        <v>2021</v>
      </c>
      <c r="R59" s="695">
        <f t="shared" si="37"/>
        <v>2022</v>
      </c>
      <c r="S59" s="680"/>
      <c r="T59" s="695">
        <f t="shared" ref="T59:AG59" si="38">T47</f>
        <v>2009</v>
      </c>
      <c r="U59" s="695">
        <f t="shared" si="38"/>
        <v>2010</v>
      </c>
      <c r="V59" s="695">
        <f t="shared" si="38"/>
        <v>2011</v>
      </c>
      <c r="W59" s="695">
        <f t="shared" si="38"/>
        <v>2012</v>
      </c>
      <c r="X59" s="695">
        <f t="shared" si="38"/>
        <v>2013</v>
      </c>
      <c r="Y59" s="695">
        <f t="shared" si="38"/>
        <v>2014</v>
      </c>
      <c r="Z59" s="695">
        <f t="shared" si="38"/>
        <v>2015</v>
      </c>
      <c r="AA59" s="695">
        <f t="shared" si="38"/>
        <v>2016</v>
      </c>
      <c r="AB59" s="695">
        <f t="shared" si="38"/>
        <v>2017</v>
      </c>
      <c r="AC59" s="695">
        <f t="shared" si="38"/>
        <v>2018</v>
      </c>
      <c r="AD59" s="695">
        <f t="shared" si="38"/>
        <v>2019</v>
      </c>
      <c r="AE59" s="695">
        <f t="shared" si="38"/>
        <v>2020</v>
      </c>
      <c r="AF59" s="695">
        <f t="shared" si="38"/>
        <v>2021</v>
      </c>
      <c r="AG59" s="695">
        <f t="shared" si="38"/>
        <v>2022</v>
      </c>
      <c r="AI59" s="696">
        <f>B57</f>
        <v>0</v>
      </c>
      <c r="AJ59" s="28"/>
      <c r="AK59" s="28"/>
      <c r="AP59" s="387" t="str">
        <f t="shared" si="6"/>
        <v>1</v>
      </c>
    </row>
    <row r="60" spans="1:42">
      <c r="A60" s="6">
        <f>A57</f>
        <v>0</v>
      </c>
      <c r="B60" s="6" t="str">
        <f t="shared" ref="B60:B67" si="39">B48</f>
        <v>PRB</v>
      </c>
      <c r="E60" s="698">
        <f>IF(E59="",0,INDEX(Input_Range,MATCH((C7&amp;B60),Input_Call,0),MATCH(E59,Input_Header,0)))</f>
        <v>0.31240000000000001</v>
      </c>
      <c r="F60" s="698">
        <f>IF(F59="",0,INDEX(Input_Range,MATCH((C7&amp;B60),Input_Call,0),MATCH(F59,Input_Header,0)))</f>
        <v>0.31240000000000001</v>
      </c>
      <c r="G60" s="698">
        <f>IF(G59="",0,INDEX(Input_Range,MATCH((C7&amp;B60),Input_Call,0),MATCH(G59,Input_Header,0)))</f>
        <v>0.31240000000000001</v>
      </c>
      <c r="H60" s="698">
        <f>IF(H59="",0,INDEX(Input_Range,MATCH((C7&amp;B60),Input_Call,0),MATCH(H59,Input_Header,0)))</f>
        <v>0.31240000000000001</v>
      </c>
      <c r="I60" s="698">
        <f>IF(I59="",0,INDEX(Input_Range,MATCH((C7&amp;B60),Input_Call,0),MATCH(I59,Input_Header,0)))</f>
        <v>0.31240000000000001</v>
      </c>
      <c r="J60" s="698">
        <f>IF(J59="",0,INDEX(Input_Range,MATCH((C7&amp;B60),Input_Call,0),MATCH(J59,Input_Header,0)))</f>
        <v>0.31240000000000001</v>
      </c>
      <c r="K60" s="698">
        <f>IF(K59="",0,INDEX(Input_Range,MATCH((C7&amp;B60),Input_Call,0),MATCH(K59,Input_Header,0)))</f>
        <v>0.31240000000000001</v>
      </c>
      <c r="L60" s="698">
        <f>IF(L59="",0,INDEX(Input_Range,MATCH((C7&amp;B60),Input_Call,0),MATCH(L59,Input_Header,0)))</f>
        <v>0.31240000000000001</v>
      </c>
      <c r="M60" s="698">
        <f>IF(M59="",0,INDEX(Input_Range,MATCH((C7&amp;B60),Input_Call,0),MATCH(M59,Input_Header,0)))</f>
        <v>0.31240000000000001</v>
      </c>
      <c r="N60" s="698">
        <f>IF(N59="",0,INDEX(Input_Range,MATCH((C7&amp;B60),Input_Call,0),MATCH(N59,Input_Header,0)))</f>
        <v>0.31240000000000001</v>
      </c>
      <c r="O60" s="698">
        <f>IF(O59="",0,INDEX(Input_Range,MATCH((C7&amp;B60),Input_Call,0),MATCH(O59,Input_Header,0)))</f>
        <v>0.31240000000000001</v>
      </c>
      <c r="P60" s="698">
        <f>IF(P59="",0,INDEX(Input_Range,MATCH((C7&amp;B60),Input_Call,0),MATCH(P59,Input_Header,0)))</f>
        <v>0.31240000000000001</v>
      </c>
      <c r="Q60" s="698">
        <f>IF(Q59="",0,INDEX(Input_Range,MATCH((C7&amp;B60),Input_Call,0),MATCH(Q59,Input_Header,0)))</f>
        <v>0.31240000000000001</v>
      </c>
      <c r="R60" s="698">
        <f>Q60</f>
        <v>0.31240000000000001</v>
      </c>
      <c r="T60" s="699" t="e">
        <f t="shared" ref="T60:AG60" si="40">ROUND((MAX(0,(MIN($C59,DATE(T59,12,31))-MAX($B59,DATE(T59,1,1))+1)))/30.41667,0)</f>
        <v>#N/A</v>
      </c>
      <c r="U60" s="699" t="e">
        <f t="shared" si="40"/>
        <v>#N/A</v>
      </c>
      <c r="V60" s="699" t="e">
        <f t="shared" si="40"/>
        <v>#N/A</v>
      </c>
      <c r="W60" s="699" t="e">
        <f t="shared" si="40"/>
        <v>#N/A</v>
      </c>
      <c r="X60" s="699" t="e">
        <f t="shared" si="40"/>
        <v>#N/A</v>
      </c>
      <c r="Y60" s="699" t="e">
        <f t="shared" si="40"/>
        <v>#N/A</v>
      </c>
      <c r="Z60" s="699" t="e">
        <f t="shared" si="40"/>
        <v>#N/A</v>
      </c>
      <c r="AA60" s="699" t="e">
        <f t="shared" si="40"/>
        <v>#N/A</v>
      </c>
      <c r="AB60" s="699" t="e">
        <f t="shared" si="40"/>
        <v>#N/A</v>
      </c>
      <c r="AC60" s="699" t="e">
        <f t="shared" si="40"/>
        <v>#N/A</v>
      </c>
      <c r="AD60" s="699" t="e">
        <f t="shared" si="40"/>
        <v>#N/A</v>
      </c>
      <c r="AE60" s="699" t="e">
        <f t="shared" si="40"/>
        <v>#N/A</v>
      </c>
      <c r="AF60" s="699" t="e">
        <f t="shared" si="40"/>
        <v>#N/A</v>
      </c>
      <c r="AG60" s="699" t="e">
        <f t="shared" si="40"/>
        <v>#N/A</v>
      </c>
      <c r="AI60" s="698" t="e">
        <f t="shared" ref="AI60:AI67" si="41">ROUND(SUMPRODUCT(E60:R60,T60:AG60)/SUM(T60:AG60),4)</f>
        <v>#N/A</v>
      </c>
      <c r="AJ60" s="698"/>
      <c r="AK60" s="698"/>
      <c r="AL60" s="4" t="str">
        <f>$A60&amp;$C7&amp;InputSheet!C$41&amp;InputSheet!D$41</f>
        <v>0ISPRBContr/Govt</v>
      </c>
      <c r="AM60" s="700" t="e">
        <f t="shared" ref="AM60:AM67" si="42">AI60</f>
        <v>#N/A</v>
      </c>
      <c r="AP60" s="387" t="e">
        <f t="shared" si="6"/>
        <v>#N/A</v>
      </c>
    </row>
    <row r="61" spans="1:42">
      <c r="A61" s="6">
        <f t="shared" ref="A61:A67" si="43">A60</f>
        <v>0</v>
      </c>
      <c r="B61" s="6" t="str">
        <f t="shared" si="39"/>
        <v>Overhead - Offsite</v>
      </c>
      <c r="E61" s="698">
        <f>IF(E59="",0,INDEX(Input_Range,MATCH((C7&amp;B61),Input_Call,0),MATCH(E59,Input_Header,0)))</f>
        <v>0.1988</v>
      </c>
      <c r="F61" s="698">
        <f>IF(F59="",0,INDEX(Input_Range,MATCH((C7&amp;B61),Input_Call,0),MATCH(F59,Input_Header,0)))</f>
        <v>0.1988</v>
      </c>
      <c r="G61" s="698">
        <f>IF(G59="",0,INDEX(Input_Range,MATCH((C7&amp;B61),Input_Call,0),MATCH(G59,Input_Header,0)))</f>
        <v>0.1988</v>
      </c>
      <c r="H61" s="698">
        <f>IF(H59="",0,INDEX(Input_Range,MATCH((C7&amp;B61),Input_Call,0),MATCH(H59,Input_Header,0)))</f>
        <v>0.1988</v>
      </c>
      <c r="I61" s="698">
        <f>IF(I59="",0,INDEX(Input_Range,MATCH((C7&amp;B61),Input_Call,0),MATCH(I59,Input_Header,0)))</f>
        <v>0.1988</v>
      </c>
      <c r="J61" s="698">
        <f>IF(J59="",0,INDEX(Input_Range,MATCH((C7&amp;B61),Input_Call,0),MATCH(J59,Input_Header,0)))</f>
        <v>0.1988</v>
      </c>
      <c r="K61" s="698">
        <f>IF(K59="",0,INDEX(Input_Range,MATCH((C7&amp;B61),Input_Call,0),MATCH(K59,Input_Header,0)))</f>
        <v>0.1988</v>
      </c>
      <c r="L61" s="698">
        <f>IF(L59="",0,INDEX(Input_Range,MATCH((C7&amp;B61),Input_Call,0),MATCH(L59,Input_Header,0)))</f>
        <v>0.1988</v>
      </c>
      <c r="M61" s="698">
        <f>IF(M59="",0,INDEX(Input_Range,MATCH((C7&amp;B61),Input_Call,0),MATCH(M59,Input_Header,0)))</f>
        <v>0.1988</v>
      </c>
      <c r="N61" s="698">
        <f>IF(N59="",0,INDEX(Input_Range,MATCH((C7&amp;B61),Input_Call,0),MATCH(N59,Input_Header,0)))</f>
        <v>0.1988</v>
      </c>
      <c r="O61" s="698">
        <f>IF(O59="",0,INDEX(Input_Range,MATCH((C7&amp;B61),Input_Call,0),MATCH(O59,Input_Header,0)))</f>
        <v>0.1988</v>
      </c>
      <c r="P61" s="698">
        <f>IF(P59="",0,INDEX(Input_Range,MATCH((C7&amp;B61),Input_Call,0),MATCH(P59,Input_Header,0)))</f>
        <v>0.1988</v>
      </c>
      <c r="Q61" s="698">
        <f>IF(Q59="",0,INDEX(Input_Range,MATCH((C7&amp;B61),Input_Call,0),MATCH(Q59,Input_Header,0)))</f>
        <v>0.1988</v>
      </c>
      <c r="R61" s="698">
        <f t="shared" ref="R61:R67" si="44">Q61</f>
        <v>0.1988</v>
      </c>
      <c r="T61" s="699" t="e">
        <f t="shared" ref="T61:AG67" si="45">T60</f>
        <v>#N/A</v>
      </c>
      <c r="U61" s="699" t="e">
        <f t="shared" si="45"/>
        <v>#N/A</v>
      </c>
      <c r="V61" s="699" t="e">
        <f t="shared" si="45"/>
        <v>#N/A</v>
      </c>
      <c r="W61" s="699" t="e">
        <f t="shared" si="45"/>
        <v>#N/A</v>
      </c>
      <c r="X61" s="699" t="e">
        <f t="shared" si="45"/>
        <v>#N/A</v>
      </c>
      <c r="Y61" s="699" t="e">
        <f t="shared" si="45"/>
        <v>#N/A</v>
      </c>
      <c r="Z61" s="699" t="e">
        <f t="shared" si="45"/>
        <v>#N/A</v>
      </c>
      <c r="AA61" s="699" t="e">
        <f t="shared" si="45"/>
        <v>#N/A</v>
      </c>
      <c r="AB61" s="699" t="e">
        <f t="shared" si="45"/>
        <v>#N/A</v>
      </c>
      <c r="AC61" s="699" t="e">
        <f t="shared" si="45"/>
        <v>#N/A</v>
      </c>
      <c r="AD61" s="699" t="e">
        <f t="shared" si="45"/>
        <v>#N/A</v>
      </c>
      <c r="AE61" s="699" t="e">
        <f t="shared" si="45"/>
        <v>#N/A</v>
      </c>
      <c r="AF61" s="699" t="e">
        <f t="shared" si="45"/>
        <v>#N/A</v>
      </c>
      <c r="AG61" s="699" t="e">
        <f t="shared" si="45"/>
        <v>#N/A</v>
      </c>
      <c r="AI61" s="698" t="e">
        <f t="shared" si="41"/>
        <v>#N/A</v>
      </c>
      <c r="AJ61" s="698"/>
      <c r="AK61" s="698"/>
      <c r="AL61" s="4" t="str">
        <f>$A61&amp;$C7&amp;InputSheet!C$42&amp;InputSheet!D$42</f>
        <v>0ISOverheadContr</v>
      </c>
      <c r="AM61" s="700" t="e">
        <f t="shared" si="42"/>
        <v>#N/A</v>
      </c>
      <c r="AP61" s="387" t="e">
        <f t="shared" si="6"/>
        <v>#N/A</v>
      </c>
    </row>
    <row r="62" spans="1:42">
      <c r="A62" s="6">
        <f t="shared" si="43"/>
        <v>0</v>
      </c>
      <c r="B62" s="6" t="str">
        <f t="shared" si="39"/>
        <v>Overhead - Onsite</v>
      </c>
      <c r="E62" s="698">
        <f>IF(E59="",0,INDEX(Input_Range,MATCH((C7&amp;B62),Input_Call,0),MATCH(E59,Input_Header,0)))</f>
        <v>2.23E-2</v>
      </c>
      <c r="F62" s="698">
        <f>IF(F59="",0,INDEX(Input_Range,MATCH((C7&amp;B62),Input_Call,0),MATCH(F59,Input_Header,0)))</f>
        <v>2.23E-2</v>
      </c>
      <c r="G62" s="698">
        <f>IF(G59="",0,INDEX(Input_Range,MATCH((C7&amp;B62),Input_Call,0),MATCH(G59,Input_Header,0)))</f>
        <v>2.23E-2</v>
      </c>
      <c r="H62" s="698">
        <f>IF(H59="",0,INDEX(Input_Range,MATCH((C7&amp;B62),Input_Call,0),MATCH(H59,Input_Header,0)))</f>
        <v>2.23E-2</v>
      </c>
      <c r="I62" s="698">
        <f>IF(I59="",0,INDEX(Input_Range,MATCH((C7&amp;B62),Input_Call,0),MATCH(I59,Input_Header,0)))</f>
        <v>2.23E-2</v>
      </c>
      <c r="J62" s="698">
        <f>IF(J59="",0,INDEX(Input_Range,MATCH((C7&amp;B62),Input_Call,0),MATCH(J59,Input_Header,0)))</f>
        <v>2.23E-2</v>
      </c>
      <c r="K62" s="698">
        <f>IF(K59="",0,INDEX(Input_Range,MATCH((C7&amp;B62),Input_Call,0),MATCH(K59,Input_Header,0)))</f>
        <v>2.23E-2</v>
      </c>
      <c r="L62" s="698">
        <f>IF(L59="",0,INDEX(Input_Range,MATCH((C7&amp;B62),Input_Call,0),MATCH(L59,Input_Header,0)))</f>
        <v>2.23E-2</v>
      </c>
      <c r="M62" s="698">
        <f>IF(M59="",0,INDEX(Input_Range,MATCH((C7&amp;B62),Input_Call,0),MATCH(M59,Input_Header,0)))</f>
        <v>2.23E-2</v>
      </c>
      <c r="N62" s="698">
        <f>IF(N59="",0,INDEX(Input_Range,MATCH((C7&amp;B62),Input_Call,0),MATCH(N59,Input_Header,0)))</f>
        <v>2.23E-2</v>
      </c>
      <c r="O62" s="698">
        <f>IF(O59="",0,INDEX(Input_Range,MATCH((C7&amp;B62),Input_Call,0),MATCH(O59,Input_Header,0)))</f>
        <v>2.23E-2</v>
      </c>
      <c r="P62" s="698">
        <f>IF(P59="",0,INDEX(Input_Range,MATCH((C7&amp;B62),Input_Call,0),MATCH(P59,Input_Header,0)))</f>
        <v>2.23E-2</v>
      </c>
      <c r="Q62" s="698">
        <f>IF(Q59="",0,INDEX(Input_Range,MATCH((C7&amp;B62),Input_Call,0),MATCH(Q59,Input_Header,0)))</f>
        <v>2.23E-2</v>
      </c>
      <c r="R62" s="698">
        <f t="shared" si="44"/>
        <v>2.23E-2</v>
      </c>
      <c r="T62" s="699" t="e">
        <f t="shared" si="45"/>
        <v>#N/A</v>
      </c>
      <c r="U62" s="699" t="e">
        <f t="shared" si="45"/>
        <v>#N/A</v>
      </c>
      <c r="V62" s="699" t="e">
        <f t="shared" si="45"/>
        <v>#N/A</v>
      </c>
      <c r="W62" s="699" t="e">
        <f t="shared" si="45"/>
        <v>#N/A</v>
      </c>
      <c r="X62" s="699" t="e">
        <f t="shared" si="45"/>
        <v>#N/A</v>
      </c>
      <c r="Y62" s="699" t="e">
        <f t="shared" si="45"/>
        <v>#N/A</v>
      </c>
      <c r="Z62" s="699" t="e">
        <f t="shared" si="45"/>
        <v>#N/A</v>
      </c>
      <c r="AA62" s="699" t="e">
        <f t="shared" si="45"/>
        <v>#N/A</v>
      </c>
      <c r="AB62" s="699" t="e">
        <f t="shared" si="45"/>
        <v>#N/A</v>
      </c>
      <c r="AC62" s="699" t="e">
        <f t="shared" si="45"/>
        <v>#N/A</v>
      </c>
      <c r="AD62" s="699" t="e">
        <f t="shared" si="45"/>
        <v>#N/A</v>
      </c>
      <c r="AE62" s="699" t="e">
        <f t="shared" si="45"/>
        <v>#N/A</v>
      </c>
      <c r="AF62" s="699" t="e">
        <f t="shared" si="45"/>
        <v>#N/A</v>
      </c>
      <c r="AG62" s="699" t="e">
        <f t="shared" si="45"/>
        <v>#N/A</v>
      </c>
      <c r="AI62" s="698" t="e">
        <f t="shared" si="41"/>
        <v>#N/A</v>
      </c>
      <c r="AJ62" s="698"/>
      <c r="AK62" s="698"/>
      <c r="AL62" s="4" t="str">
        <f>$A62&amp;$C7&amp;InputSheet!C$43&amp;InputSheet!D$43</f>
        <v>0ISOverheadGovt</v>
      </c>
      <c r="AM62" s="700" t="e">
        <f t="shared" si="42"/>
        <v>#N/A</v>
      </c>
      <c r="AP62" s="387" t="e">
        <f t="shared" si="6"/>
        <v>#N/A</v>
      </c>
    </row>
    <row r="63" spans="1:42">
      <c r="A63" s="6">
        <f t="shared" si="43"/>
        <v>0</v>
      </c>
      <c r="B63" s="6" t="str">
        <f t="shared" si="39"/>
        <v>Material Handling</v>
      </c>
      <c r="E63" s="698">
        <f>IF(E59="",0,INDEX(Input_Range,MATCH((C7&amp;B63),Input_Call,0),MATCH(E59,Input_Header,0)))</f>
        <v>3.1699999999999999E-2</v>
      </c>
      <c r="F63" s="698">
        <f>IF(F59="",0,INDEX(Input_Range,MATCH((C7&amp;B63),Input_Call,0),MATCH(F59,Input_Header,0)))</f>
        <v>3.0700000000000002E-2</v>
      </c>
      <c r="G63" s="698">
        <f>IF(G59="",0,INDEX(Input_Range,MATCH((C7&amp;B63),Input_Call,0),MATCH(G59,Input_Header,0)))</f>
        <v>2.9700000000000001E-2</v>
      </c>
      <c r="H63" s="698">
        <f>IF(H59="",0,INDEX(Input_Range,MATCH((C7&amp;B63),Input_Call,0),MATCH(H59,Input_Header,0)))</f>
        <v>2.8799999999999999E-2</v>
      </c>
      <c r="I63" s="698">
        <f>IF(I59="",0,INDEX(Input_Range,MATCH((C7&amp;B63),Input_Call,0),MATCH(I59,Input_Header,0)))</f>
        <v>2.8000000000000001E-2</v>
      </c>
      <c r="J63" s="698">
        <f>IF(J59="",0,INDEX(Input_Range,MATCH((C7&amp;B63),Input_Call,0),MATCH(J59,Input_Header,0)))</f>
        <v>2.8000000000000001E-2</v>
      </c>
      <c r="K63" s="698">
        <f>IF(K59="",0,INDEX(Input_Range,MATCH((C7&amp;B63),Input_Call,0),MATCH(K59,Input_Header,0)))</f>
        <v>2.8000000000000001E-2</v>
      </c>
      <c r="L63" s="698">
        <f>IF(L59="",0,INDEX(Input_Range,MATCH((C7&amp;B63),Input_Call,0),MATCH(L59,Input_Header,0)))</f>
        <v>2.8000000000000001E-2</v>
      </c>
      <c r="M63" s="698">
        <f>IF(M59="",0,INDEX(Input_Range,MATCH((C7&amp;B63),Input_Call,0),MATCH(M59,Input_Header,0)))</f>
        <v>2.8000000000000001E-2</v>
      </c>
      <c r="N63" s="698">
        <f>IF(N59="",0,INDEX(Input_Range,MATCH((C7&amp;B63),Input_Call,0),MATCH(N59,Input_Header,0)))</f>
        <v>2.8000000000000001E-2</v>
      </c>
      <c r="O63" s="698">
        <f>IF(O59="",0,INDEX(Input_Range,MATCH((C7&amp;B63),Input_Call,0),MATCH(O59,Input_Header,0)))</f>
        <v>2.8000000000000001E-2</v>
      </c>
      <c r="P63" s="698">
        <f>IF(P59="",0,INDEX(Input_Range,MATCH((C7&amp;B63),Input_Call,0),MATCH(P59,Input_Header,0)))</f>
        <v>2.8000000000000001E-2</v>
      </c>
      <c r="Q63" s="698">
        <f>IF(Q59="",0,INDEX(Input_Range,MATCH((C7&amp;B63),Input_Call,0),MATCH(Q59,Input_Header,0)))</f>
        <v>2.8000000000000001E-2</v>
      </c>
      <c r="R63" s="698">
        <f t="shared" si="44"/>
        <v>2.8000000000000001E-2</v>
      </c>
      <c r="T63" s="699" t="e">
        <f t="shared" si="45"/>
        <v>#N/A</v>
      </c>
      <c r="U63" s="699" t="e">
        <f t="shared" si="45"/>
        <v>#N/A</v>
      </c>
      <c r="V63" s="699" t="e">
        <f t="shared" si="45"/>
        <v>#N/A</v>
      </c>
      <c r="W63" s="699" t="e">
        <f t="shared" si="45"/>
        <v>#N/A</v>
      </c>
      <c r="X63" s="699" t="e">
        <f t="shared" si="45"/>
        <v>#N/A</v>
      </c>
      <c r="Y63" s="699" t="e">
        <f t="shared" si="45"/>
        <v>#N/A</v>
      </c>
      <c r="Z63" s="699" t="e">
        <f t="shared" si="45"/>
        <v>#N/A</v>
      </c>
      <c r="AA63" s="699" t="e">
        <f t="shared" si="45"/>
        <v>#N/A</v>
      </c>
      <c r="AB63" s="699" t="e">
        <f t="shared" si="45"/>
        <v>#N/A</v>
      </c>
      <c r="AC63" s="699" t="e">
        <f t="shared" si="45"/>
        <v>#N/A</v>
      </c>
      <c r="AD63" s="699" t="e">
        <f t="shared" si="45"/>
        <v>#N/A</v>
      </c>
      <c r="AE63" s="699" t="e">
        <f t="shared" si="45"/>
        <v>#N/A</v>
      </c>
      <c r="AF63" s="699" t="e">
        <f t="shared" si="45"/>
        <v>#N/A</v>
      </c>
      <c r="AG63" s="699" t="e">
        <f t="shared" si="45"/>
        <v>#N/A</v>
      </c>
      <c r="AI63" s="698" t="e">
        <f t="shared" si="41"/>
        <v>#N/A</v>
      </c>
      <c r="AJ63" s="698"/>
      <c r="AK63" s="698"/>
      <c r="AL63" s="4" t="str">
        <f>$A63&amp;$C7&amp;InputSheet!C$44&amp;InputSheet!D$44</f>
        <v>0ISMHContr/Govt</v>
      </c>
      <c r="AM63" s="700" t="e">
        <f t="shared" si="42"/>
        <v>#N/A</v>
      </c>
      <c r="AP63" s="387" t="e">
        <f t="shared" si="6"/>
        <v>#N/A</v>
      </c>
    </row>
    <row r="64" spans="1:42">
      <c r="A64" s="6">
        <f t="shared" si="43"/>
        <v>0</v>
      </c>
      <c r="B64" s="6" t="str">
        <f t="shared" si="39"/>
        <v>G&amp;A</v>
      </c>
      <c r="E64" s="698">
        <f>IF(E59="",0,INDEX(Input_Range,MATCH((C7&amp;B64),Input_Call,0),MATCH(E59,Input_Header,0)))</f>
        <v>9.7500000000000003E-2</v>
      </c>
      <c r="F64" s="698">
        <f>IF(F59="",0,INDEX(Input_Range,MATCH((C7&amp;B64),Input_Call,0),MATCH(F59,Input_Header,0)))</f>
        <v>9.4700000000000006E-2</v>
      </c>
      <c r="G64" s="698">
        <f>IF(G59="",0,INDEX(Input_Range,MATCH((C7&amp;B64),Input_Call,0),MATCH(G59,Input_Header,0)))</f>
        <v>9.1999999999999998E-2</v>
      </c>
      <c r="H64" s="698">
        <f>IF(H59="",0,INDEX(Input_Range,MATCH((C7&amp;B64),Input_Call,0),MATCH(H59,Input_Header,0)))</f>
        <v>8.9499999999999996E-2</v>
      </c>
      <c r="I64" s="698">
        <f>IF(I59="",0,INDEX(Input_Range,MATCH((C7&amp;B64),Input_Call,0),MATCH(I59,Input_Header,0)))</f>
        <v>8.7099999999999997E-2</v>
      </c>
      <c r="J64" s="698">
        <f>IF(J59="",0,INDEX(Input_Range,MATCH((C7&amp;B64),Input_Call,0),MATCH(J59,Input_Header,0)))</f>
        <v>8.7099999999999997E-2</v>
      </c>
      <c r="K64" s="698">
        <f>IF(K59="",0,INDEX(Input_Range,MATCH((C7&amp;B64),Input_Call,0),MATCH(K59,Input_Header,0)))</f>
        <v>8.7099999999999997E-2</v>
      </c>
      <c r="L64" s="698">
        <f>IF(L59="",0,INDEX(Input_Range,MATCH((C7&amp;B64),Input_Call,0),MATCH(L59,Input_Header,0)))</f>
        <v>8.7099999999999997E-2</v>
      </c>
      <c r="M64" s="698">
        <f>IF(M59="",0,INDEX(Input_Range,MATCH((C7&amp;B64),Input_Call,0),MATCH(M59,Input_Header,0)))</f>
        <v>8.7099999999999997E-2</v>
      </c>
      <c r="N64" s="698">
        <f>IF(N59="",0,INDEX(Input_Range,MATCH((C7&amp;B64),Input_Call,0),MATCH(N59,Input_Header,0)))</f>
        <v>8.7099999999999997E-2</v>
      </c>
      <c r="O64" s="698">
        <f>IF(O59="",0,INDEX(Input_Range,MATCH((C7&amp;B64),Input_Call,0),MATCH(O59,Input_Header,0)))</f>
        <v>8.7099999999999997E-2</v>
      </c>
      <c r="P64" s="698">
        <f>IF(P59="",0,INDEX(Input_Range,MATCH((C7&amp;B64),Input_Call,0),MATCH(P59,Input_Header,0)))</f>
        <v>8.7099999999999997E-2</v>
      </c>
      <c r="Q64" s="698">
        <f>IF(Q59="",0,INDEX(Input_Range,MATCH((C7&amp;B64),Input_Call,0),MATCH(Q59,Input_Header,0)))</f>
        <v>8.7099999999999997E-2</v>
      </c>
      <c r="R64" s="698">
        <f t="shared" si="44"/>
        <v>8.7099999999999997E-2</v>
      </c>
      <c r="T64" s="699" t="e">
        <f t="shared" si="45"/>
        <v>#N/A</v>
      </c>
      <c r="U64" s="699" t="e">
        <f t="shared" si="45"/>
        <v>#N/A</v>
      </c>
      <c r="V64" s="699" t="e">
        <f t="shared" si="45"/>
        <v>#N/A</v>
      </c>
      <c r="W64" s="699" t="e">
        <f t="shared" si="45"/>
        <v>#N/A</v>
      </c>
      <c r="X64" s="699" t="e">
        <f t="shared" si="45"/>
        <v>#N/A</v>
      </c>
      <c r="Y64" s="699" t="e">
        <f t="shared" si="45"/>
        <v>#N/A</v>
      </c>
      <c r="Z64" s="699" t="e">
        <f t="shared" si="45"/>
        <v>#N/A</v>
      </c>
      <c r="AA64" s="699" t="e">
        <f t="shared" si="45"/>
        <v>#N/A</v>
      </c>
      <c r="AB64" s="699" t="e">
        <f t="shared" si="45"/>
        <v>#N/A</v>
      </c>
      <c r="AC64" s="699" t="e">
        <f t="shared" si="45"/>
        <v>#N/A</v>
      </c>
      <c r="AD64" s="699" t="e">
        <f t="shared" si="45"/>
        <v>#N/A</v>
      </c>
      <c r="AE64" s="699" t="e">
        <f t="shared" si="45"/>
        <v>#N/A</v>
      </c>
      <c r="AF64" s="699" t="e">
        <f t="shared" si="45"/>
        <v>#N/A</v>
      </c>
      <c r="AG64" s="699" t="e">
        <f t="shared" si="45"/>
        <v>#N/A</v>
      </c>
      <c r="AI64" s="698" t="e">
        <f t="shared" si="41"/>
        <v>#N/A</v>
      </c>
      <c r="AJ64" s="698"/>
      <c r="AK64" s="698"/>
      <c r="AL64" s="4" t="str">
        <f>$A64&amp;$C7&amp;InputSheet!C$45&amp;InputSheet!D$45</f>
        <v>0ISG&amp;AContr/Govt</v>
      </c>
      <c r="AM64" s="700" t="e">
        <f t="shared" si="42"/>
        <v>#N/A</v>
      </c>
      <c r="AP64" s="387" t="e">
        <f t="shared" si="6"/>
        <v>#N/A</v>
      </c>
    </row>
    <row r="65" spans="1:42" outlineLevel="1">
      <c r="A65" s="6">
        <f t="shared" si="43"/>
        <v>0</v>
      </c>
      <c r="B65" s="6" t="str">
        <f t="shared" si="39"/>
        <v>TBD1</v>
      </c>
      <c r="E65" s="21">
        <f>IF(E59="",0,INDEX(Input_Range,MATCH((C7&amp;B65),Input_Call,0),MATCH(E59,Input_Header,0)))</f>
        <v>0</v>
      </c>
      <c r="F65" s="21">
        <f>IF(F59="",0,INDEX(Input_Range,MATCH((C7&amp;B65),Input_Call,0),MATCH(F59,Input_Header,0)))</f>
        <v>0</v>
      </c>
      <c r="G65" s="21">
        <f>IF(G59="",0,INDEX(Input_Range,MATCH((C7&amp;B65),Input_Call,0),MATCH(G59,Input_Header,0)))</f>
        <v>0</v>
      </c>
      <c r="H65" s="21">
        <f>IF(H59="",0,INDEX(Input_Range,MATCH((C7&amp;B65),Input_Call,0),MATCH(H59,Input_Header,0)))</f>
        <v>0</v>
      </c>
      <c r="I65" s="21">
        <f>IF(I59="",0,INDEX(Input_Range,MATCH((C7&amp;B65),Input_Call,0),MATCH(I59,Input_Header,0)))</f>
        <v>0</v>
      </c>
      <c r="J65" s="21">
        <f>IF(J59="",0,INDEX(Input_Range,MATCH((C7&amp;B65),Input_Call,0),MATCH(J59,Input_Header,0)))</f>
        <v>0</v>
      </c>
      <c r="K65" s="21">
        <f>IF(K59="",0,INDEX(Input_Range,MATCH((C7&amp;B65),Input_Call,0),MATCH(K59,Input_Header,0)))</f>
        <v>0</v>
      </c>
      <c r="L65" s="21">
        <f>IF(L59="",0,INDEX(Input_Range,MATCH((C7&amp;B65),Input_Call,0),MATCH(L59,Input_Header,0)))</f>
        <v>0</v>
      </c>
      <c r="M65" s="21">
        <f>IF(M59="",0,INDEX(Input_Range,MATCH((C7&amp;B65),Input_Call,0),MATCH(M59,Input_Header,0)))</f>
        <v>0</v>
      </c>
      <c r="N65" s="21">
        <f>IF(N59="",0,INDEX(Input_Range,MATCH((C7&amp;B65),Input_Call,0),MATCH(N59,Input_Header,0)))</f>
        <v>0</v>
      </c>
      <c r="O65" s="21">
        <f>IF(O59="",0,INDEX(Input_Range,MATCH((C7&amp;B65),Input_Call,0),MATCH(O59,Input_Header,0)))</f>
        <v>0</v>
      </c>
      <c r="P65" s="21">
        <f>IF(P59="",0,INDEX(Input_Range,MATCH((C7&amp;B65),Input_Call,0),MATCH(P59,Input_Header,0)))</f>
        <v>0</v>
      </c>
      <c r="Q65" s="21">
        <f>IF(Q59="",0,INDEX(Input_Range,MATCH((C7&amp;B65),Input_Call,0),MATCH(Q59,Input_Header,0)))</f>
        <v>0</v>
      </c>
      <c r="R65" s="698">
        <f t="shared" si="44"/>
        <v>0</v>
      </c>
      <c r="T65" s="699" t="e">
        <f t="shared" si="45"/>
        <v>#N/A</v>
      </c>
      <c r="U65" s="699" t="e">
        <f t="shared" si="45"/>
        <v>#N/A</v>
      </c>
      <c r="V65" s="699" t="e">
        <f t="shared" si="45"/>
        <v>#N/A</v>
      </c>
      <c r="W65" s="699" t="e">
        <f t="shared" si="45"/>
        <v>#N/A</v>
      </c>
      <c r="X65" s="699" t="e">
        <f t="shared" si="45"/>
        <v>#N/A</v>
      </c>
      <c r="Y65" s="699" t="e">
        <f t="shared" si="45"/>
        <v>#N/A</v>
      </c>
      <c r="Z65" s="699" t="e">
        <f t="shared" si="45"/>
        <v>#N/A</v>
      </c>
      <c r="AA65" s="699" t="e">
        <f t="shared" si="45"/>
        <v>#N/A</v>
      </c>
      <c r="AB65" s="699" t="e">
        <f t="shared" si="45"/>
        <v>#N/A</v>
      </c>
      <c r="AC65" s="699" t="e">
        <f t="shared" si="45"/>
        <v>#N/A</v>
      </c>
      <c r="AD65" s="699" t="e">
        <f t="shared" si="45"/>
        <v>#N/A</v>
      </c>
      <c r="AE65" s="699" t="e">
        <f t="shared" si="45"/>
        <v>#N/A</v>
      </c>
      <c r="AF65" s="699" t="e">
        <f t="shared" si="45"/>
        <v>#N/A</v>
      </c>
      <c r="AG65" s="699" t="e">
        <f t="shared" si="45"/>
        <v>#N/A</v>
      </c>
      <c r="AI65" s="698" t="e">
        <f t="shared" si="41"/>
        <v>#N/A</v>
      </c>
      <c r="AJ65" s="21"/>
      <c r="AK65" s="21"/>
      <c r="AL65" s="4" t="str">
        <f>$A65&amp;$C7&amp;InputSheet!C$46&amp;InputSheet!D$46</f>
        <v>0ISTBD1Contr/Govt</v>
      </c>
      <c r="AM65" s="700" t="e">
        <f t="shared" si="42"/>
        <v>#N/A</v>
      </c>
      <c r="AP65" s="387" t="e">
        <f t="shared" si="6"/>
        <v>#N/A</v>
      </c>
    </row>
    <row r="66" spans="1:42" outlineLevel="1">
      <c r="A66" s="6">
        <f t="shared" si="43"/>
        <v>0</v>
      </c>
      <c r="B66" s="6" t="str">
        <f t="shared" si="39"/>
        <v>TBD2</v>
      </c>
      <c r="E66" s="21">
        <f>IF(E59="",0,INDEX(Input_Range,MATCH((C7&amp;B66),Input_Call,0),MATCH(E59,Input_Header,0)))</f>
        <v>0</v>
      </c>
      <c r="F66" s="21">
        <f>IF(F59="",0,INDEX(Input_Range,MATCH((C7&amp;B66),Input_Call,0),MATCH(F59,Input_Header,0)))</f>
        <v>0</v>
      </c>
      <c r="G66" s="21">
        <f>IF(G59="",0,INDEX(Input_Range,MATCH((C7&amp;B66),Input_Call,0),MATCH(G59,Input_Header,0)))</f>
        <v>0</v>
      </c>
      <c r="H66" s="21">
        <f>IF(H59="",0,INDEX(Input_Range,MATCH((C7&amp;B66),Input_Call,0),MATCH(H59,Input_Header,0)))</f>
        <v>0</v>
      </c>
      <c r="I66" s="21">
        <f>IF(I59="",0,INDEX(Input_Range,MATCH((C7&amp;B66),Input_Call,0),MATCH(I59,Input_Header,0)))</f>
        <v>0</v>
      </c>
      <c r="J66" s="21">
        <f>IF(J59="",0,INDEX(Input_Range,MATCH((C7&amp;B66),Input_Call,0),MATCH(J59,Input_Header,0)))</f>
        <v>0</v>
      </c>
      <c r="K66" s="21">
        <f>IF(K59="",0,INDEX(Input_Range,MATCH((C7&amp;B66),Input_Call,0),MATCH(K59,Input_Header,0)))</f>
        <v>0</v>
      </c>
      <c r="L66" s="21">
        <f>IF(L59="",0,INDEX(Input_Range,MATCH((C7&amp;B66),Input_Call,0),MATCH(L59,Input_Header,0)))</f>
        <v>0</v>
      </c>
      <c r="M66" s="21">
        <f>IF(M59="",0,INDEX(Input_Range,MATCH((C7&amp;B66),Input_Call,0),MATCH(M59,Input_Header,0)))</f>
        <v>0</v>
      </c>
      <c r="N66" s="21">
        <f>IF(N59="",0,INDEX(Input_Range,MATCH((C7&amp;B66),Input_Call,0),MATCH(N59,Input_Header,0)))</f>
        <v>0</v>
      </c>
      <c r="O66" s="21">
        <f>IF(O59="",0,INDEX(Input_Range,MATCH((C7&amp;B66),Input_Call,0),MATCH(O59,Input_Header,0)))</f>
        <v>0</v>
      </c>
      <c r="P66" s="21">
        <f>IF(P59="",0,INDEX(Input_Range,MATCH((C7&amp;B66),Input_Call,0),MATCH(P59,Input_Header,0)))</f>
        <v>0</v>
      </c>
      <c r="Q66" s="21">
        <f>IF(Q59="",0,INDEX(Input_Range,MATCH((C7&amp;B66),Input_Call,0),MATCH(Q59,Input_Header,0)))</f>
        <v>0</v>
      </c>
      <c r="R66" s="698">
        <f t="shared" si="44"/>
        <v>0</v>
      </c>
      <c r="T66" s="699" t="e">
        <f t="shared" si="45"/>
        <v>#N/A</v>
      </c>
      <c r="U66" s="699" t="e">
        <f t="shared" si="45"/>
        <v>#N/A</v>
      </c>
      <c r="V66" s="699" t="e">
        <f t="shared" si="45"/>
        <v>#N/A</v>
      </c>
      <c r="W66" s="699" t="e">
        <f t="shared" si="45"/>
        <v>#N/A</v>
      </c>
      <c r="X66" s="699" t="e">
        <f t="shared" si="45"/>
        <v>#N/A</v>
      </c>
      <c r="Y66" s="699" t="e">
        <f t="shared" si="45"/>
        <v>#N/A</v>
      </c>
      <c r="Z66" s="699" t="e">
        <f t="shared" si="45"/>
        <v>#N/A</v>
      </c>
      <c r="AA66" s="699" t="e">
        <f t="shared" si="45"/>
        <v>#N/A</v>
      </c>
      <c r="AB66" s="699" t="e">
        <f t="shared" si="45"/>
        <v>#N/A</v>
      </c>
      <c r="AC66" s="699" t="e">
        <f t="shared" si="45"/>
        <v>#N/A</v>
      </c>
      <c r="AD66" s="699" t="e">
        <f t="shared" si="45"/>
        <v>#N/A</v>
      </c>
      <c r="AE66" s="699" t="e">
        <f t="shared" si="45"/>
        <v>#N/A</v>
      </c>
      <c r="AF66" s="699" t="e">
        <f t="shared" si="45"/>
        <v>#N/A</v>
      </c>
      <c r="AG66" s="699" t="e">
        <f t="shared" si="45"/>
        <v>#N/A</v>
      </c>
      <c r="AI66" s="698" t="e">
        <f t="shared" si="41"/>
        <v>#N/A</v>
      </c>
      <c r="AJ66" s="21"/>
      <c r="AK66" s="21"/>
      <c r="AL66" s="4" t="str">
        <f>$A66&amp;$C7&amp;InputSheet!C$47&amp;InputSheet!D$47</f>
        <v>0ISTBD2Contr/Govt</v>
      </c>
      <c r="AM66" s="700" t="e">
        <f t="shared" si="42"/>
        <v>#N/A</v>
      </c>
      <c r="AP66" s="387" t="e">
        <f t="shared" si="6"/>
        <v>#N/A</v>
      </c>
    </row>
    <row r="67" spans="1:42" outlineLevel="1">
      <c r="A67" s="6">
        <f t="shared" si="43"/>
        <v>0</v>
      </c>
      <c r="B67" s="6" t="str">
        <f t="shared" si="39"/>
        <v>TBD3</v>
      </c>
      <c r="E67" s="21">
        <f>IF(E59="",0,INDEX(Input_Range,MATCH((C7&amp;B67),Input_Call,0),MATCH(E59,Input_Header,0)))</f>
        <v>0</v>
      </c>
      <c r="F67" s="21">
        <f>IF(F59="",0,INDEX(Input_Range,MATCH((C7&amp;B67),Input_Call,0),MATCH(F59,Input_Header,0)))</f>
        <v>0</v>
      </c>
      <c r="G67" s="21">
        <f>IF(G59="",0,INDEX(Input_Range,MATCH((C7&amp;B67),Input_Call,0),MATCH(G59,Input_Header,0)))</f>
        <v>0</v>
      </c>
      <c r="H67" s="21">
        <f>IF(H59="",0,INDEX(Input_Range,MATCH((C7&amp;B67),Input_Call,0),MATCH(H59,Input_Header,0)))</f>
        <v>0</v>
      </c>
      <c r="I67" s="21">
        <f>IF(I59="",0,INDEX(Input_Range,MATCH((C7&amp;B67),Input_Call,0),MATCH(I59,Input_Header,0)))</f>
        <v>0</v>
      </c>
      <c r="J67" s="21">
        <f>IF(J59="",0,INDEX(Input_Range,MATCH((C7&amp;B67),Input_Call,0),MATCH(J59,Input_Header,0)))</f>
        <v>0</v>
      </c>
      <c r="K67" s="21">
        <f>IF(K59="",0,INDEX(Input_Range,MATCH((C7&amp;B67),Input_Call,0),MATCH(K59,Input_Header,0)))</f>
        <v>0</v>
      </c>
      <c r="L67" s="21">
        <f>IF(L59="",0,INDEX(Input_Range,MATCH((C7&amp;B67),Input_Call,0),MATCH(L59,Input_Header,0)))</f>
        <v>0</v>
      </c>
      <c r="M67" s="21">
        <f>IF(M59="",0,INDEX(Input_Range,MATCH((C7&amp;B67),Input_Call,0),MATCH(M59,Input_Header,0)))</f>
        <v>0</v>
      </c>
      <c r="N67" s="21">
        <f>IF(N59="",0,INDEX(Input_Range,MATCH((C7&amp;B67),Input_Call,0),MATCH(N59,Input_Header,0)))</f>
        <v>0</v>
      </c>
      <c r="O67" s="21">
        <f>IF(O59="",0,INDEX(Input_Range,MATCH((C7&amp;B67),Input_Call,0),MATCH(O59,Input_Header,0)))</f>
        <v>0</v>
      </c>
      <c r="P67" s="21">
        <f>IF(P59="",0,INDEX(Input_Range,MATCH((C7&amp;B67),Input_Call,0),MATCH(P59,Input_Header,0)))</f>
        <v>0</v>
      </c>
      <c r="Q67" s="21">
        <f>IF(Q59="",0,INDEX(Input_Range,MATCH((C7&amp;B67),Input_Call,0),MATCH(Q59,Input_Header,0)))</f>
        <v>0</v>
      </c>
      <c r="R67" s="698">
        <f t="shared" si="44"/>
        <v>0</v>
      </c>
      <c r="T67" s="699" t="e">
        <f t="shared" si="45"/>
        <v>#N/A</v>
      </c>
      <c r="U67" s="699" t="e">
        <f t="shared" si="45"/>
        <v>#N/A</v>
      </c>
      <c r="V67" s="699" t="e">
        <f t="shared" si="45"/>
        <v>#N/A</v>
      </c>
      <c r="W67" s="699" t="e">
        <f t="shared" si="45"/>
        <v>#N/A</v>
      </c>
      <c r="X67" s="699" t="e">
        <f t="shared" si="45"/>
        <v>#N/A</v>
      </c>
      <c r="Y67" s="699" t="e">
        <f t="shared" si="45"/>
        <v>#N/A</v>
      </c>
      <c r="Z67" s="699" t="e">
        <f t="shared" si="45"/>
        <v>#N/A</v>
      </c>
      <c r="AA67" s="699" t="e">
        <f t="shared" si="45"/>
        <v>#N/A</v>
      </c>
      <c r="AB67" s="699" t="e">
        <f t="shared" si="45"/>
        <v>#N/A</v>
      </c>
      <c r="AC67" s="699" t="e">
        <f t="shared" si="45"/>
        <v>#N/A</v>
      </c>
      <c r="AD67" s="699" t="e">
        <f t="shared" si="45"/>
        <v>#N/A</v>
      </c>
      <c r="AE67" s="699" t="e">
        <f t="shared" si="45"/>
        <v>#N/A</v>
      </c>
      <c r="AF67" s="699" t="e">
        <f t="shared" si="45"/>
        <v>#N/A</v>
      </c>
      <c r="AG67" s="699" t="e">
        <f t="shared" si="45"/>
        <v>#N/A</v>
      </c>
      <c r="AI67" s="698" t="e">
        <f t="shared" si="41"/>
        <v>#N/A</v>
      </c>
      <c r="AJ67" s="21"/>
      <c r="AK67" s="21"/>
      <c r="AL67" s="4" t="str">
        <f>$A67&amp;$C7&amp;InputSheet!C$48&amp;InputSheet!D$48</f>
        <v>0ISTBD3Contr/Govt</v>
      </c>
      <c r="AM67" s="700" t="e">
        <f t="shared" si="42"/>
        <v>#N/A</v>
      </c>
      <c r="AP67" s="387" t="e">
        <f t="shared" si="6"/>
        <v>#N/A</v>
      </c>
    </row>
    <row r="68" spans="1:42">
      <c r="E68" s="698"/>
      <c r="F68" s="698"/>
      <c r="G68" s="698"/>
      <c r="H68" s="698"/>
      <c r="I68" s="698"/>
      <c r="J68" s="698"/>
      <c r="K68" s="698"/>
      <c r="L68" s="698"/>
      <c r="M68" s="698"/>
      <c r="N68" s="698"/>
      <c r="O68" s="698"/>
      <c r="P68" s="698"/>
      <c r="Q68" s="698"/>
      <c r="R68" s="698"/>
      <c r="AI68" s="21"/>
      <c r="AJ68" s="21"/>
      <c r="AK68" s="21"/>
      <c r="AP68" s="387" t="str">
        <f t="shared" si="6"/>
        <v>1</v>
      </c>
    </row>
    <row r="69" spans="1:42">
      <c r="A69" s="530" t="str">
        <f>B69</f>
        <v>Option Year 5</v>
      </c>
      <c r="B69" s="691" t="str">
        <f>InputSheet!$C$27</f>
        <v>Option Year 5</v>
      </c>
      <c r="C69" s="28"/>
      <c r="AP69" s="387" t="str">
        <f t="shared" si="6"/>
        <v>1</v>
      </c>
    </row>
    <row r="70" spans="1:42">
      <c r="B70" s="314" t="s">
        <v>587</v>
      </c>
      <c r="C70" s="692" t="s">
        <v>588</v>
      </c>
      <c r="E70" s="1216" t="str">
        <f>"Indirect Rates - "&amp;C$7</f>
        <v>Indirect Rates - IS</v>
      </c>
      <c r="F70" s="1216"/>
      <c r="G70" s="1216"/>
      <c r="H70" s="1216"/>
      <c r="I70" s="1216"/>
      <c r="J70" s="1216"/>
      <c r="K70" s="1216"/>
      <c r="L70" s="1216"/>
      <c r="M70" s="1216"/>
      <c r="N70" s="1216"/>
      <c r="O70" s="1216"/>
      <c r="P70" s="1216"/>
      <c r="Q70" s="1216"/>
      <c r="R70" s="1216"/>
      <c r="S70" s="844"/>
      <c r="T70" s="1217" t="s">
        <v>794</v>
      </c>
      <c r="U70" s="1217"/>
      <c r="V70" s="1217"/>
      <c r="W70" s="1217"/>
      <c r="X70" s="1217"/>
      <c r="Y70" s="1217"/>
      <c r="Z70" s="1217"/>
      <c r="AA70" s="1217"/>
      <c r="AB70" s="1217"/>
      <c r="AC70" s="1217"/>
      <c r="AD70" s="1217"/>
      <c r="AE70" s="1217"/>
      <c r="AF70" s="1217"/>
      <c r="AG70" s="1217"/>
      <c r="AI70" s="692" t="s">
        <v>615</v>
      </c>
      <c r="AJ70" s="50"/>
      <c r="AK70" s="50"/>
      <c r="AP70" s="387" t="str">
        <f t="shared" si="6"/>
        <v>1</v>
      </c>
    </row>
    <row r="71" spans="1:42">
      <c r="B71" s="693">
        <f>VLOOKUP(A69,InputSheet!$C$8:$E$37,2,FALSE)</f>
        <v>1</v>
      </c>
      <c r="C71" s="694">
        <f>VLOOKUP(A69,InputSheet!$C$8:$E$37,3,FALSE)</f>
        <v>365</v>
      </c>
      <c r="E71" s="695">
        <f t="shared" ref="E71:R71" si="46">E59</f>
        <v>2009</v>
      </c>
      <c r="F71" s="695">
        <f t="shared" si="46"/>
        <v>2010</v>
      </c>
      <c r="G71" s="695">
        <f t="shared" si="46"/>
        <v>2011</v>
      </c>
      <c r="H71" s="695">
        <f t="shared" si="46"/>
        <v>2012</v>
      </c>
      <c r="I71" s="695">
        <f t="shared" si="46"/>
        <v>2013</v>
      </c>
      <c r="J71" s="695">
        <f t="shared" si="46"/>
        <v>2014</v>
      </c>
      <c r="K71" s="695">
        <f t="shared" si="46"/>
        <v>2015</v>
      </c>
      <c r="L71" s="695">
        <f t="shared" si="46"/>
        <v>2016</v>
      </c>
      <c r="M71" s="695">
        <f t="shared" si="46"/>
        <v>2017</v>
      </c>
      <c r="N71" s="695">
        <f t="shared" si="46"/>
        <v>2018</v>
      </c>
      <c r="O71" s="695">
        <f t="shared" si="46"/>
        <v>2019</v>
      </c>
      <c r="P71" s="695">
        <f t="shared" si="46"/>
        <v>2020</v>
      </c>
      <c r="Q71" s="695">
        <f t="shared" si="46"/>
        <v>2021</v>
      </c>
      <c r="R71" s="695">
        <f t="shared" si="46"/>
        <v>2022</v>
      </c>
      <c r="S71" s="680"/>
      <c r="T71" s="695">
        <f t="shared" ref="T71:AG71" si="47">T59</f>
        <v>2009</v>
      </c>
      <c r="U71" s="695">
        <f t="shared" si="47"/>
        <v>2010</v>
      </c>
      <c r="V71" s="695">
        <f t="shared" si="47"/>
        <v>2011</v>
      </c>
      <c r="W71" s="695">
        <f t="shared" si="47"/>
        <v>2012</v>
      </c>
      <c r="X71" s="695">
        <f t="shared" si="47"/>
        <v>2013</v>
      </c>
      <c r="Y71" s="695">
        <f t="shared" si="47"/>
        <v>2014</v>
      </c>
      <c r="Z71" s="695">
        <f t="shared" si="47"/>
        <v>2015</v>
      </c>
      <c r="AA71" s="695">
        <f t="shared" si="47"/>
        <v>2016</v>
      </c>
      <c r="AB71" s="695">
        <f t="shared" si="47"/>
        <v>2017</v>
      </c>
      <c r="AC71" s="695">
        <f t="shared" si="47"/>
        <v>2018</v>
      </c>
      <c r="AD71" s="695">
        <f t="shared" si="47"/>
        <v>2019</v>
      </c>
      <c r="AE71" s="695">
        <f t="shared" si="47"/>
        <v>2020</v>
      </c>
      <c r="AF71" s="695">
        <f t="shared" si="47"/>
        <v>2021</v>
      </c>
      <c r="AG71" s="695">
        <f t="shared" si="47"/>
        <v>2022</v>
      </c>
      <c r="AI71" s="696" t="str">
        <f>B69</f>
        <v>Option Year 5</v>
      </c>
      <c r="AJ71" s="28"/>
      <c r="AK71" s="28"/>
      <c r="AP71" s="387" t="str">
        <f t="shared" si="6"/>
        <v>1</v>
      </c>
    </row>
    <row r="72" spans="1:42">
      <c r="A72" s="6" t="str">
        <f>A69</f>
        <v>Option Year 5</v>
      </c>
      <c r="B72" s="6" t="str">
        <f t="shared" ref="B72:B79" si="48">B60</f>
        <v>PRB</v>
      </c>
      <c r="E72" s="698">
        <f>IF(E71="",0,INDEX(Input_Range,MATCH((C7&amp;B72),Input_Call,0),MATCH(E71,Input_Header,0)))</f>
        <v>0.31240000000000001</v>
      </c>
      <c r="F72" s="698">
        <f>IF(F71="",0,INDEX(Input_Range,MATCH((C7&amp;B72),Input_Call,0),MATCH(F71,Input_Header,0)))</f>
        <v>0.31240000000000001</v>
      </c>
      <c r="G72" s="698">
        <f>IF(G71="",0,INDEX(Input_Range,MATCH((C7&amp;B72),Input_Call,0),MATCH(G71,Input_Header,0)))</f>
        <v>0.31240000000000001</v>
      </c>
      <c r="H72" s="698">
        <f>IF(H71="",0,INDEX(Input_Range,MATCH((C7&amp;B72),Input_Call,0),MATCH(H71,Input_Header,0)))</f>
        <v>0.31240000000000001</v>
      </c>
      <c r="I72" s="698">
        <f>IF(I71="",0,INDEX(Input_Range,MATCH((C7&amp;B72),Input_Call,0),MATCH(I71,Input_Header,0)))</f>
        <v>0.31240000000000001</v>
      </c>
      <c r="J72" s="698">
        <f>IF(J71="",0,INDEX(Input_Range,MATCH((C7&amp;B72),Input_Call,0),MATCH(J71,Input_Header,0)))</f>
        <v>0.31240000000000001</v>
      </c>
      <c r="K72" s="698">
        <f>IF(K71="",0,INDEX(Input_Range,MATCH((C7&amp;B72),Input_Call,0),MATCH(K71,Input_Header,0)))</f>
        <v>0.31240000000000001</v>
      </c>
      <c r="L72" s="698">
        <f>IF(L71="",0,INDEX(Input_Range,MATCH((C7&amp;B72),Input_Call,0),MATCH(L71,Input_Header,0)))</f>
        <v>0.31240000000000001</v>
      </c>
      <c r="M72" s="698">
        <f>IF(M71="",0,INDEX(Input_Range,MATCH((C7&amp;B72),Input_Call,0),MATCH(M71,Input_Header,0)))</f>
        <v>0.31240000000000001</v>
      </c>
      <c r="N72" s="698">
        <f>IF(N71="",0,INDEX(Input_Range,MATCH((C7&amp;B72),Input_Call,0),MATCH(N71,Input_Header,0)))</f>
        <v>0.31240000000000001</v>
      </c>
      <c r="O72" s="698">
        <f>IF(O71="",0,INDEX(Input_Range,MATCH((C7&amp;B72),Input_Call,0),MATCH(O71,Input_Header,0)))</f>
        <v>0.31240000000000001</v>
      </c>
      <c r="P72" s="698">
        <f>IF(P71="",0,INDEX(Input_Range,MATCH((C7&amp;B72),Input_Call,0),MATCH(P71,Input_Header,0)))</f>
        <v>0.31240000000000001</v>
      </c>
      <c r="Q72" s="698">
        <f>IF(Q71="",0,INDEX(Input_Range,MATCH((C7&amp;B72),Input_Call,0),MATCH(Q71,Input_Header,0)))</f>
        <v>0.31240000000000001</v>
      </c>
      <c r="R72" s="698">
        <f>Q72</f>
        <v>0.31240000000000001</v>
      </c>
      <c r="T72" s="699">
        <f t="shared" ref="T72:AG72" si="49">ROUND((MAX(0,(MIN($C71,DATE(T71,12,31))-MAX($B71,DATE(T71,1,1))+1)))/30.41667,0)</f>
        <v>0</v>
      </c>
      <c r="U72" s="699">
        <f t="shared" si="49"/>
        <v>0</v>
      </c>
      <c r="V72" s="699">
        <f t="shared" si="49"/>
        <v>0</v>
      </c>
      <c r="W72" s="699">
        <f t="shared" si="49"/>
        <v>0</v>
      </c>
      <c r="X72" s="699">
        <f t="shared" si="49"/>
        <v>0</v>
      </c>
      <c r="Y72" s="699">
        <f t="shared" si="49"/>
        <v>0</v>
      </c>
      <c r="Z72" s="699">
        <f t="shared" si="49"/>
        <v>0</v>
      </c>
      <c r="AA72" s="699">
        <f t="shared" si="49"/>
        <v>0</v>
      </c>
      <c r="AB72" s="699">
        <f t="shared" si="49"/>
        <v>0</v>
      </c>
      <c r="AC72" s="699">
        <f t="shared" si="49"/>
        <v>0</v>
      </c>
      <c r="AD72" s="699">
        <f t="shared" si="49"/>
        <v>0</v>
      </c>
      <c r="AE72" s="699">
        <f t="shared" si="49"/>
        <v>0</v>
      </c>
      <c r="AF72" s="699">
        <f t="shared" si="49"/>
        <v>0</v>
      </c>
      <c r="AG72" s="699">
        <f t="shared" si="49"/>
        <v>0</v>
      </c>
      <c r="AI72" s="698" t="e">
        <f t="shared" ref="AI72:AI79" si="50">ROUND(SUMPRODUCT(E72:R72,T72:AG72)/SUM(T72:AG72),4)</f>
        <v>#DIV/0!</v>
      </c>
      <c r="AJ72" s="698"/>
      <c r="AK72" s="698"/>
      <c r="AL72" s="4" t="str">
        <f>$A72&amp;$C7&amp;InputSheet!C$41&amp;InputSheet!D$41</f>
        <v>Option Year 5ISPRBContr/Govt</v>
      </c>
      <c r="AM72" s="700" t="e">
        <f t="shared" ref="AM72:AM79" si="51">AI72</f>
        <v>#DIV/0!</v>
      </c>
      <c r="AP72" s="387" t="e">
        <f t="shared" si="6"/>
        <v>#DIV/0!</v>
      </c>
    </row>
    <row r="73" spans="1:42">
      <c r="A73" s="6" t="str">
        <f t="shared" ref="A73:A79" si="52">A72</f>
        <v>Option Year 5</v>
      </c>
      <c r="B73" s="6" t="str">
        <f t="shared" si="48"/>
        <v>Overhead - Offsite</v>
      </c>
      <c r="E73" s="698">
        <f>IF(E71="",0,INDEX(Input_Range,MATCH((C7&amp;B73),Input_Call,0),MATCH(E71,Input_Header,0)))</f>
        <v>0.1988</v>
      </c>
      <c r="F73" s="698">
        <f>IF(F71="",0,INDEX(Input_Range,MATCH((C7&amp;B73),Input_Call,0),MATCH(F71,Input_Header,0)))</f>
        <v>0.1988</v>
      </c>
      <c r="G73" s="698">
        <f>IF(G71="",0,INDEX(Input_Range,MATCH((C7&amp;B73),Input_Call,0),MATCH(G71,Input_Header,0)))</f>
        <v>0.1988</v>
      </c>
      <c r="H73" s="698">
        <f>IF(H71="",0,INDEX(Input_Range,MATCH((C7&amp;B73),Input_Call,0),MATCH(H71,Input_Header,0)))</f>
        <v>0.1988</v>
      </c>
      <c r="I73" s="698">
        <f>IF(I71="",0,INDEX(Input_Range,MATCH((C7&amp;B73),Input_Call,0),MATCH(I71,Input_Header,0)))</f>
        <v>0.1988</v>
      </c>
      <c r="J73" s="698">
        <f>IF(J71="",0,INDEX(Input_Range,MATCH((C7&amp;B73),Input_Call,0),MATCH(J71,Input_Header,0)))</f>
        <v>0.1988</v>
      </c>
      <c r="K73" s="698">
        <f>IF(K71="",0,INDEX(Input_Range,MATCH((C7&amp;B73),Input_Call,0),MATCH(K71,Input_Header,0)))</f>
        <v>0.1988</v>
      </c>
      <c r="L73" s="698">
        <f>IF(L71="",0,INDEX(Input_Range,MATCH((C7&amp;B73),Input_Call,0),MATCH(L71,Input_Header,0)))</f>
        <v>0.1988</v>
      </c>
      <c r="M73" s="698">
        <f>IF(M71="",0,INDEX(Input_Range,MATCH((C7&amp;B73),Input_Call,0),MATCH(M71,Input_Header,0)))</f>
        <v>0.1988</v>
      </c>
      <c r="N73" s="698">
        <f>IF(N71="",0,INDEX(Input_Range,MATCH((C7&amp;B73),Input_Call,0),MATCH(N71,Input_Header,0)))</f>
        <v>0.1988</v>
      </c>
      <c r="O73" s="698">
        <f>IF(O71="",0,INDEX(Input_Range,MATCH((C7&amp;B73),Input_Call,0),MATCH(O71,Input_Header,0)))</f>
        <v>0.1988</v>
      </c>
      <c r="P73" s="698">
        <f>IF(P71="",0,INDEX(Input_Range,MATCH((C7&amp;B73),Input_Call,0),MATCH(P71,Input_Header,0)))</f>
        <v>0.1988</v>
      </c>
      <c r="Q73" s="698">
        <f>IF(Q71="",0,INDEX(Input_Range,MATCH((C7&amp;B73),Input_Call,0),MATCH(Q71,Input_Header,0)))</f>
        <v>0.1988</v>
      </c>
      <c r="R73" s="698">
        <f t="shared" ref="R73:R79" si="53">Q73</f>
        <v>0.1988</v>
      </c>
      <c r="T73" s="699">
        <f t="shared" ref="T73:AG79" si="54">T72</f>
        <v>0</v>
      </c>
      <c r="U73" s="699">
        <f t="shared" si="54"/>
        <v>0</v>
      </c>
      <c r="V73" s="699">
        <f t="shared" si="54"/>
        <v>0</v>
      </c>
      <c r="W73" s="699">
        <f t="shared" si="54"/>
        <v>0</v>
      </c>
      <c r="X73" s="699">
        <f t="shared" si="54"/>
        <v>0</v>
      </c>
      <c r="Y73" s="699">
        <f t="shared" si="54"/>
        <v>0</v>
      </c>
      <c r="Z73" s="699">
        <f t="shared" si="54"/>
        <v>0</v>
      </c>
      <c r="AA73" s="699">
        <f t="shared" si="54"/>
        <v>0</v>
      </c>
      <c r="AB73" s="699">
        <f t="shared" si="54"/>
        <v>0</v>
      </c>
      <c r="AC73" s="699">
        <f t="shared" si="54"/>
        <v>0</v>
      </c>
      <c r="AD73" s="699">
        <f t="shared" si="54"/>
        <v>0</v>
      </c>
      <c r="AE73" s="699">
        <f t="shared" si="54"/>
        <v>0</v>
      </c>
      <c r="AF73" s="699">
        <f t="shared" si="54"/>
        <v>0</v>
      </c>
      <c r="AG73" s="699">
        <f t="shared" si="54"/>
        <v>0</v>
      </c>
      <c r="AI73" s="698" t="e">
        <f t="shared" si="50"/>
        <v>#DIV/0!</v>
      </c>
      <c r="AJ73" s="698"/>
      <c r="AK73" s="698"/>
      <c r="AL73" s="4" t="str">
        <f>$A73&amp;$C7&amp;InputSheet!C$42&amp;InputSheet!D$42</f>
        <v>Option Year 5ISOverheadContr</v>
      </c>
      <c r="AM73" s="700" t="e">
        <f t="shared" si="51"/>
        <v>#DIV/0!</v>
      </c>
      <c r="AP73" s="387" t="e">
        <f t="shared" si="6"/>
        <v>#DIV/0!</v>
      </c>
    </row>
    <row r="74" spans="1:42">
      <c r="A74" s="6" t="str">
        <f t="shared" si="52"/>
        <v>Option Year 5</v>
      </c>
      <c r="B74" s="6" t="str">
        <f t="shared" si="48"/>
        <v>Overhead - Onsite</v>
      </c>
      <c r="E74" s="698">
        <f>IF(E71="",0,INDEX(Input_Range,MATCH((C7&amp;B74),Input_Call,0),MATCH(E71,Input_Header,0)))</f>
        <v>2.23E-2</v>
      </c>
      <c r="F74" s="698">
        <f>IF(F71="",0,INDEX(Input_Range,MATCH((C7&amp;B74),Input_Call,0),MATCH(F71,Input_Header,0)))</f>
        <v>2.23E-2</v>
      </c>
      <c r="G74" s="698">
        <f>IF(G71="",0,INDEX(Input_Range,MATCH((C7&amp;B74),Input_Call,0),MATCH(G71,Input_Header,0)))</f>
        <v>2.23E-2</v>
      </c>
      <c r="H74" s="698">
        <f>IF(H71="",0,INDEX(Input_Range,MATCH((C7&amp;B74),Input_Call,0),MATCH(H71,Input_Header,0)))</f>
        <v>2.23E-2</v>
      </c>
      <c r="I74" s="698">
        <f>IF(I71="",0,INDEX(Input_Range,MATCH((C7&amp;B74),Input_Call,0),MATCH(I71,Input_Header,0)))</f>
        <v>2.23E-2</v>
      </c>
      <c r="J74" s="698">
        <f>IF(J71="",0,INDEX(Input_Range,MATCH((C7&amp;B74),Input_Call,0),MATCH(J71,Input_Header,0)))</f>
        <v>2.23E-2</v>
      </c>
      <c r="K74" s="698">
        <f>IF(K71="",0,INDEX(Input_Range,MATCH((C7&amp;B74),Input_Call,0),MATCH(K71,Input_Header,0)))</f>
        <v>2.23E-2</v>
      </c>
      <c r="L74" s="698">
        <f>IF(L71="",0,INDEX(Input_Range,MATCH((C7&amp;B74),Input_Call,0),MATCH(L71,Input_Header,0)))</f>
        <v>2.23E-2</v>
      </c>
      <c r="M74" s="698">
        <f>IF(M71="",0,INDEX(Input_Range,MATCH((C7&amp;B74),Input_Call,0),MATCH(M71,Input_Header,0)))</f>
        <v>2.23E-2</v>
      </c>
      <c r="N74" s="698">
        <f>IF(N71="",0,INDEX(Input_Range,MATCH((C7&amp;B74),Input_Call,0),MATCH(N71,Input_Header,0)))</f>
        <v>2.23E-2</v>
      </c>
      <c r="O74" s="698">
        <f>IF(O71="",0,INDEX(Input_Range,MATCH((C7&amp;B74),Input_Call,0),MATCH(O71,Input_Header,0)))</f>
        <v>2.23E-2</v>
      </c>
      <c r="P74" s="698">
        <f>IF(P71="",0,INDEX(Input_Range,MATCH((C7&amp;B74),Input_Call,0),MATCH(P71,Input_Header,0)))</f>
        <v>2.23E-2</v>
      </c>
      <c r="Q74" s="698">
        <f>IF(Q71="",0,INDEX(Input_Range,MATCH((C7&amp;B74),Input_Call,0),MATCH(Q71,Input_Header,0)))</f>
        <v>2.23E-2</v>
      </c>
      <c r="R74" s="698">
        <f t="shared" si="53"/>
        <v>2.23E-2</v>
      </c>
      <c r="T74" s="699">
        <f t="shared" si="54"/>
        <v>0</v>
      </c>
      <c r="U74" s="699">
        <f t="shared" si="54"/>
        <v>0</v>
      </c>
      <c r="V74" s="699">
        <f t="shared" si="54"/>
        <v>0</v>
      </c>
      <c r="W74" s="699">
        <f t="shared" si="54"/>
        <v>0</v>
      </c>
      <c r="X74" s="699">
        <f t="shared" si="54"/>
        <v>0</v>
      </c>
      <c r="Y74" s="699">
        <f t="shared" si="54"/>
        <v>0</v>
      </c>
      <c r="Z74" s="699">
        <f t="shared" si="54"/>
        <v>0</v>
      </c>
      <c r="AA74" s="699">
        <f t="shared" si="54"/>
        <v>0</v>
      </c>
      <c r="AB74" s="699">
        <f t="shared" si="54"/>
        <v>0</v>
      </c>
      <c r="AC74" s="699">
        <f t="shared" si="54"/>
        <v>0</v>
      </c>
      <c r="AD74" s="699">
        <f t="shared" si="54"/>
        <v>0</v>
      </c>
      <c r="AE74" s="699">
        <f t="shared" si="54"/>
        <v>0</v>
      </c>
      <c r="AF74" s="699">
        <f t="shared" si="54"/>
        <v>0</v>
      </c>
      <c r="AG74" s="699">
        <f t="shared" si="54"/>
        <v>0</v>
      </c>
      <c r="AI74" s="698" t="e">
        <f t="shared" si="50"/>
        <v>#DIV/0!</v>
      </c>
      <c r="AJ74" s="698"/>
      <c r="AK74" s="698"/>
      <c r="AL74" s="4" t="str">
        <f>$A74&amp;$C7&amp;InputSheet!C$43&amp;InputSheet!D$43</f>
        <v>Option Year 5ISOverheadGovt</v>
      </c>
      <c r="AM74" s="700" t="e">
        <f t="shared" si="51"/>
        <v>#DIV/0!</v>
      </c>
      <c r="AP74" s="387" t="e">
        <f t="shared" si="6"/>
        <v>#DIV/0!</v>
      </c>
    </row>
    <row r="75" spans="1:42">
      <c r="A75" s="6" t="str">
        <f t="shared" si="52"/>
        <v>Option Year 5</v>
      </c>
      <c r="B75" s="6" t="str">
        <f t="shared" si="48"/>
        <v>Material Handling</v>
      </c>
      <c r="E75" s="698">
        <f>IF(E71="",0,INDEX(Input_Range,MATCH((C7&amp;B75),Input_Call,0),MATCH(E71,Input_Header,0)))</f>
        <v>3.1699999999999999E-2</v>
      </c>
      <c r="F75" s="698">
        <f>IF(F71="",0,INDEX(Input_Range,MATCH((C7&amp;B75),Input_Call,0),MATCH(F71,Input_Header,0)))</f>
        <v>3.0700000000000002E-2</v>
      </c>
      <c r="G75" s="698">
        <f>IF(G71="",0,INDEX(Input_Range,MATCH((C7&amp;B75),Input_Call,0),MATCH(G71,Input_Header,0)))</f>
        <v>2.9700000000000001E-2</v>
      </c>
      <c r="H75" s="698">
        <f>IF(H71="",0,INDEX(Input_Range,MATCH((C7&amp;B75),Input_Call,0),MATCH(H71,Input_Header,0)))</f>
        <v>2.8799999999999999E-2</v>
      </c>
      <c r="I75" s="698">
        <f>IF(I71="",0,INDEX(Input_Range,MATCH((C7&amp;B75),Input_Call,0),MATCH(I71,Input_Header,0)))</f>
        <v>2.8000000000000001E-2</v>
      </c>
      <c r="J75" s="698">
        <f>IF(J71="",0,INDEX(Input_Range,MATCH((C7&amp;B75),Input_Call,0),MATCH(J71,Input_Header,0)))</f>
        <v>2.8000000000000001E-2</v>
      </c>
      <c r="K75" s="698">
        <f>IF(K71="",0,INDEX(Input_Range,MATCH((C7&amp;B75),Input_Call,0),MATCH(K71,Input_Header,0)))</f>
        <v>2.8000000000000001E-2</v>
      </c>
      <c r="L75" s="698">
        <f>IF(L71="",0,INDEX(Input_Range,MATCH((C7&amp;B75),Input_Call,0),MATCH(L71,Input_Header,0)))</f>
        <v>2.8000000000000001E-2</v>
      </c>
      <c r="M75" s="698">
        <f>IF(M71="",0,INDEX(Input_Range,MATCH((C7&amp;B75),Input_Call,0),MATCH(M71,Input_Header,0)))</f>
        <v>2.8000000000000001E-2</v>
      </c>
      <c r="N75" s="698">
        <f>IF(N71="",0,INDEX(Input_Range,MATCH((C7&amp;B75),Input_Call,0),MATCH(N71,Input_Header,0)))</f>
        <v>2.8000000000000001E-2</v>
      </c>
      <c r="O75" s="698">
        <f>IF(O71="",0,INDEX(Input_Range,MATCH((C7&amp;B75),Input_Call,0),MATCH(O71,Input_Header,0)))</f>
        <v>2.8000000000000001E-2</v>
      </c>
      <c r="P75" s="698">
        <f>IF(P71="",0,INDEX(Input_Range,MATCH((C7&amp;B75),Input_Call,0),MATCH(P71,Input_Header,0)))</f>
        <v>2.8000000000000001E-2</v>
      </c>
      <c r="Q75" s="698">
        <f>IF(Q71="",0,INDEX(Input_Range,MATCH((C7&amp;B75),Input_Call,0),MATCH(Q71,Input_Header,0)))</f>
        <v>2.8000000000000001E-2</v>
      </c>
      <c r="R75" s="698">
        <f t="shared" si="53"/>
        <v>2.8000000000000001E-2</v>
      </c>
      <c r="T75" s="699">
        <f t="shared" si="54"/>
        <v>0</v>
      </c>
      <c r="U75" s="699">
        <f t="shared" si="54"/>
        <v>0</v>
      </c>
      <c r="V75" s="699">
        <f t="shared" si="54"/>
        <v>0</v>
      </c>
      <c r="W75" s="699">
        <f t="shared" si="54"/>
        <v>0</v>
      </c>
      <c r="X75" s="699">
        <f t="shared" si="54"/>
        <v>0</v>
      </c>
      <c r="Y75" s="699">
        <f t="shared" si="54"/>
        <v>0</v>
      </c>
      <c r="Z75" s="699">
        <f t="shared" si="54"/>
        <v>0</v>
      </c>
      <c r="AA75" s="699">
        <f t="shared" si="54"/>
        <v>0</v>
      </c>
      <c r="AB75" s="699">
        <f t="shared" si="54"/>
        <v>0</v>
      </c>
      <c r="AC75" s="699">
        <f t="shared" si="54"/>
        <v>0</v>
      </c>
      <c r="AD75" s="699">
        <f t="shared" si="54"/>
        <v>0</v>
      </c>
      <c r="AE75" s="699">
        <f t="shared" si="54"/>
        <v>0</v>
      </c>
      <c r="AF75" s="699">
        <f t="shared" si="54"/>
        <v>0</v>
      </c>
      <c r="AG75" s="699">
        <f t="shared" si="54"/>
        <v>0</v>
      </c>
      <c r="AI75" s="698" t="e">
        <f t="shared" si="50"/>
        <v>#DIV/0!</v>
      </c>
      <c r="AJ75" s="698"/>
      <c r="AK75" s="698"/>
      <c r="AL75" s="4" t="str">
        <f>$A75&amp;$C7&amp;InputSheet!C$44&amp;InputSheet!D$44</f>
        <v>Option Year 5ISMHContr/Govt</v>
      </c>
      <c r="AM75" s="700" t="e">
        <f t="shared" si="51"/>
        <v>#DIV/0!</v>
      </c>
      <c r="AP75" s="387" t="e">
        <f t="shared" si="6"/>
        <v>#DIV/0!</v>
      </c>
    </row>
    <row r="76" spans="1:42">
      <c r="A76" s="6" t="str">
        <f t="shared" si="52"/>
        <v>Option Year 5</v>
      </c>
      <c r="B76" s="6" t="str">
        <f t="shared" si="48"/>
        <v>G&amp;A</v>
      </c>
      <c r="E76" s="698">
        <f>IF(E71="",0,INDEX(Input_Range,MATCH((C7&amp;B76),Input_Call,0),MATCH(E71,Input_Header,0)))</f>
        <v>9.7500000000000003E-2</v>
      </c>
      <c r="F76" s="698">
        <f>IF(F71="",0,INDEX(Input_Range,MATCH((C7&amp;B76),Input_Call,0),MATCH(F71,Input_Header,0)))</f>
        <v>9.4700000000000006E-2</v>
      </c>
      <c r="G76" s="698">
        <f>IF(G71="",0,INDEX(Input_Range,MATCH((C7&amp;B76),Input_Call,0),MATCH(G71,Input_Header,0)))</f>
        <v>9.1999999999999998E-2</v>
      </c>
      <c r="H76" s="698">
        <f>IF(H71="",0,INDEX(Input_Range,MATCH((C7&amp;B76),Input_Call,0),MATCH(H71,Input_Header,0)))</f>
        <v>8.9499999999999996E-2</v>
      </c>
      <c r="I76" s="698">
        <f>IF(I71="",0,INDEX(Input_Range,MATCH((C7&amp;B76),Input_Call,0),MATCH(I71,Input_Header,0)))</f>
        <v>8.7099999999999997E-2</v>
      </c>
      <c r="J76" s="698">
        <f>IF(J71="",0,INDEX(Input_Range,MATCH((C7&amp;B76),Input_Call,0),MATCH(J71,Input_Header,0)))</f>
        <v>8.7099999999999997E-2</v>
      </c>
      <c r="K76" s="698">
        <f>IF(K71="",0,INDEX(Input_Range,MATCH((C7&amp;B76),Input_Call,0),MATCH(K71,Input_Header,0)))</f>
        <v>8.7099999999999997E-2</v>
      </c>
      <c r="L76" s="698">
        <f>IF(L71="",0,INDEX(Input_Range,MATCH((C7&amp;B76),Input_Call,0),MATCH(L71,Input_Header,0)))</f>
        <v>8.7099999999999997E-2</v>
      </c>
      <c r="M76" s="698">
        <f>IF(M71="",0,INDEX(Input_Range,MATCH((C7&amp;B76),Input_Call,0),MATCH(M71,Input_Header,0)))</f>
        <v>8.7099999999999997E-2</v>
      </c>
      <c r="N76" s="698">
        <f>IF(N71="",0,INDEX(Input_Range,MATCH((C7&amp;B76),Input_Call,0),MATCH(N71,Input_Header,0)))</f>
        <v>8.7099999999999997E-2</v>
      </c>
      <c r="O76" s="698">
        <f>IF(O71="",0,INDEX(Input_Range,MATCH((C7&amp;B76),Input_Call,0),MATCH(O71,Input_Header,0)))</f>
        <v>8.7099999999999997E-2</v>
      </c>
      <c r="P76" s="698">
        <f>IF(P71="",0,INDEX(Input_Range,MATCH((C7&amp;B76),Input_Call,0),MATCH(P71,Input_Header,0)))</f>
        <v>8.7099999999999997E-2</v>
      </c>
      <c r="Q76" s="698">
        <f>IF(Q71="",0,INDEX(Input_Range,MATCH((C7&amp;B76),Input_Call,0),MATCH(Q71,Input_Header,0)))</f>
        <v>8.7099999999999997E-2</v>
      </c>
      <c r="R76" s="698">
        <f t="shared" si="53"/>
        <v>8.7099999999999997E-2</v>
      </c>
      <c r="T76" s="699">
        <f t="shared" si="54"/>
        <v>0</v>
      </c>
      <c r="U76" s="699">
        <f t="shared" si="54"/>
        <v>0</v>
      </c>
      <c r="V76" s="699">
        <f t="shared" si="54"/>
        <v>0</v>
      </c>
      <c r="W76" s="699">
        <f t="shared" si="54"/>
        <v>0</v>
      </c>
      <c r="X76" s="699">
        <f t="shared" si="54"/>
        <v>0</v>
      </c>
      <c r="Y76" s="699">
        <f t="shared" si="54"/>
        <v>0</v>
      </c>
      <c r="Z76" s="699">
        <f t="shared" si="54"/>
        <v>0</v>
      </c>
      <c r="AA76" s="699">
        <f t="shared" si="54"/>
        <v>0</v>
      </c>
      <c r="AB76" s="699">
        <f t="shared" si="54"/>
        <v>0</v>
      </c>
      <c r="AC76" s="699">
        <f t="shared" si="54"/>
        <v>0</v>
      </c>
      <c r="AD76" s="699">
        <f t="shared" si="54"/>
        <v>0</v>
      </c>
      <c r="AE76" s="699">
        <f t="shared" si="54"/>
        <v>0</v>
      </c>
      <c r="AF76" s="699">
        <f t="shared" si="54"/>
        <v>0</v>
      </c>
      <c r="AG76" s="699">
        <f t="shared" si="54"/>
        <v>0</v>
      </c>
      <c r="AI76" s="698" t="e">
        <f t="shared" si="50"/>
        <v>#DIV/0!</v>
      </c>
      <c r="AJ76" s="698"/>
      <c r="AK76" s="698"/>
      <c r="AL76" s="4" t="str">
        <f>$A76&amp;$C7&amp;InputSheet!C$45&amp;InputSheet!D$45</f>
        <v>Option Year 5ISG&amp;AContr/Govt</v>
      </c>
      <c r="AM76" s="700" t="e">
        <f t="shared" si="51"/>
        <v>#DIV/0!</v>
      </c>
      <c r="AP76" s="387" t="e">
        <f t="shared" ref="AP76:AP139" si="55">IF(AM76="","1",(IF((VLOOKUP(B76,$AO$2:$AP$9,2,FALSE))="","0","1")))</f>
        <v>#DIV/0!</v>
      </c>
    </row>
    <row r="77" spans="1:42" outlineLevel="1">
      <c r="A77" s="6" t="str">
        <f t="shared" si="52"/>
        <v>Option Year 5</v>
      </c>
      <c r="B77" s="6" t="str">
        <f t="shared" si="48"/>
        <v>TBD1</v>
      </c>
      <c r="E77" s="21">
        <f>IF(E71="",0,INDEX(Input_Range,MATCH((C7&amp;B77),Input_Call,0),MATCH(E71,Input_Header,0)))</f>
        <v>0</v>
      </c>
      <c r="F77" s="21">
        <f>IF(F71="",0,INDEX(Input_Range,MATCH((C7&amp;B77),Input_Call,0),MATCH(F71,Input_Header,0)))</f>
        <v>0</v>
      </c>
      <c r="G77" s="21">
        <f>IF(G71="",0,INDEX(Input_Range,MATCH((C7&amp;B77),Input_Call,0),MATCH(G71,Input_Header,0)))</f>
        <v>0</v>
      </c>
      <c r="H77" s="21">
        <f>IF(H71="",0,INDEX(Input_Range,MATCH((C7&amp;B77),Input_Call,0),MATCH(H71,Input_Header,0)))</f>
        <v>0</v>
      </c>
      <c r="I77" s="21">
        <f>IF(I71="",0,INDEX(Input_Range,MATCH((C7&amp;B77),Input_Call,0),MATCH(I71,Input_Header,0)))</f>
        <v>0</v>
      </c>
      <c r="J77" s="21">
        <f>IF(J71="",0,INDEX(Input_Range,MATCH((C7&amp;B77),Input_Call,0),MATCH(J71,Input_Header,0)))</f>
        <v>0</v>
      </c>
      <c r="K77" s="21">
        <f>IF(K71="",0,INDEX(Input_Range,MATCH((C7&amp;B77),Input_Call,0),MATCH(K71,Input_Header,0)))</f>
        <v>0</v>
      </c>
      <c r="L77" s="21">
        <f>IF(L71="",0,INDEX(Input_Range,MATCH((C7&amp;B77),Input_Call,0),MATCH(L71,Input_Header,0)))</f>
        <v>0</v>
      </c>
      <c r="M77" s="21">
        <f>IF(M71="",0,INDEX(Input_Range,MATCH((C7&amp;B77),Input_Call,0),MATCH(M71,Input_Header,0)))</f>
        <v>0</v>
      </c>
      <c r="N77" s="21">
        <f>IF(N71="",0,INDEX(Input_Range,MATCH((C7&amp;B77),Input_Call,0),MATCH(N71,Input_Header,0)))</f>
        <v>0</v>
      </c>
      <c r="O77" s="21">
        <f>IF(O71="",0,INDEX(Input_Range,MATCH((C7&amp;B77),Input_Call,0),MATCH(O71,Input_Header,0)))</f>
        <v>0</v>
      </c>
      <c r="P77" s="21">
        <f>IF(P71="",0,INDEX(Input_Range,MATCH((C7&amp;B77),Input_Call,0),MATCH(P71,Input_Header,0)))</f>
        <v>0</v>
      </c>
      <c r="Q77" s="21">
        <f>IF(Q71="",0,INDEX(Input_Range,MATCH((C7&amp;B77),Input_Call,0),MATCH(Q71,Input_Header,0)))</f>
        <v>0</v>
      </c>
      <c r="R77" s="698">
        <f t="shared" si="53"/>
        <v>0</v>
      </c>
      <c r="T77" s="699">
        <f t="shared" si="54"/>
        <v>0</v>
      </c>
      <c r="U77" s="699">
        <f t="shared" si="54"/>
        <v>0</v>
      </c>
      <c r="V77" s="699">
        <f t="shared" si="54"/>
        <v>0</v>
      </c>
      <c r="W77" s="699">
        <f t="shared" si="54"/>
        <v>0</v>
      </c>
      <c r="X77" s="699">
        <f t="shared" si="54"/>
        <v>0</v>
      </c>
      <c r="Y77" s="699">
        <f t="shared" si="54"/>
        <v>0</v>
      </c>
      <c r="Z77" s="699">
        <f t="shared" si="54"/>
        <v>0</v>
      </c>
      <c r="AA77" s="699">
        <f t="shared" si="54"/>
        <v>0</v>
      </c>
      <c r="AB77" s="699">
        <f t="shared" si="54"/>
        <v>0</v>
      </c>
      <c r="AC77" s="699">
        <f t="shared" si="54"/>
        <v>0</v>
      </c>
      <c r="AD77" s="699">
        <f t="shared" si="54"/>
        <v>0</v>
      </c>
      <c r="AE77" s="699">
        <f t="shared" si="54"/>
        <v>0</v>
      </c>
      <c r="AF77" s="699">
        <f t="shared" si="54"/>
        <v>0</v>
      </c>
      <c r="AG77" s="699">
        <f t="shared" si="54"/>
        <v>0</v>
      </c>
      <c r="AI77" s="698" t="e">
        <f t="shared" si="50"/>
        <v>#DIV/0!</v>
      </c>
      <c r="AJ77" s="21"/>
      <c r="AK77" s="21"/>
      <c r="AL77" s="4" t="str">
        <f>$A77&amp;$C7&amp;InputSheet!C$46&amp;InputSheet!D$46</f>
        <v>Option Year 5ISTBD1Contr/Govt</v>
      </c>
      <c r="AM77" s="700" t="e">
        <f t="shared" si="51"/>
        <v>#DIV/0!</v>
      </c>
      <c r="AP77" s="387" t="e">
        <f t="shared" si="55"/>
        <v>#DIV/0!</v>
      </c>
    </row>
    <row r="78" spans="1:42" outlineLevel="1">
      <c r="A78" s="6" t="str">
        <f t="shared" si="52"/>
        <v>Option Year 5</v>
      </c>
      <c r="B78" s="6" t="str">
        <f t="shared" si="48"/>
        <v>TBD2</v>
      </c>
      <c r="E78" s="21">
        <f>IF(E71="",0,INDEX(Input_Range,MATCH((C7&amp;B78),Input_Call,0),MATCH(E71,Input_Header,0)))</f>
        <v>0</v>
      </c>
      <c r="F78" s="21">
        <f>IF(F71="",0,INDEX(Input_Range,MATCH((C7&amp;B78),Input_Call,0),MATCH(F71,Input_Header,0)))</f>
        <v>0</v>
      </c>
      <c r="G78" s="21">
        <f>IF(G71="",0,INDEX(Input_Range,MATCH((C7&amp;B78),Input_Call,0),MATCH(G71,Input_Header,0)))</f>
        <v>0</v>
      </c>
      <c r="H78" s="21">
        <f>IF(H71="",0,INDEX(Input_Range,MATCH((C7&amp;B78),Input_Call,0),MATCH(H71,Input_Header,0)))</f>
        <v>0</v>
      </c>
      <c r="I78" s="21">
        <f>IF(I71="",0,INDEX(Input_Range,MATCH((C7&amp;B78),Input_Call,0),MATCH(I71,Input_Header,0)))</f>
        <v>0</v>
      </c>
      <c r="J78" s="21">
        <f>IF(J71="",0,INDEX(Input_Range,MATCH((C7&amp;B78),Input_Call,0),MATCH(J71,Input_Header,0)))</f>
        <v>0</v>
      </c>
      <c r="K78" s="21">
        <f>IF(K71="",0,INDEX(Input_Range,MATCH((C7&amp;B78),Input_Call,0),MATCH(K71,Input_Header,0)))</f>
        <v>0</v>
      </c>
      <c r="L78" s="21">
        <f>IF(L71="",0,INDEX(Input_Range,MATCH((C7&amp;B78),Input_Call,0),MATCH(L71,Input_Header,0)))</f>
        <v>0</v>
      </c>
      <c r="M78" s="21">
        <f>IF(M71="",0,INDEX(Input_Range,MATCH((C7&amp;B78),Input_Call,0),MATCH(M71,Input_Header,0)))</f>
        <v>0</v>
      </c>
      <c r="N78" s="21">
        <f>IF(N71="",0,INDEX(Input_Range,MATCH((C7&amp;B78),Input_Call,0),MATCH(N71,Input_Header,0)))</f>
        <v>0</v>
      </c>
      <c r="O78" s="21">
        <f>IF(O71="",0,INDEX(Input_Range,MATCH((C7&amp;B78),Input_Call,0),MATCH(O71,Input_Header,0)))</f>
        <v>0</v>
      </c>
      <c r="P78" s="21">
        <f>IF(P71="",0,INDEX(Input_Range,MATCH((C7&amp;B78),Input_Call,0),MATCH(P71,Input_Header,0)))</f>
        <v>0</v>
      </c>
      <c r="Q78" s="21">
        <f>IF(Q71="",0,INDEX(Input_Range,MATCH((C7&amp;B78),Input_Call,0),MATCH(Q71,Input_Header,0)))</f>
        <v>0</v>
      </c>
      <c r="R78" s="698">
        <f t="shared" si="53"/>
        <v>0</v>
      </c>
      <c r="T78" s="699">
        <f t="shared" si="54"/>
        <v>0</v>
      </c>
      <c r="U78" s="699">
        <f t="shared" si="54"/>
        <v>0</v>
      </c>
      <c r="V78" s="699">
        <f t="shared" si="54"/>
        <v>0</v>
      </c>
      <c r="W78" s="699">
        <f t="shared" si="54"/>
        <v>0</v>
      </c>
      <c r="X78" s="699">
        <f t="shared" si="54"/>
        <v>0</v>
      </c>
      <c r="Y78" s="699">
        <f t="shared" si="54"/>
        <v>0</v>
      </c>
      <c r="Z78" s="699">
        <f t="shared" si="54"/>
        <v>0</v>
      </c>
      <c r="AA78" s="699">
        <f t="shared" si="54"/>
        <v>0</v>
      </c>
      <c r="AB78" s="699">
        <f t="shared" si="54"/>
        <v>0</v>
      </c>
      <c r="AC78" s="699">
        <f t="shared" si="54"/>
        <v>0</v>
      </c>
      <c r="AD78" s="699">
        <f t="shared" si="54"/>
        <v>0</v>
      </c>
      <c r="AE78" s="699">
        <f t="shared" si="54"/>
        <v>0</v>
      </c>
      <c r="AF78" s="699">
        <f t="shared" si="54"/>
        <v>0</v>
      </c>
      <c r="AG78" s="699">
        <f t="shared" si="54"/>
        <v>0</v>
      </c>
      <c r="AI78" s="698" t="e">
        <f t="shared" si="50"/>
        <v>#DIV/0!</v>
      </c>
      <c r="AJ78" s="21"/>
      <c r="AK78" s="21"/>
      <c r="AL78" s="4" t="str">
        <f>$A78&amp;$C7&amp;InputSheet!C$47&amp;InputSheet!D$47</f>
        <v>Option Year 5ISTBD2Contr/Govt</v>
      </c>
      <c r="AM78" s="700" t="e">
        <f t="shared" si="51"/>
        <v>#DIV/0!</v>
      </c>
      <c r="AP78" s="387" t="e">
        <f t="shared" si="55"/>
        <v>#DIV/0!</v>
      </c>
    </row>
    <row r="79" spans="1:42" outlineLevel="1">
      <c r="A79" s="6" t="str">
        <f t="shared" si="52"/>
        <v>Option Year 5</v>
      </c>
      <c r="B79" s="6" t="str">
        <f t="shared" si="48"/>
        <v>TBD3</v>
      </c>
      <c r="E79" s="21">
        <f>IF(E71="",0,INDEX(Input_Range,MATCH((C7&amp;B79),Input_Call,0),MATCH(E71,Input_Header,0)))</f>
        <v>0</v>
      </c>
      <c r="F79" s="21">
        <f>IF(F71="",0,INDEX(Input_Range,MATCH((C7&amp;B79),Input_Call,0),MATCH(F71,Input_Header,0)))</f>
        <v>0</v>
      </c>
      <c r="G79" s="21">
        <f>IF(G71="",0,INDEX(Input_Range,MATCH((C7&amp;B79),Input_Call,0),MATCH(G71,Input_Header,0)))</f>
        <v>0</v>
      </c>
      <c r="H79" s="21">
        <f>IF(H71="",0,INDEX(Input_Range,MATCH((C7&amp;B79),Input_Call,0),MATCH(H71,Input_Header,0)))</f>
        <v>0</v>
      </c>
      <c r="I79" s="21">
        <f>IF(I71="",0,INDEX(Input_Range,MATCH((C7&amp;B79),Input_Call,0),MATCH(I71,Input_Header,0)))</f>
        <v>0</v>
      </c>
      <c r="J79" s="21">
        <f>IF(J71="",0,INDEX(Input_Range,MATCH((C7&amp;B79),Input_Call,0),MATCH(J71,Input_Header,0)))</f>
        <v>0</v>
      </c>
      <c r="K79" s="21">
        <f>IF(K71="",0,INDEX(Input_Range,MATCH((C7&amp;B79),Input_Call,0),MATCH(K71,Input_Header,0)))</f>
        <v>0</v>
      </c>
      <c r="L79" s="21">
        <f>IF(L71="",0,INDEX(Input_Range,MATCH((C7&amp;B79),Input_Call,0),MATCH(L71,Input_Header,0)))</f>
        <v>0</v>
      </c>
      <c r="M79" s="21">
        <f>IF(M71="",0,INDEX(Input_Range,MATCH((C7&amp;B79),Input_Call,0),MATCH(M71,Input_Header,0)))</f>
        <v>0</v>
      </c>
      <c r="N79" s="21">
        <f>IF(N71="",0,INDEX(Input_Range,MATCH((C7&amp;B79),Input_Call,0),MATCH(N71,Input_Header,0)))</f>
        <v>0</v>
      </c>
      <c r="O79" s="21">
        <f>IF(O71="",0,INDEX(Input_Range,MATCH((C7&amp;B79),Input_Call,0),MATCH(O71,Input_Header,0)))</f>
        <v>0</v>
      </c>
      <c r="P79" s="21">
        <f>IF(P71="",0,INDEX(Input_Range,MATCH((C7&amp;B79),Input_Call,0),MATCH(P71,Input_Header,0)))</f>
        <v>0</v>
      </c>
      <c r="Q79" s="21">
        <f>IF(Q71="",0,INDEX(Input_Range,MATCH((C7&amp;B79),Input_Call,0),MATCH(Q71,Input_Header,0)))</f>
        <v>0</v>
      </c>
      <c r="R79" s="698">
        <f t="shared" si="53"/>
        <v>0</v>
      </c>
      <c r="T79" s="699">
        <f t="shared" si="54"/>
        <v>0</v>
      </c>
      <c r="U79" s="699">
        <f t="shared" si="54"/>
        <v>0</v>
      </c>
      <c r="V79" s="699">
        <f t="shared" si="54"/>
        <v>0</v>
      </c>
      <c r="W79" s="699">
        <f t="shared" si="54"/>
        <v>0</v>
      </c>
      <c r="X79" s="699">
        <f t="shared" si="54"/>
        <v>0</v>
      </c>
      <c r="Y79" s="699">
        <f t="shared" si="54"/>
        <v>0</v>
      </c>
      <c r="Z79" s="699">
        <f t="shared" si="54"/>
        <v>0</v>
      </c>
      <c r="AA79" s="699">
        <f t="shared" si="54"/>
        <v>0</v>
      </c>
      <c r="AB79" s="699">
        <f t="shared" si="54"/>
        <v>0</v>
      </c>
      <c r="AC79" s="699">
        <f t="shared" si="54"/>
        <v>0</v>
      </c>
      <c r="AD79" s="699">
        <f t="shared" si="54"/>
        <v>0</v>
      </c>
      <c r="AE79" s="699">
        <f t="shared" si="54"/>
        <v>0</v>
      </c>
      <c r="AF79" s="699">
        <f t="shared" si="54"/>
        <v>0</v>
      </c>
      <c r="AG79" s="699">
        <f t="shared" si="54"/>
        <v>0</v>
      </c>
      <c r="AI79" s="698" t="e">
        <f t="shared" si="50"/>
        <v>#DIV/0!</v>
      </c>
      <c r="AJ79" s="21"/>
      <c r="AK79" s="21"/>
      <c r="AL79" s="4" t="str">
        <f>$A79&amp;$C7&amp;InputSheet!C$48&amp;InputSheet!D$48</f>
        <v>Option Year 5ISTBD3Contr/Govt</v>
      </c>
      <c r="AM79" s="700" t="e">
        <f t="shared" si="51"/>
        <v>#DIV/0!</v>
      </c>
      <c r="AP79" s="387" t="e">
        <f t="shared" si="55"/>
        <v>#DIV/0!</v>
      </c>
    </row>
    <row r="80" spans="1:42">
      <c r="E80" s="698"/>
      <c r="F80" s="698"/>
      <c r="G80" s="698"/>
      <c r="H80" s="698"/>
      <c r="I80" s="698"/>
      <c r="J80" s="698"/>
      <c r="K80" s="698"/>
      <c r="L80" s="698"/>
      <c r="M80" s="698"/>
      <c r="N80" s="698"/>
      <c r="O80" s="698"/>
      <c r="P80" s="698"/>
      <c r="Q80" s="698"/>
      <c r="R80" s="698"/>
      <c r="AI80" s="21"/>
      <c r="AJ80" s="21"/>
      <c r="AK80" s="21"/>
      <c r="AP80" s="387" t="str">
        <f t="shared" si="55"/>
        <v>1</v>
      </c>
    </row>
    <row r="81" spans="1:42">
      <c r="A81" s="530" t="str">
        <f>B81</f>
        <v>Option Year 6</v>
      </c>
      <c r="B81" s="691" t="str">
        <f>InputSheet!$C$28</f>
        <v>Option Year 6</v>
      </c>
      <c r="E81" s="698"/>
      <c r="F81" s="698"/>
      <c r="G81" s="698"/>
      <c r="H81" s="698"/>
      <c r="I81" s="698"/>
      <c r="J81" s="698"/>
      <c r="K81" s="698"/>
      <c r="L81" s="698"/>
      <c r="M81" s="698"/>
      <c r="N81" s="698"/>
      <c r="O81" s="698"/>
      <c r="P81" s="698"/>
      <c r="Q81" s="698"/>
      <c r="R81" s="698"/>
      <c r="AP81" s="387" t="str">
        <f t="shared" si="55"/>
        <v>1</v>
      </c>
    </row>
    <row r="82" spans="1:42">
      <c r="B82" s="314" t="s">
        <v>587</v>
      </c>
      <c r="C82" s="692" t="s">
        <v>588</v>
      </c>
      <c r="E82" s="1216" t="str">
        <f>"Indirect Rates - "&amp;C$7</f>
        <v>Indirect Rates - IS</v>
      </c>
      <c r="F82" s="1216"/>
      <c r="G82" s="1216"/>
      <c r="H82" s="1216"/>
      <c r="I82" s="1216"/>
      <c r="J82" s="1216"/>
      <c r="K82" s="1216"/>
      <c r="L82" s="1216"/>
      <c r="M82" s="1216"/>
      <c r="N82" s="1216"/>
      <c r="O82" s="1216"/>
      <c r="P82" s="1216"/>
      <c r="Q82" s="1216"/>
      <c r="R82" s="1216"/>
      <c r="S82" s="844"/>
      <c r="T82" s="1217" t="s">
        <v>794</v>
      </c>
      <c r="U82" s="1217"/>
      <c r="V82" s="1217"/>
      <c r="W82" s="1217"/>
      <c r="X82" s="1217"/>
      <c r="Y82" s="1217"/>
      <c r="Z82" s="1217"/>
      <c r="AA82" s="1217"/>
      <c r="AB82" s="1217"/>
      <c r="AC82" s="1217"/>
      <c r="AD82" s="1217"/>
      <c r="AE82" s="1217"/>
      <c r="AF82" s="1217"/>
      <c r="AG82" s="1217"/>
      <c r="AI82" s="692" t="s">
        <v>615</v>
      </c>
      <c r="AJ82" s="50"/>
      <c r="AK82" s="50"/>
      <c r="AP82" s="387" t="str">
        <f t="shared" si="55"/>
        <v>1</v>
      </c>
    </row>
    <row r="83" spans="1:42">
      <c r="B83" s="693">
        <f>VLOOKUP(A81,InputSheet!$C$8:$E$37,2,FALSE)</f>
        <v>366</v>
      </c>
      <c r="C83" s="694">
        <f>VLOOKUP(A81,InputSheet!$C$8:$E$37,3,FALSE)</f>
        <v>730</v>
      </c>
      <c r="E83" s="695">
        <f t="shared" ref="E83:R83" si="56">E71</f>
        <v>2009</v>
      </c>
      <c r="F83" s="695">
        <f t="shared" si="56"/>
        <v>2010</v>
      </c>
      <c r="G83" s="695">
        <f t="shared" si="56"/>
        <v>2011</v>
      </c>
      <c r="H83" s="695">
        <f t="shared" si="56"/>
        <v>2012</v>
      </c>
      <c r="I83" s="695">
        <f t="shared" si="56"/>
        <v>2013</v>
      </c>
      <c r="J83" s="695">
        <f t="shared" si="56"/>
        <v>2014</v>
      </c>
      <c r="K83" s="695">
        <f t="shared" si="56"/>
        <v>2015</v>
      </c>
      <c r="L83" s="695">
        <f t="shared" si="56"/>
        <v>2016</v>
      </c>
      <c r="M83" s="695">
        <f t="shared" si="56"/>
        <v>2017</v>
      </c>
      <c r="N83" s="695">
        <f t="shared" si="56"/>
        <v>2018</v>
      </c>
      <c r="O83" s="695">
        <f t="shared" si="56"/>
        <v>2019</v>
      </c>
      <c r="P83" s="695">
        <f t="shared" si="56"/>
        <v>2020</v>
      </c>
      <c r="Q83" s="695">
        <f t="shared" si="56"/>
        <v>2021</v>
      </c>
      <c r="R83" s="695">
        <f t="shared" si="56"/>
        <v>2022</v>
      </c>
      <c r="S83" s="680"/>
      <c r="T83" s="695">
        <f t="shared" ref="T83:AG83" si="57">T71</f>
        <v>2009</v>
      </c>
      <c r="U83" s="695">
        <f t="shared" si="57"/>
        <v>2010</v>
      </c>
      <c r="V83" s="695">
        <f t="shared" si="57"/>
        <v>2011</v>
      </c>
      <c r="W83" s="695">
        <f t="shared" si="57"/>
        <v>2012</v>
      </c>
      <c r="X83" s="695">
        <f t="shared" si="57"/>
        <v>2013</v>
      </c>
      <c r="Y83" s="695">
        <f t="shared" si="57"/>
        <v>2014</v>
      </c>
      <c r="Z83" s="695">
        <f t="shared" si="57"/>
        <v>2015</v>
      </c>
      <c r="AA83" s="695">
        <f t="shared" si="57"/>
        <v>2016</v>
      </c>
      <c r="AB83" s="695">
        <f t="shared" si="57"/>
        <v>2017</v>
      </c>
      <c r="AC83" s="695">
        <f t="shared" si="57"/>
        <v>2018</v>
      </c>
      <c r="AD83" s="695">
        <f t="shared" si="57"/>
        <v>2019</v>
      </c>
      <c r="AE83" s="695">
        <f t="shared" si="57"/>
        <v>2020</v>
      </c>
      <c r="AF83" s="695">
        <f t="shared" si="57"/>
        <v>2021</v>
      </c>
      <c r="AG83" s="695">
        <f t="shared" si="57"/>
        <v>2022</v>
      </c>
      <c r="AI83" s="696" t="str">
        <f>B81</f>
        <v>Option Year 6</v>
      </c>
      <c r="AJ83" s="28"/>
      <c r="AK83" s="28"/>
      <c r="AP83" s="387" t="str">
        <f t="shared" si="55"/>
        <v>1</v>
      </c>
    </row>
    <row r="84" spans="1:42">
      <c r="A84" s="6" t="str">
        <f>A81</f>
        <v>Option Year 6</v>
      </c>
      <c r="B84" s="6" t="str">
        <f t="shared" ref="B84:B91" si="58">B72</f>
        <v>PRB</v>
      </c>
      <c r="E84" s="698">
        <f>IF(E83="",0,INDEX(Input_Range,MATCH((C7&amp;B84),Input_Call,0),MATCH(E83,Input_Header,0)))</f>
        <v>0.31240000000000001</v>
      </c>
      <c r="F84" s="698">
        <f>IF(F83="",0,INDEX(Input_Range,MATCH((C7&amp;B84),Input_Call,0),MATCH(F83,Input_Header,0)))</f>
        <v>0.31240000000000001</v>
      </c>
      <c r="G84" s="698">
        <f>IF(G83="",0,INDEX(Input_Range,MATCH((C7&amp;B84),Input_Call,0),MATCH(G83,Input_Header,0)))</f>
        <v>0.31240000000000001</v>
      </c>
      <c r="H84" s="698">
        <f>IF(H83="",0,INDEX(Input_Range,MATCH((C7&amp;B84),Input_Call,0),MATCH(H83,Input_Header,0)))</f>
        <v>0.31240000000000001</v>
      </c>
      <c r="I84" s="698">
        <f>IF(I83="",0,INDEX(Input_Range,MATCH((C7&amp;B84),Input_Call,0),MATCH(I83,Input_Header,0)))</f>
        <v>0.31240000000000001</v>
      </c>
      <c r="J84" s="698">
        <f>IF(J83="",0,INDEX(Input_Range,MATCH((C7&amp;B84),Input_Call,0),MATCH(J83,Input_Header,0)))</f>
        <v>0.31240000000000001</v>
      </c>
      <c r="K84" s="698">
        <f>IF(K83="",0,INDEX(Input_Range,MATCH((C7&amp;B84),Input_Call,0),MATCH(K83,Input_Header,0)))</f>
        <v>0.31240000000000001</v>
      </c>
      <c r="L84" s="698">
        <f>IF(L83="",0,INDEX(Input_Range,MATCH((C7&amp;B84),Input_Call,0),MATCH(L83,Input_Header,0)))</f>
        <v>0.31240000000000001</v>
      </c>
      <c r="M84" s="698">
        <f>IF(M83="",0,INDEX(Input_Range,MATCH((C7&amp;B84),Input_Call,0),MATCH(M83,Input_Header,0)))</f>
        <v>0.31240000000000001</v>
      </c>
      <c r="N84" s="698">
        <f>IF(N83="",0,INDEX(Input_Range,MATCH((C7&amp;B84),Input_Call,0),MATCH(N83,Input_Header,0)))</f>
        <v>0.31240000000000001</v>
      </c>
      <c r="O84" s="698">
        <f>IF(O83="",0,INDEX(Input_Range,MATCH((C7&amp;B84),Input_Call,0),MATCH(O83,Input_Header,0)))</f>
        <v>0.31240000000000001</v>
      </c>
      <c r="P84" s="698">
        <f>IF(P83="",0,INDEX(Input_Range,MATCH((C7&amp;B84),Input_Call,0),MATCH(P83,Input_Header,0)))</f>
        <v>0.31240000000000001</v>
      </c>
      <c r="Q84" s="698">
        <f>IF(Q83="",0,INDEX(Input_Range,MATCH((C7&amp;B84),Input_Call,0),MATCH(Q83,Input_Header,0)))</f>
        <v>0.31240000000000001</v>
      </c>
      <c r="R84" s="698">
        <f>Q84</f>
        <v>0.31240000000000001</v>
      </c>
      <c r="T84" s="699">
        <f t="shared" ref="T84:AG84" si="59">ROUND((MAX(0,(MIN($C83,DATE(T83,12,31))-MAX($B83,DATE(T83,1,1))+1)))/30.41667,0)</f>
        <v>0</v>
      </c>
      <c r="U84" s="699">
        <f t="shared" si="59"/>
        <v>0</v>
      </c>
      <c r="V84" s="699">
        <f t="shared" si="59"/>
        <v>0</v>
      </c>
      <c r="W84" s="699">
        <f t="shared" si="59"/>
        <v>0</v>
      </c>
      <c r="X84" s="699">
        <f t="shared" si="59"/>
        <v>0</v>
      </c>
      <c r="Y84" s="699">
        <f t="shared" si="59"/>
        <v>0</v>
      </c>
      <c r="Z84" s="699">
        <f t="shared" si="59"/>
        <v>0</v>
      </c>
      <c r="AA84" s="699">
        <f t="shared" si="59"/>
        <v>0</v>
      </c>
      <c r="AB84" s="699">
        <f t="shared" si="59"/>
        <v>0</v>
      </c>
      <c r="AC84" s="699">
        <f t="shared" si="59"/>
        <v>0</v>
      </c>
      <c r="AD84" s="699">
        <f t="shared" si="59"/>
        <v>0</v>
      </c>
      <c r="AE84" s="699">
        <f t="shared" si="59"/>
        <v>0</v>
      </c>
      <c r="AF84" s="699">
        <f t="shared" si="59"/>
        <v>0</v>
      </c>
      <c r="AG84" s="699">
        <f t="shared" si="59"/>
        <v>0</v>
      </c>
      <c r="AI84" s="698" t="e">
        <f t="shared" ref="AI84:AI91" si="60">ROUND(SUMPRODUCT(E84:R84,T84:AG84)/SUM(T84:AG84),4)</f>
        <v>#DIV/0!</v>
      </c>
      <c r="AJ84" s="698"/>
      <c r="AK84" s="698"/>
      <c r="AL84" s="4" t="str">
        <f>$A84&amp;$C7&amp;InputSheet!C$41&amp;InputSheet!D$41</f>
        <v>Option Year 6ISPRBContr/Govt</v>
      </c>
      <c r="AM84" s="700" t="e">
        <f t="shared" ref="AM84:AM91" si="61">AI84</f>
        <v>#DIV/0!</v>
      </c>
      <c r="AP84" s="387" t="e">
        <f t="shared" si="55"/>
        <v>#DIV/0!</v>
      </c>
    </row>
    <row r="85" spans="1:42">
      <c r="A85" s="6" t="str">
        <f t="shared" ref="A85:A91" si="62">A84</f>
        <v>Option Year 6</v>
      </c>
      <c r="B85" s="6" t="str">
        <f t="shared" si="58"/>
        <v>Overhead - Offsite</v>
      </c>
      <c r="E85" s="698">
        <f>IF(E83="",0,INDEX(Input_Range,MATCH((C7&amp;B85),Input_Call,0),MATCH(E83,Input_Header,0)))</f>
        <v>0.1988</v>
      </c>
      <c r="F85" s="698">
        <f>IF(F83="",0,INDEX(Input_Range,MATCH((C7&amp;B85),Input_Call,0),MATCH(F83,Input_Header,0)))</f>
        <v>0.1988</v>
      </c>
      <c r="G85" s="698">
        <f>IF(G83="",0,INDEX(Input_Range,MATCH((C7&amp;B85),Input_Call,0),MATCH(G83,Input_Header,0)))</f>
        <v>0.1988</v>
      </c>
      <c r="H85" s="698">
        <f>IF(H83="",0,INDEX(Input_Range,MATCH((C7&amp;B85),Input_Call,0),MATCH(H83,Input_Header,0)))</f>
        <v>0.1988</v>
      </c>
      <c r="I85" s="698">
        <f>IF(I83="",0,INDEX(Input_Range,MATCH((C7&amp;B85),Input_Call,0),MATCH(I83,Input_Header,0)))</f>
        <v>0.1988</v>
      </c>
      <c r="J85" s="698">
        <f>IF(J83="",0,INDEX(Input_Range,MATCH((C7&amp;B85),Input_Call,0),MATCH(J83,Input_Header,0)))</f>
        <v>0.1988</v>
      </c>
      <c r="K85" s="698">
        <f>IF(K83="",0,INDEX(Input_Range,MATCH((C7&amp;B85),Input_Call,0),MATCH(K83,Input_Header,0)))</f>
        <v>0.1988</v>
      </c>
      <c r="L85" s="698">
        <f>IF(L83="",0,INDEX(Input_Range,MATCH((C7&amp;B85),Input_Call,0),MATCH(L83,Input_Header,0)))</f>
        <v>0.1988</v>
      </c>
      <c r="M85" s="698">
        <f>IF(M83="",0,INDEX(Input_Range,MATCH((C7&amp;B85),Input_Call,0),MATCH(M83,Input_Header,0)))</f>
        <v>0.1988</v>
      </c>
      <c r="N85" s="698">
        <f>IF(N83="",0,INDEX(Input_Range,MATCH((C7&amp;B85),Input_Call,0),MATCH(N83,Input_Header,0)))</f>
        <v>0.1988</v>
      </c>
      <c r="O85" s="698">
        <f>IF(O83="",0,INDEX(Input_Range,MATCH((C7&amp;B85),Input_Call,0),MATCH(O83,Input_Header,0)))</f>
        <v>0.1988</v>
      </c>
      <c r="P85" s="698">
        <f>IF(P83="",0,INDEX(Input_Range,MATCH((C7&amp;B85),Input_Call,0),MATCH(P83,Input_Header,0)))</f>
        <v>0.1988</v>
      </c>
      <c r="Q85" s="698">
        <f>IF(Q83="",0,INDEX(Input_Range,MATCH((C7&amp;B85),Input_Call,0),MATCH(Q83,Input_Header,0)))</f>
        <v>0.1988</v>
      </c>
      <c r="R85" s="698">
        <f t="shared" ref="R85:R91" si="63">Q85</f>
        <v>0.1988</v>
      </c>
      <c r="T85" s="699">
        <f t="shared" ref="T85:AG91" si="64">T84</f>
        <v>0</v>
      </c>
      <c r="U85" s="699">
        <f t="shared" si="64"/>
        <v>0</v>
      </c>
      <c r="V85" s="699">
        <f t="shared" si="64"/>
        <v>0</v>
      </c>
      <c r="W85" s="699">
        <f t="shared" si="64"/>
        <v>0</v>
      </c>
      <c r="X85" s="699">
        <f t="shared" si="64"/>
        <v>0</v>
      </c>
      <c r="Y85" s="699">
        <f t="shared" si="64"/>
        <v>0</v>
      </c>
      <c r="Z85" s="699">
        <f t="shared" si="64"/>
        <v>0</v>
      </c>
      <c r="AA85" s="699">
        <f t="shared" si="64"/>
        <v>0</v>
      </c>
      <c r="AB85" s="699">
        <f t="shared" si="64"/>
        <v>0</v>
      </c>
      <c r="AC85" s="699">
        <f t="shared" si="64"/>
        <v>0</v>
      </c>
      <c r="AD85" s="699">
        <f t="shared" si="64"/>
        <v>0</v>
      </c>
      <c r="AE85" s="699">
        <f t="shared" si="64"/>
        <v>0</v>
      </c>
      <c r="AF85" s="699">
        <f t="shared" si="64"/>
        <v>0</v>
      </c>
      <c r="AG85" s="699">
        <f t="shared" si="64"/>
        <v>0</v>
      </c>
      <c r="AI85" s="698" t="e">
        <f t="shared" si="60"/>
        <v>#DIV/0!</v>
      </c>
      <c r="AJ85" s="698"/>
      <c r="AK85" s="698"/>
      <c r="AL85" s="4" t="str">
        <f>$A85&amp;$C7&amp;InputSheet!C$42&amp;InputSheet!D$42</f>
        <v>Option Year 6ISOverheadContr</v>
      </c>
      <c r="AM85" s="700" t="e">
        <f t="shared" si="61"/>
        <v>#DIV/0!</v>
      </c>
      <c r="AP85" s="387" t="e">
        <f t="shared" si="55"/>
        <v>#DIV/0!</v>
      </c>
    </row>
    <row r="86" spans="1:42">
      <c r="A86" s="6" t="str">
        <f t="shared" si="62"/>
        <v>Option Year 6</v>
      </c>
      <c r="B86" s="6" t="str">
        <f t="shared" si="58"/>
        <v>Overhead - Onsite</v>
      </c>
      <c r="E86" s="698">
        <f>IF(E83="",0,INDEX(Input_Range,MATCH((C7&amp;B86),Input_Call,0),MATCH(E83,Input_Header,0)))</f>
        <v>2.23E-2</v>
      </c>
      <c r="F86" s="698">
        <f>IF(F83="",0,INDEX(Input_Range,MATCH((C7&amp;B86),Input_Call,0),MATCH(F83,Input_Header,0)))</f>
        <v>2.23E-2</v>
      </c>
      <c r="G86" s="698">
        <f>IF(G83="",0,INDEX(Input_Range,MATCH((C7&amp;B86),Input_Call,0),MATCH(G83,Input_Header,0)))</f>
        <v>2.23E-2</v>
      </c>
      <c r="H86" s="698">
        <f>IF(H83="",0,INDEX(Input_Range,MATCH((C7&amp;B86),Input_Call,0),MATCH(H83,Input_Header,0)))</f>
        <v>2.23E-2</v>
      </c>
      <c r="I86" s="698">
        <f>IF(I83="",0,INDEX(Input_Range,MATCH((C7&amp;B86),Input_Call,0),MATCH(I83,Input_Header,0)))</f>
        <v>2.23E-2</v>
      </c>
      <c r="J86" s="698">
        <f>IF(J83="",0,INDEX(Input_Range,MATCH((C7&amp;B86),Input_Call,0),MATCH(J83,Input_Header,0)))</f>
        <v>2.23E-2</v>
      </c>
      <c r="K86" s="698">
        <f>IF(K83="",0,INDEX(Input_Range,MATCH((C7&amp;B86),Input_Call,0),MATCH(K83,Input_Header,0)))</f>
        <v>2.23E-2</v>
      </c>
      <c r="L86" s="698">
        <f>IF(L83="",0,INDEX(Input_Range,MATCH((C7&amp;B86),Input_Call,0),MATCH(L83,Input_Header,0)))</f>
        <v>2.23E-2</v>
      </c>
      <c r="M86" s="698">
        <f>IF(M83="",0,INDEX(Input_Range,MATCH((C7&amp;B86),Input_Call,0),MATCH(M83,Input_Header,0)))</f>
        <v>2.23E-2</v>
      </c>
      <c r="N86" s="698">
        <f>IF(N83="",0,INDEX(Input_Range,MATCH((C7&amp;B86),Input_Call,0),MATCH(N83,Input_Header,0)))</f>
        <v>2.23E-2</v>
      </c>
      <c r="O86" s="698">
        <f>IF(O83="",0,INDEX(Input_Range,MATCH((C7&amp;B86),Input_Call,0),MATCH(O83,Input_Header,0)))</f>
        <v>2.23E-2</v>
      </c>
      <c r="P86" s="698">
        <f>IF(P83="",0,INDEX(Input_Range,MATCH((C7&amp;B86),Input_Call,0),MATCH(P83,Input_Header,0)))</f>
        <v>2.23E-2</v>
      </c>
      <c r="Q86" s="698">
        <f>IF(Q83="",0,INDEX(Input_Range,MATCH((C7&amp;B86),Input_Call,0),MATCH(Q83,Input_Header,0)))</f>
        <v>2.23E-2</v>
      </c>
      <c r="R86" s="698">
        <f t="shared" si="63"/>
        <v>2.23E-2</v>
      </c>
      <c r="T86" s="699">
        <f t="shared" si="64"/>
        <v>0</v>
      </c>
      <c r="U86" s="699">
        <f t="shared" si="64"/>
        <v>0</v>
      </c>
      <c r="V86" s="699">
        <f t="shared" si="64"/>
        <v>0</v>
      </c>
      <c r="W86" s="699">
        <f t="shared" si="64"/>
        <v>0</v>
      </c>
      <c r="X86" s="699">
        <f t="shared" si="64"/>
        <v>0</v>
      </c>
      <c r="Y86" s="699">
        <f t="shared" si="64"/>
        <v>0</v>
      </c>
      <c r="Z86" s="699">
        <f t="shared" si="64"/>
        <v>0</v>
      </c>
      <c r="AA86" s="699">
        <f t="shared" si="64"/>
        <v>0</v>
      </c>
      <c r="AB86" s="699">
        <f t="shared" si="64"/>
        <v>0</v>
      </c>
      <c r="AC86" s="699">
        <f t="shared" si="64"/>
        <v>0</v>
      </c>
      <c r="AD86" s="699">
        <f t="shared" si="64"/>
        <v>0</v>
      </c>
      <c r="AE86" s="699">
        <f t="shared" si="64"/>
        <v>0</v>
      </c>
      <c r="AF86" s="699">
        <f t="shared" si="64"/>
        <v>0</v>
      </c>
      <c r="AG86" s="699">
        <f t="shared" si="64"/>
        <v>0</v>
      </c>
      <c r="AI86" s="698" t="e">
        <f t="shared" si="60"/>
        <v>#DIV/0!</v>
      </c>
      <c r="AJ86" s="698"/>
      <c r="AK86" s="698"/>
      <c r="AL86" s="4" t="str">
        <f>$A86&amp;$C7&amp;InputSheet!C$43&amp;InputSheet!D$43</f>
        <v>Option Year 6ISOverheadGovt</v>
      </c>
      <c r="AM86" s="700" t="e">
        <f t="shared" si="61"/>
        <v>#DIV/0!</v>
      </c>
      <c r="AP86" s="387" t="e">
        <f t="shared" si="55"/>
        <v>#DIV/0!</v>
      </c>
    </row>
    <row r="87" spans="1:42">
      <c r="A87" s="6" t="str">
        <f t="shared" si="62"/>
        <v>Option Year 6</v>
      </c>
      <c r="B87" s="6" t="str">
        <f t="shared" si="58"/>
        <v>Material Handling</v>
      </c>
      <c r="E87" s="698">
        <f>IF(E83="",0,INDEX(Input_Range,MATCH((C7&amp;B87),Input_Call,0),MATCH(E83,Input_Header,0)))</f>
        <v>3.1699999999999999E-2</v>
      </c>
      <c r="F87" s="698">
        <f>IF(F83="",0,INDEX(Input_Range,MATCH((C7&amp;B87),Input_Call,0),MATCH(F83,Input_Header,0)))</f>
        <v>3.0700000000000002E-2</v>
      </c>
      <c r="G87" s="698">
        <f>IF(G83="",0,INDEX(Input_Range,MATCH((C7&amp;B87),Input_Call,0),MATCH(G83,Input_Header,0)))</f>
        <v>2.9700000000000001E-2</v>
      </c>
      <c r="H87" s="698">
        <f>IF(H83="",0,INDEX(Input_Range,MATCH((C7&amp;B87),Input_Call,0),MATCH(H83,Input_Header,0)))</f>
        <v>2.8799999999999999E-2</v>
      </c>
      <c r="I87" s="698">
        <f>IF(I83="",0,INDEX(Input_Range,MATCH((C7&amp;B87),Input_Call,0),MATCH(I83,Input_Header,0)))</f>
        <v>2.8000000000000001E-2</v>
      </c>
      <c r="J87" s="698">
        <f>IF(J83="",0,INDEX(Input_Range,MATCH((C7&amp;B87),Input_Call,0),MATCH(J83,Input_Header,0)))</f>
        <v>2.8000000000000001E-2</v>
      </c>
      <c r="K87" s="698">
        <f>IF(K83="",0,INDEX(Input_Range,MATCH((C7&amp;B87),Input_Call,0),MATCH(K83,Input_Header,0)))</f>
        <v>2.8000000000000001E-2</v>
      </c>
      <c r="L87" s="698">
        <f>IF(L83="",0,INDEX(Input_Range,MATCH((C7&amp;B87),Input_Call,0),MATCH(L83,Input_Header,0)))</f>
        <v>2.8000000000000001E-2</v>
      </c>
      <c r="M87" s="698">
        <f>IF(M83="",0,INDEX(Input_Range,MATCH((C7&amp;B87),Input_Call,0),MATCH(M83,Input_Header,0)))</f>
        <v>2.8000000000000001E-2</v>
      </c>
      <c r="N87" s="698">
        <f>IF(N83="",0,INDEX(Input_Range,MATCH((C7&amp;B87),Input_Call,0),MATCH(N83,Input_Header,0)))</f>
        <v>2.8000000000000001E-2</v>
      </c>
      <c r="O87" s="698">
        <f>IF(O83="",0,INDEX(Input_Range,MATCH((C7&amp;B87),Input_Call,0),MATCH(O83,Input_Header,0)))</f>
        <v>2.8000000000000001E-2</v>
      </c>
      <c r="P87" s="698">
        <f>IF(P83="",0,INDEX(Input_Range,MATCH((C7&amp;B87),Input_Call,0),MATCH(P83,Input_Header,0)))</f>
        <v>2.8000000000000001E-2</v>
      </c>
      <c r="Q87" s="698">
        <f>IF(Q83="",0,INDEX(Input_Range,MATCH((C7&amp;B87),Input_Call,0),MATCH(Q83,Input_Header,0)))</f>
        <v>2.8000000000000001E-2</v>
      </c>
      <c r="R87" s="698">
        <f t="shared" si="63"/>
        <v>2.8000000000000001E-2</v>
      </c>
      <c r="T87" s="699">
        <f t="shared" si="64"/>
        <v>0</v>
      </c>
      <c r="U87" s="699">
        <f t="shared" si="64"/>
        <v>0</v>
      </c>
      <c r="V87" s="699">
        <f t="shared" si="64"/>
        <v>0</v>
      </c>
      <c r="W87" s="699">
        <f t="shared" si="64"/>
        <v>0</v>
      </c>
      <c r="X87" s="699">
        <f t="shared" si="64"/>
        <v>0</v>
      </c>
      <c r="Y87" s="699">
        <f t="shared" si="64"/>
        <v>0</v>
      </c>
      <c r="Z87" s="699">
        <f t="shared" si="64"/>
        <v>0</v>
      </c>
      <c r="AA87" s="699">
        <f t="shared" si="64"/>
        <v>0</v>
      </c>
      <c r="AB87" s="699">
        <f t="shared" si="64"/>
        <v>0</v>
      </c>
      <c r="AC87" s="699">
        <f t="shared" si="64"/>
        <v>0</v>
      </c>
      <c r="AD87" s="699">
        <f t="shared" si="64"/>
        <v>0</v>
      </c>
      <c r="AE87" s="699">
        <f t="shared" si="64"/>
        <v>0</v>
      </c>
      <c r="AF87" s="699">
        <f t="shared" si="64"/>
        <v>0</v>
      </c>
      <c r="AG87" s="699">
        <f t="shared" si="64"/>
        <v>0</v>
      </c>
      <c r="AI87" s="698" t="e">
        <f t="shared" si="60"/>
        <v>#DIV/0!</v>
      </c>
      <c r="AJ87" s="698"/>
      <c r="AK87" s="698"/>
      <c r="AL87" s="4" t="str">
        <f>$A87&amp;$C7&amp;InputSheet!C$44&amp;InputSheet!D$44</f>
        <v>Option Year 6ISMHContr/Govt</v>
      </c>
      <c r="AM87" s="700" t="e">
        <f t="shared" si="61"/>
        <v>#DIV/0!</v>
      </c>
      <c r="AP87" s="387" t="e">
        <f t="shared" si="55"/>
        <v>#DIV/0!</v>
      </c>
    </row>
    <row r="88" spans="1:42">
      <c r="A88" s="6" t="str">
        <f t="shared" si="62"/>
        <v>Option Year 6</v>
      </c>
      <c r="B88" s="6" t="str">
        <f t="shared" si="58"/>
        <v>G&amp;A</v>
      </c>
      <c r="E88" s="698">
        <f>IF(E83="",0,INDEX(Input_Range,MATCH((C7&amp;B88),Input_Call,0),MATCH(E83,Input_Header,0)))</f>
        <v>9.7500000000000003E-2</v>
      </c>
      <c r="F88" s="698">
        <f>IF(F83="",0,INDEX(Input_Range,MATCH((C7&amp;B88),Input_Call,0),MATCH(F83,Input_Header,0)))</f>
        <v>9.4700000000000006E-2</v>
      </c>
      <c r="G88" s="698">
        <f>IF(G83="",0,INDEX(Input_Range,MATCH((C7&amp;B88),Input_Call,0),MATCH(G83,Input_Header,0)))</f>
        <v>9.1999999999999998E-2</v>
      </c>
      <c r="H88" s="698">
        <f>IF(H83="",0,INDEX(Input_Range,MATCH((C7&amp;B88),Input_Call,0),MATCH(H83,Input_Header,0)))</f>
        <v>8.9499999999999996E-2</v>
      </c>
      <c r="I88" s="698">
        <f>IF(I83="",0,INDEX(Input_Range,MATCH((C7&amp;B88),Input_Call,0),MATCH(I83,Input_Header,0)))</f>
        <v>8.7099999999999997E-2</v>
      </c>
      <c r="J88" s="698">
        <f>IF(J83="",0,INDEX(Input_Range,MATCH((C7&amp;B88),Input_Call,0),MATCH(J83,Input_Header,0)))</f>
        <v>8.7099999999999997E-2</v>
      </c>
      <c r="K88" s="698">
        <f>IF(K83="",0,INDEX(Input_Range,MATCH((C7&amp;B88),Input_Call,0),MATCH(K83,Input_Header,0)))</f>
        <v>8.7099999999999997E-2</v>
      </c>
      <c r="L88" s="698">
        <f>IF(L83="",0,INDEX(Input_Range,MATCH((C7&amp;B88),Input_Call,0),MATCH(L83,Input_Header,0)))</f>
        <v>8.7099999999999997E-2</v>
      </c>
      <c r="M88" s="698">
        <f>IF(M83="",0,INDEX(Input_Range,MATCH((C7&amp;B88),Input_Call,0),MATCH(M83,Input_Header,0)))</f>
        <v>8.7099999999999997E-2</v>
      </c>
      <c r="N88" s="698">
        <f>IF(N83="",0,INDEX(Input_Range,MATCH((C7&amp;B88),Input_Call,0),MATCH(N83,Input_Header,0)))</f>
        <v>8.7099999999999997E-2</v>
      </c>
      <c r="O88" s="698">
        <f>IF(O83="",0,INDEX(Input_Range,MATCH((C7&amp;B88),Input_Call,0),MATCH(O83,Input_Header,0)))</f>
        <v>8.7099999999999997E-2</v>
      </c>
      <c r="P88" s="698">
        <f>IF(P83="",0,INDEX(Input_Range,MATCH((C7&amp;B88),Input_Call,0),MATCH(P83,Input_Header,0)))</f>
        <v>8.7099999999999997E-2</v>
      </c>
      <c r="Q88" s="698">
        <f>IF(Q83="",0,INDEX(Input_Range,MATCH((C7&amp;B88),Input_Call,0),MATCH(Q83,Input_Header,0)))</f>
        <v>8.7099999999999997E-2</v>
      </c>
      <c r="R88" s="698">
        <f t="shared" si="63"/>
        <v>8.7099999999999997E-2</v>
      </c>
      <c r="T88" s="699">
        <f t="shared" si="64"/>
        <v>0</v>
      </c>
      <c r="U88" s="699">
        <f t="shared" si="64"/>
        <v>0</v>
      </c>
      <c r="V88" s="699">
        <f t="shared" si="64"/>
        <v>0</v>
      </c>
      <c r="W88" s="699">
        <f t="shared" si="64"/>
        <v>0</v>
      </c>
      <c r="X88" s="699">
        <f t="shared" si="64"/>
        <v>0</v>
      </c>
      <c r="Y88" s="699">
        <f t="shared" si="64"/>
        <v>0</v>
      </c>
      <c r="Z88" s="699">
        <f t="shared" si="64"/>
        <v>0</v>
      </c>
      <c r="AA88" s="699">
        <f t="shared" si="64"/>
        <v>0</v>
      </c>
      <c r="AB88" s="699">
        <f t="shared" si="64"/>
        <v>0</v>
      </c>
      <c r="AC88" s="699">
        <f t="shared" si="64"/>
        <v>0</v>
      </c>
      <c r="AD88" s="699">
        <f t="shared" si="64"/>
        <v>0</v>
      </c>
      <c r="AE88" s="699">
        <f t="shared" si="64"/>
        <v>0</v>
      </c>
      <c r="AF88" s="699">
        <f t="shared" si="64"/>
        <v>0</v>
      </c>
      <c r="AG88" s="699">
        <f t="shared" si="64"/>
        <v>0</v>
      </c>
      <c r="AI88" s="698" t="e">
        <f t="shared" si="60"/>
        <v>#DIV/0!</v>
      </c>
      <c r="AJ88" s="698"/>
      <c r="AK88" s="698"/>
      <c r="AL88" s="4" t="str">
        <f>$A88&amp;$C7&amp;InputSheet!C$45&amp;InputSheet!D$45</f>
        <v>Option Year 6ISG&amp;AContr/Govt</v>
      </c>
      <c r="AM88" s="700" t="e">
        <f t="shared" si="61"/>
        <v>#DIV/0!</v>
      </c>
      <c r="AP88" s="387" t="e">
        <f t="shared" si="55"/>
        <v>#DIV/0!</v>
      </c>
    </row>
    <row r="89" spans="1:42" outlineLevel="1">
      <c r="A89" s="6" t="str">
        <f t="shared" si="62"/>
        <v>Option Year 6</v>
      </c>
      <c r="B89" s="6" t="str">
        <f t="shared" si="58"/>
        <v>TBD1</v>
      </c>
      <c r="E89" s="21">
        <f>IF(E83="",0,INDEX(Input_Range,MATCH((C7&amp;B89),Input_Call,0),MATCH(E83,Input_Header,0)))</f>
        <v>0</v>
      </c>
      <c r="F89" s="21">
        <f>IF(F83="",0,INDEX(Input_Range,MATCH((C7&amp;B89),Input_Call,0),MATCH(F83,Input_Header,0)))</f>
        <v>0</v>
      </c>
      <c r="G89" s="21">
        <f>IF(G83="",0,INDEX(Input_Range,MATCH((C7&amp;B89),Input_Call,0),MATCH(G83,Input_Header,0)))</f>
        <v>0</v>
      </c>
      <c r="H89" s="21">
        <f>IF(H83="",0,INDEX(Input_Range,MATCH((C7&amp;B89),Input_Call,0),MATCH(H83,Input_Header,0)))</f>
        <v>0</v>
      </c>
      <c r="I89" s="21">
        <f>IF(I83="",0,INDEX(Input_Range,MATCH((C7&amp;B89),Input_Call,0),MATCH(I83,Input_Header,0)))</f>
        <v>0</v>
      </c>
      <c r="J89" s="21">
        <f>IF(J83="",0,INDEX(Input_Range,MATCH((C7&amp;B89),Input_Call,0),MATCH(J83,Input_Header,0)))</f>
        <v>0</v>
      </c>
      <c r="K89" s="21">
        <f>IF(K83="",0,INDEX(Input_Range,MATCH((C7&amp;B89),Input_Call,0),MATCH(K83,Input_Header,0)))</f>
        <v>0</v>
      </c>
      <c r="L89" s="21">
        <f>IF(L83="",0,INDEX(Input_Range,MATCH((C7&amp;B89),Input_Call,0),MATCH(L83,Input_Header,0)))</f>
        <v>0</v>
      </c>
      <c r="M89" s="21">
        <f>IF(M83="",0,INDEX(Input_Range,MATCH((C7&amp;B89),Input_Call,0),MATCH(M83,Input_Header,0)))</f>
        <v>0</v>
      </c>
      <c r="N89" s="21">
        <f>IF(N83="",0,INDEX(Input_Range,MATCH((C7&amp;B89),Input_Call,0),MATCH(N83,Input_Header,0)))</f>
        <v>0</v>
      </c>
      <c r="O89" s="21">
        <f>IF(O83="",0,INDEX(Input_Range,MATCH((C7&amp;B89),Input_Call,0),MATCH(O83,Input_Header,0)))</f>
        <v>0</v>
      </c>
      <c r="P89" s="21">
        <f>IF(P83="",0,INDEX(Input_Range,MATCH((C7&amp;B89),Input_Call,0),MATCH(P83,Input_Header,0)))</f>
        <v>0</v>
      </c>
      <c r="Q89" s="21">
        <f>IF(Q83="",0,INDEX(Input_Range,MATCH((C7&amp;B89),Input_Call,0),MATCH(Q83,Input_Header,0)))</f>
        <v>0</v>
      </c>
      <c r="R89" s="698">
        <f t="shared" si="63"/>
        <v>0</v>
      </c>
      <c r="T89" s="699">
        <f t="shared" si="64"/>
        <v>0</v>
      </c>
      <c r="U89" s="699">
        <f t="shared" si="64"/>
        <v>0</v>
      </c>
      <c r="V89" s="699">
        <f t="shared" si="64"/>
        <v>0</v>
      </c>
      <c r="W89" s="699">
        <f t="shared" si="64"/>
        <v>0</v>
      </c>
      <c r="X89" s="699">
        <f t="shared" si="64"/>
        <v>0</v>
      </c>
      <c r="Y89" s="699">
        <f t="shared" si="64"/>
        <v>0</v>
      </c>
      <c r="Z89" s="699">
        <f t="shared" si="64"/>
        <v>0</v>
      </c>
      <c r="AA89" s="699">
        <f t="shared" si="64"/>
        <v>0</v>
      </c>
      <c r="AB89" s="699">
        <f t="shared" si="64"/>
        <v>0</v>
      </c>
      <c r="AC89" s="699">
        <f t="shared" si="64"/>
        <v>0</v>
      </c>
      <c r="AD89" s="699">
        <f t="shared" si="64"/>
        <v>0</v>
      </c>
      <c r="AE89" s="699">
        <f t="shared" si="64"/>
        <v>0</v>
      </c>
      <c r="AF89" s="699">
        <f t="shared" si="64"/>
        <v>0</v>
      </c>
      <c r="AG89" s="699">
        <f t="shared" si="64"/>
        <v>0</v>
      </c>
      <c r="AI89" s="698" t="e">
        <f t="shared" si="60"/>
        <v>#DIV/0!</v>
      </c>
      <c r="AJ89" s="21"/>
      <c r="AK89" s="21"/>
      <c r="AL89" s="4" t="str">
        <f>$A89&amp;$C7&amp;InputSheet!C$46&amp;InputSheet!D$46</f>
        <v>Option Year 6ISTBD1Contr/Govt</v>
      </c>
      <c r="AM89" s="700" t="e">
        <f t="shared" si="61"/>
        <v>#DIV/0!</v>
      </c>
      <c r="AP89" s="387" t="e">
        <f t="shared" si="55"/>
        <v>#DIV/0!</v>
      </c>
    </row>
    <row r="90" spans="1:42" outlineLevel="1">
      <c r="A90" s="6" t="str">
        <f t="shared" si="62"/>
        <v>Option Year 6</v>
      </c>
      <c r="B90" s="6" t="str">
        <f t="shared" si="58"/>
        <v>TBD2</v>
      </c>
      <c r="E90" s="21">
        <f>IF(E83="",0,INDEX(Input_Range,MATCH((C7&amp;B90),Input_Call,0),MATCH(E83,Input_Header,0)))</f>
        <v>0</v>
      </c>
      <c r="F90" s="21">
        <f>IF(F83="",0,INDEX(Input_Range,MATCH((C7&amp;B90),Input_Call,0),MATCH(F83,Input_Header,0)))</f>
        <v>0</v>
      </c>
      <c r="G90" s="21">
        <f>IF(G83="",0,INDEX(Input_Range,MATCH((C7&amp;B90),Input_Call,0),MATCH(G83,Input_Header,0)))</f>
        <v>0</v>
      </c>
      <c r="H90" s="21">
        <f>IF(H83="",0,INDEX(Input_Range,MATCH((C7&amp;B90),Input_Call,0),MATCH(H83,Input_Header,0)))</f>
        <v>0</v>
      </c>
      <c r="I90" s="21">
        <f>IF(I83="",0,INDEX(Input_Range,MATCH((C7&amp;B90),Input_Call,0),MATCH(I83,Input_Header,0)))</f>
        <v>0</v>
      </c>
      <c r="J90" s="21">
        <f>IF(J83="",0,INDEX(Input_Range,MATCH((C7&amp;B90),Input_Call,0),MATCH(J83,Input_Header,0)))</f>
        <v>0</v>
      </c>
      <c r="K90" s="21">
        <f>IF(K83="",0,INDEX(Input_Range,MATCH((C7&amp;B90),Input_Call,0),MATCH(K83,Input_Header,0)))</f>
        <v>0</v>
      </c>
      <c r="L90" s="21">
        <f>IF(L83="",0,INDEX(Input_Range,MATCH((C7&amp;B90),Input_Call,0),MATCH(L83,Input_Header,0)))</f>
        <v>0</v>
      </c>
      <c r="M90" s="21">
        <f>IF(M83="",0,INDEX(Input_Range,MATCH((C7&amp;B90),Input_Call,0),MATCH(M83,Input_Header,0)))</f>
        <v>0</v>
      </c>
      <c r="N90" s="21">
        <f>IF(N83="",0,INDEX(Input_Range,MATCH((C7&amp;B90),Input_Call,0),MATCH(N83,Input_Header,0)))</f>
        <v>0</v>
      </c>
      <c r="O90" s="21">
        <f>IF(O83="",0,INDEX(Input_Range,MATCH((C7&amp;B90),Input_Call,0),MATCH(O83,Input_Header,0)))</f>
        <v>0</v>
      </c>
      <c r="P90" s="21">
        <f>IF(P83="",0,INDEX(Input_Range,MATCH((C7&amp;B90),Input_Call,0),MATCH(P83,Input_Header,0)))</f>
        <v>0</v>
      </c>
      <c r="Q90" s="21">
        <f>IF(Q83="",0,INDEX(Input_Range,MATCH((C7&amp;B90),Input_Call,0),MATCH(Q83,Input_Header,0)))</f>
        <v>0</v>
      </c>
      <c r="R90" s="698">
        <f t="shared" si="63"/>
        <v>0</v>
      </c>
      <c r="T90" s="699">
        <f t="shared" si="64"/>
        <v>0</v>
      </c>
      <c r="U90" s="699">
        <f t="shared" si="64"/>
        <v>0</v>
      </c>
      <c r="V90" s="699">
        <f t="shared" si="64"/>
        <v>0</v>
      </c>
      <c r="W90" s="699">
        <f t="shared" si="64"/>
        <v>0</v>
      </c>
      <c r="X90" s="699">
        <f t="shared" si="64"/>
        <v>0</v>
      </c>
      <c r="Y90" s="699">
        <f t="shared" si="64"/>
        <v>0</v>
      </c>
      <c r="Z90" s="699">
        <f t="shared" si="64"/>
        <v>0</v>
      </c>
      <c r="AA90" s="699">
        <f t="shared" si="64"/>
        <v>0</v>
      </c>
      <c r="AB90" s="699">
        <f t="shared" si="64"/>
        <v>0</v>
      </c>
      <c r="AC90" s="699">
        <f t="shared" si="64"/>
        <v>0</v>
      </c>
      <c r="AD90" s="699">
        <f t="shared" si="64"/>
        <v>0</v>
      </c>
      <c r="AE90" s="699">
        <f t="shared" si="64"/>
        <v>0</v>
      </c>
      <c r="AF90" s="699">
        <f t="shared" si="64"/>
        <v>0</v>
      </c>
      <c r="AG90" s="699">
        <f t="shared" si="64"/>
        <v>0</v>
      </c>
      <c r="AI90" s="698" t="e">
        <f t="shared" si="60"/>
        <v>#DIV/0!</v>
      </c>
      <c r="AJ90" s="21"/>
      <c r="AK90" s="21"/>
      <c r="AL90" s="4" t="str">
        <f>$A90&amp;$C7&amp;InputSheet!C$47&amp;InputSheet!D$47</f>
        <v>Option Year 6ISTBD2Contr/Govt</v>
      </c>
      <c r="AM90" s="700" t="e">
        <f t="shared" si="61"/>
        <v>#DIV/0!</v>
      </c>
      <c r="AP90" s="387" t="e">
        <f t="shared" si="55"/>
        <v>#DIV/0!</v>
      </c>
    </row>
    <row r="91" spans="1:42" outlineLevel="1">
      <c r="A91" s="6" t="str">
        <f t="shared" si="62"/>
        <v>Option Year 6</v>
      </c>
      <c r="B91" s="6" t="str">
        <f t="shared" si="58"/>
        <v>TBD3</v>
      </c>
      <c r="E91" s="21">
        <f>IF(E83="",0,INDEX(Input_Range,MATCH((C7&amp;B91),Input_Call,0),MATCH(E83,Input_Header,0)))</f>
        <v>0</v>
      </c>
      <c r="F91" s="21">
        <f>IF(F83="",0,INDEX(Input_Range,MATCH((C7&amp;B91),Input_Call,0),MATCH(F83,Input_Header,0)))</f>
        <v>0</v>
      </c>
      <c r="G91" s="21">
        <f>IF(G83="",0,INDEX(Input_Range,MATCH((C7&amp;B91),Input_Call,0),MATCH(G83,Input_Header,0)))</f>
        <v>0</v>
      </c>
      <c r="H91" s="21">
        <f>IF(H83="",0,INDEX(Input_Range,MATCH((C7&amp;B91),Input_Call,0),MATCH(H83,Input_Header,0)))</f>
        <v>0</v>
      </c>
      <c r="I91" s="21">
        <f>IF(I83="",0,INDEX(Input_Range,MATCH((C7&amp;B91),Input_Call,0),MATCH(I83,Input_Header,0)))</f>
        <v>0</v>
      </c>
      <c r="J91" s="21">
        <f>IF(J83="",0,INDEX(Input_Range,MATCH((C7&amp;B91),Input_Call,0),MATCH(J83,Input_Header,0)))</f>
        <v>0</v>
      </c>
      <c r="K91" s="21">
        <f>IF(K83="",0,INDEX(Input_Range,MATCH((C7&amp;B91),Input_Call,0),MATCH(K83,Input_Header,0)))</f>
        <v>0</v>
      </c>
      <c r="L91" s="21">
        <f>IF(L83="",0,INDEX(Input_Range,MATCH((C7&amp;B91),Input_Call,0),MATCH(L83,Input_Header,0)))</f>
        <v>0</v>
      </c>
      <c r="M91" s="21">
        <f>IF(M83="",0,INDEX(Input_Range,MATCH((C7&amp;B91),Input_Call,0),MATCH(M83,Input_Header,0)))</f>
        <v>0</v>
      </c>
      <c r="N91" s="21">
        <f>IF(N83="",0,INDEX(Input_Range,MATCH((C7&amp;B91),Input_Call,0),MATCH(N83,Input_Header,0)))</f>
        <v>0</v>
      </c>
      <c r="O91" s="21">
        <f>IF(O83="",0,INDEX(Input_Range,MATCH((C7&amp;B91),Input_Call,0),MATCH(O83,Input_Header,0)))</f>
        <v>0</v>
      </c>
      <c r="P91" s="21">
        <f>IF(P83="",0,INDEX(Input_Range,MATCH((C7&amp;B91),Input_Call,0),MATCH(P83,Input_Header,0)))</f>
        <v>0</v>
      </c>
      <c r="Q91" s="21">
        <f>IF(Q83="",0,INDEX(Input_Range,MATCH((C7&amp;B91),Input_Call,0),MATCH(Q83,Input_Header,0)))</f>
        <v>0</v>
      </c>
      <c r="R91" s="698">
        <f t="shared" si="63"/>
        <v>0</v>
      </c>
      <c r="T91" s="699">
        <f t="shared" si="64"/>
        <v>0</v>
      </c>
      <c r="U91" s="699">
        <f t="shared" si="64"/>
        <v>0</v>
      </c>
      <c r="V91" s="699">
        <f t="shared" si="64"/>
        <v>0</v>
      </c>
      <c r="W91" s="699">
        <f t="shared" si="64"/>
        <v>0</v>
      </c>
      <c r="X91" s="699">
        <f t="shared" si="64"/>
        <v>0</v>
      </c>
      <c r="Y91" s="699">
        <f t="shared" si="64"/>
        <v>0</v>
      </c>
      <c r="Z91" s="699">
        <f t="shared" si="64"/>
        <v>0</v>
      </c>
      <c r="AA91" s="699">
        <f t="shared" si="64"/>
        <v>0</v>
      </c>
      <c r="AB91" s="699">
        <f t="shared" si="64"/>
        <v>0</v>
      </c>
      <c r="AC91" s="699">
        <f t="shared" si="64"/>
        <v>0</v>
      </c>
      <c r="AD91" s="699">
        <f t="shared" si="64"/>
        <v>0</v>
      </c>
      <c r="AE91" s="699">
        <f t="shared" si="64"/>
        <v>0</v>
      </c>
      <c r="AF91" s="699">
        <f t="shared" si="64"/>
        <v>0</v>
      </c>
      <c r="AG91" s="699">
        <f t="shared" si="64"/>
        <v>0</v>
      </c>
      <c r="AI91" s="698" t="e">
        <f t="shared" si="60"/>
        <v>#DIV/0!</v>
      </c>
      <c r="AJ91" s="21"/>
      <c r="AK91" s="21"/>
      <c r="AL91" s="4" t="str">
        <f>$A91&amp;$C7&amp;InputSheet!C$48&amp;InputSheet!D$48</f>
        <v>Option Year 6ISTBD3Contr/Govt</v>
      </c>
      <c r="AM91" s="700" t="e">
        <f t="shared" si="61"/>
        <v>#DIV/0!</v>
      </c>
      <c r="AP91" s="387" t="e">
        <f t="shared" si="55"/>
        <v>#DIV/0!</v>
      </c>
    </row>
    <row r="92" spans="1:42">
      <c r="E92" s="698"/>
      <c r="F92" s="698"/>
      <c r="G92" s="698"/>
      <c r="H92" s="698"/>
      <c r="I92" s="698"/>
      <c r="J92" s="698"/>
      <c r="K92" s="698"/>
      <c r="L92" s="698"/>
      <c r="M92" s="698"/>
      <c r="N92" s="698"/>
      <c r="O92" s="698"/>
      <c r="P92" s="698"/>
      <c r="Q92" s="698"/>
      <c r="R92" s="698"/>
      <c r="AI92" s="21"/>
      <c r="AJ92" s="21"/>
      <c r="AK92" s="21"/>
      <c r="AP92" s="387" t="str">
        <f t="shared" si="55"/>
        <v>1</v>
      </c>
    </row>
    <row r="93" spans="1:42">
      <c r="A93" s="530" t="str">
        <f>B93</f>
        <v>Option Year 7</v>
      </c>
      <c r="B93" s="691" t="str">
        <f>InputSheet!$C$29</f>
        <v>Option Year 7</v>
      </c>
      <c r="AP93" s="387" t="str">
        <f t="shared" si="55"/>
        <v>1</v>
      </c>
    </row>
    <row r="94" spans="1:42">
      <c r="B94" s="314" t="s">
        <v>587</v>
      </c>
      <c r="C94" s="692" t="s">
        <v>588</v>
      </c>
      <c r="E94" s="1216" t="str">
        <f>"Indirect Rates - "&amp;C$7</f>
        <v>Indirect Rates - IS</v>
      </c>
      <c r="F94" s="1216"/>
      <c r="G94" s="1216"/>
      <c r="H94" s="1216"/>
      <c r="I94" s="1216"/>
      <c r="J94" s="1216"/>
      <c r="K94" s="1216"/>
      <c r="L94" s="1216"/>
      <c r="M94" s="1216"/>
      <c r="N94" s="1216"/>
      <c r="O94" s="1216"/>
      <c r="P94" s="1216"/>
      <c r="Q94" s="1216"/>
      <c r="R94" s="1216"/>
      <c r="S94" s="844"/>
      <c r="T94" s="1217" t="s">
        <v>794</v>
      </c>
      <c r="U94" s="1217"/>
      <c r="V94" s="1217"/>
      <c r="W94" s="1217"/>
      <c r="X94" s="1217"/>
      <c r="Y94" s="1217"/>
      <c r="Z94" s="1217"/>
      <c r="AA94" s="1217"/>
      <c r="AB94" s="1217"/>
      <c r="AC94" s="1217"/>
      <c r="AD94" s="1217"/>
      <c r="AE94" s="1217"/>
      <c r="AF94" s="1217"/>
      <c r="AG94" s="1217"/>
      <c r="AI94" s="692" t="s">
        <v>615</v>
      </c>
      <c r="AJ94" s="50"/>
      <c r="AK94" s="50"/>
      <c r="AP94" s="387" t="str">
        <f t="shared" si="55"/>
        <v>1</v>
      </c>
    </row>
    <row r="95" spans="1:42">
      <c r="B95" s="693">
        <f>VLOOKUP(A93,InputSheet!$C$8:$E$37,2,FALSE)</f>
        <v>731</v>
      </c>
      <c r="C95" s="694">
        <f>VLOOKUP(A93,InputSheet!$C$8:$E$37,3,FALSE)</f>
        <v>1096</v>
      </c>
      <c r="E95" s="695">
        <f t="shared" ref="E95:R95" si="65">E83</f>
        <v>2009</v>
      </c>
      <c r="F95" s="695">
        <f t="shared" si="65"/>
        <v>2010</v>
      </c>
      <c r="G95" s="695">
        <f t="shared" si="65"/>
        <v>2011</v>
      </c>
      <c r="H95" s="695">
        <f t="shared" si="65"/>
        <v>2012</v>
      </c>
      <c r="I95" s="695">
        <f t="shared" si="65"/>
        <v>2013</v>
      </c>
      <c r="J95" s="695">
        <f t="shared" si="65"/>
        <v>2014</v>
      </c>
      <c r="K95" s="695">
        <f t="shared" si="65"/>
        <v>2015</v>
      </c>
      <c r="L95" s="695">
        <f t="shared" si="65"/>
        <v>2016</v>
      </c>
      <c r="M95" s="695">
        <f t="shared" si="65"/>
        <v>2017</v>
      </c>
      <c r="N95" s="695">
        <f t="shared" si="65"/>
        <v>2018</v>
      </c>
      <c r="O95" s="695">
        <f t="shared" si="65"/>
        <v>2019</v>
      </c>
      <c r="P95" s="695">
        <f t="shared" si="65"/>
        <v>2020</v>
      </c>
      <c r="Q95" s="695">
        <f t="shared" si="65"/>
        <v>2021</v>
      </c>
      <c r="R95" s="695">
        <f t="shared" si="65"/>
        <v>2022</v>
      </c>
      <c r="S95" s="680"/>
      <c r="T95" s="695">
        <f t="shared" ref="T95:AG95" si="66">T83</f>
        <v>2009</v>
      </c>
      <c r="U95" s="695">
        <f t="shared" si="66"/>
        <v>2010</v>
      </c>
      <c r="V95" s="695">
        <f t="shared" si="66"/>
        <v>2011</v>
      </c>
      <c r="W95" s="695">
        <f t="shared" si="66"/>
        <v>2012</v>
      </c>
      <c r="X95" s="695">
        <f t="shared" si="66"/>
        <v>2013</v>
      </c>
      <c r="Y95" s="695">
        <f t="shared" si="66"/>
        <v>2014</v>
      </c>
      <c r="Z95" s="695">
        <f t="shared" si="66"/>
        <v>2015</v>
      </c>
      <c r="AA95" s="695">
        <f t="shared" si="66"/>
        <v>2016</v>
      </c>
      <c r="AB95" s="695">
        <f t="shared" si="66"/>
        <v>2017</v>
      </c>
      <c r="AC95" s="695">
        <f t="shared" si="66"/>
        <v>2018</v>
      </c>
      <c r="AD95" s="695">
        <f t="shared" si="66"/>
        <v>2019</v>
      </c>
      <c r="AE95" s="695">
        <f t="shared" si="66"/>
        <v>2020</v>
      </c>
      <c r="AF95" s="695">
        <f t="shared" si="66"/>
        <v>2021</v>
      </c>
      <c r="AG95" s="695">
        <f t="shared" si="66"/>
        <v>2022</v>
      </c>
      <c r="AI95" s="696" t="str">
        <f>B93</f>
        <v>Option Year 7</v>
      </c>
      <c r="AJ95" s="28"/>
      <c r="AK95" s="28"/>
      <c r="AP95" s="387" t="str">
        <f t="shared" si="55"/>
        <v>1</v>
      </c>
    </row>
    <row r="96" spans="1:42">
      <c r="A96" s="6" t="str">
        <f>A93</f>
        <v>Option Year 7</v>
      </c>
      <c r="B96" s="6" t="str">
        <f t="shared" ref="B96:B103" si="67">B84</f>
        <v>PRB</v>
      </c>
      <c r="E96" s="698">
        <f>IF(E95="",0,INDEX(Input_Range,MATCH((C7&amp;B96),Input_Call,0),MATCH(E95,Input_Header,0)))</f>
        <v>0.31240000000000001</v>
      </c>
      <c r="F96" s="698">
        <f>IF(F95="",0,INDEX(Input_Range,MATCH((C7&amp;B96),Input_Call,0),MATCH(F95,Input_Header,0)))</f>
        <v>0.31240000000000001</v>
      </c>
      <c r="G96" s="698">
        <f>IF(G95="",0,INDEX(Input_Range,MATCH((C7&amp;B96),Input_Call,0),MATCH(G95,Input_Header,0)))</f>
        <v>0.31240000000000001</v>
      </c>
      <c r="H96" s="698">
        <f>IF(H95="",0,INDEX(Input_Range,MATCH((C7&amp;B96),Input_Call,0),MATCH(H95,Input_Header,0)))</f>
        <v>0.31240000000000001</v>
      </c>
      <c r="I96" s="698">
        <f>IF(I95="",0,INDEX(Input_Range,MATCH((C7&amp;B96),Input_Call,0),MATCH(I95,Input_Header,0)))</f>
        <v>0.31240000000000001</v>
      </c>
      <c r="J96" s="698">
        <f>IF(J95="",0,INDEX(Input_Range,MATCH((C7&amp;B96),Input_Call,0),MATCH(J95,Input_Header,0)))</f>
        <v>0.31240000000000001</v>
      </c>
      <c r="K96" s="698">
        <f>IF(K95="",0,INDEX(Input_Range,MATCH((C7&amp;B96),Input_Call,0),MATCH(K95,Input_Header,0)))</f>
        <v>0.31240000000000001</v>
      </c>
      <c r="L96" s="698">
        <f>IF(L95="",0,INDEX(Input_Range,MATCH((C7&amp;B96),Input_Call,0),MATCH(L95,Input_Header,0)))</f>
        <v>0.31240000000000001</v>
      </c>
      <c r="M96" s="698">
        <f>IF(M95="",0,INDEX(Input_Range,MATCH((C7&amp;B96),Input_Call,0),MATCH(M95,Input_Header,0)))</f>
        <v>0.31240000000000001</v>
      </c>
      <c r="N96" s="698">
        <f>IF(N95="",0,INDEX(Input_Range,MATCH((C7&amp;B96),Input_Call,0),MATCH(N95,Input_Header,0)))</f>
        <v>0.31240000000000001</v>
      </c>
      <c r="O96" s="698">
        <f>IF(O95="",0,INDEX(Input_Range,MATCH((C7&amp;B96),Input_Call,0),MATCH(O95,Input_Header,0)))</f>
        <v>0.31240000000000001</v>
      </c>
      <c r="P96" s="698">
        <f>IF(P95="",0,INDEX(Input_Range,MATCH((C7&amp;B96),Input_Call,0),MATCH(P95,Input_Header,0)))</f>
        <v>0.31240000000000001</v>
      </c>
      <c r="Q96" s="698">
        <f>IF(Q95="",0,INDEX(Input_Range,MATCH((C7&amp;B96),Input_Call,0),MATCH(Q95,Input_Header,0)))</f>
        <v>0.31240000000000001</v>
      </c>
      <c r="R96" s="698">
        <f>Q96</f>
        <v>0.31240000000000001</v>
      </c>
      <c r="T96" s="699">
        <f t="shared" ref="T96:AG96" si="68">ROUND((MAX(0,(MIN($C95,DATE(T95,12,31))-MAX($B95,DATE(T95,1,1))+1)))/30.41667,0)</f>
        <v>0</v>
      </c>
      <c r="U96" s="699">
        <f t="shared" si="68"/>
        <v>0</v>
      </c>
      <c r="V96" s="699">
        <f t="shared" si="68"/>
        <v>0</v>
      </c>
      <c r="W96" s="699">
        <f t="shared" si="68"/>
        <v>0</v>
      </c>
      <c r="X96" s="699">
        <f t="shared" si="68"/>
        <v>0</v>
      </c>
      <c r="Y96" s="699">
        <f t="shared" si="68"/>
        <v>0</v>
      </c>
      <c r="Z96" s="699">
        <f t="shared" si="68"/>
        <v>0</v>
      </c>
      <c r="AA96" s="699">
        <f t="shared" si="68"/>
        <v>0</v>
      </c>
      <c r="AB96" s="699">
        <f t="shared" si="68"/>
        <v>0</v>
      </c>
      <c r="AC96" s="699">
        <f t="shared" si="68"/>
        <v>0</v>
      </c>
      <c r="AD96" s="699">
        <f t="shared" si="68"/>
        <v>0</v>
      </c>
      <c r="AE96" s="699">
        <f t="shared" si="68"/>
        <v>0</v>
      </c>
      <c r="AF96" s="699">
        <f t="shared" si="68"/>
        <v>0</v>
      </c>
      <c r="AG96" s="699">
        <f t="shared" si="68"/>
        <v>0</v>
      </c>
      <c r="AI96" s="698" t="e">
        <f t="shared" ref="AI96:AI103" si="69">ROUND(SUMPRODUCT(E96:R96,T96:AG96)/SUM(T96:AG96),4)</f>
        <v>#DIV/0!</v>
      </c>
      <c r="AJ96" s="698"/>
      <c r="AK96" s="698"/>
      <c r="AL96" s="4" t="str">
        <f>$A96&amp;$C7&amp;InputSheet!C$41&amp;InputSheet!D$41</f>
        <v>Option Year 7ISPRBContr/Govt</v>
      </c>
      <c r="AM96" s="700" t="e">
        <f t="shared" ref="AM96:AM103" si="70">AI96</f>
        <v>#DIV/0!</v>
      </c>
      <c r="AP96" s="387" t="e">
        <f t="shared" si="55"/>
        <v>#DIV/0!</v>
      </c>
    </row>
    <row r="97" spans="1:42">
      <c r="A97" s="6" t="str">
        <f t="shared" ref="A97:A103" si="71">A96</f>
        <v>Option Year 7</v>
      </c>
      <c r="B97" s="6" t="str">
        <f t="shared" si="67"/>
        <v>Overhead - Offsite</v>
      </c>
      <c r="E97" s="698">
        <f>IF(E95="",0,INDEX(Input_Range,MATCH((C7&amp;B97),Input_Call,0),MATCH(E95,Input_Header,0)))</f>
        <v>0.1988</v>
      </c>
      <c r="F97" s="698">
        <f>IF(F95="",0,INDEX(Input_Range,MATCH((C7&amp;B97),Input_Call,0),MATCH(F95,Input_Header,0)))</f>
        <v>0.1988</v>
      </c>
      <c r="G97" s="698">
        <f>IF(G95="",0,INDEX(Input_Range,MATCH((C7&amp;B97),Input_Call,0),MATCH(G95,Input_Header,0)))</f>
        <v>0.1988</v>
      </c>
      <c r="H97" s="698">
        <f>IF(H95="",0,INDEX(Input_Range,MATCH((C7&amp;B97),Input_Call,0),MATCH(H95,Input_Header,0)))</f>
        <v>0.1988</v>
      </c>
      <c r="I97" s="698">
        <f>IF(I95="",0,INDEX(Input_Range,MATCH((C7&amp;B97),Input_Call,0),MATCH(I95,Input_Header,0)))</f>
        <v>0.1988</v>
      </c>
      <c r="J97" s="698">
        <f>IF(J95="",0,INDEX(Input_Range,MATCH((C7&amp;B97),Input_Call,0),MATCH(J95,Input_Header,0)))</f>
        <v>0.1988</v>
      </c>
      <c r="K97" s="698">
        <f>IF(K95="",0,INDEX(Input_Range,MATCH((C7&amp;B97),Input_Call,0),MATCH(K95,Input_Header,0)))</f>
        <v>0.1988</v>
      </c>
      <c r="L97" s="698">
        <f>IF(L95="",0,INDEX(Input_Range,MATCH((C7&amp;B97),Input_Call,0),MATCH(L95,Input_Header,0)))</f>
        <v>0.1988</v>
      </c>
      <c r="M97" s="698">
        <f>IF(M95="",0,INDEX(Input_Range,MATCH((C7&amp;B97),Input_Call,0),MATCH(M95,Input_Header,0)))</f>
        <v>0.1988</v>
      </c>
      <c r="N97" s="698">
        <f>IF(N95="",0,INDEX(Input_Range,MATCH((C7&amp;B97),Input_Call,0),MATCH(N95,Input_Header,0)))</f>
        <v>0.1988</v>
      </c>
      <c r="O97" s="698">
        <f>IF(O95="",0,INDEX(Input_Range,MATCH((C7&amp;B97),Input_Call,0),MATCH(O95,Input_Header,0)))</f>
        <v>0.1988</v>
      </c>
      <c r="P97" s="698">
        <f>IF(P95="",0,INDEX(Input_Range,MATCH((C7&amp;B97),Input_Call,0),MATCH(P95,Input_Header,0)))</f>
        <v>0.1988</v>
      </c>
      <c r="Q97" s="698">
        <f>IF(Q95="",0,INDEX(Input_Range,MATCH((C7&amp;B97),Input_Call,0),MATCH(Q95,Input_Header,0)))</f>
        <v>0.1988</v>
      </c>
      <c r="R97" s="698">
        <f t="shared" ref="R97:R103" si="72">Q97</f>
        <v>0.1988</v>
      </c>
      <c r="T97" s="699">
        <f t="shared" ref="T97:AG103" si="73">T96</f>
        <v>0</v>
      </c>
      <c r="U97" s="699">
        <f t="shared" si="73"/>
        <v>0</v>
      </c>
      <c r="V97" s="699">
        <f t="shared" si="73"/>
        <v>0</v>
      </c>
      <c r="W97" s="699">
        <f t="shared" si="73"/>
        <v>0</v>
      </c>
      <c r="X97" s="699">
        <f t="shared" si="73"/>
        <v>0</v>
      </c>
      <c r="Y97" s="699">
        <f t="shared" si="73"/>
        <v>0</v>
      </c>
      <c r="Z97" s="699">
        <f t="shared" si="73"/>
        <v>0</v>
      </c>
      <c r="AA97" s="699">
        <f t="shared" si="73"/>
        <v>0</v>
      </c>
      <c r="AB97" s="699">
        <f t="shared" si="73"/>
        <v>0</v>
      </c>
      <c r="AC97" s="699">
        <f t="shared" si="73"/>
        <v>0</v>
      </c>
      <c r="AD97" s="699">
        <f t="shared" si="73"/>
        <v>0</v>
      </c>
      <c r="AE97" s="699">
        <f t="shared" si="73"/>
        <v>0</v>
      </c>
      <c r="AF97" s="699">
        <f t="shared" si="73"/>
        <v>0</v>
      </c>
      <c r="AG97" s="699">
        <f t="shared" si="73"/>
        <v>0</v>
      </c>
      <c r="AI97" s="698" t="e">
        <f t="shared" si="69"/>
        <v>#DIV/0!</v>
      </c>
      <c r="AJ97" s="698"/>
      <c r="AK97" s="698"/>
      <c r="AL97" s="4" t="str">
        <f>$A97&amp;$C7&amp;InputSheet!C$42&amp;InputSheet!D$42</f>
        <v>Option Year 7ISOverheadContr</v>
      </c>
      <c r="AM97" s="700" t="e">
        <f t="shared" si="70"/>
        <v>#DIV/0!</v>
      </c>
      <c r="AP97" s="387" t="e">
        <f t="shared" si="55"/>
        <v>#DIV/0!</v>
      </c>
    </row>
    <row r="98" spans="1:42">
      <c r="A98" s="6" t="str">
        <f t="shared" si="71"/>
        <v>Option Year 7</v>
      </c>
      <c r="B98" s="6" t="str">
        <f t="shared" si="67"/>
        <v>Overhead - Onsite</v>
      </c>
      <c r="E98" s="698">
        <f>IF(E95="",0,INDEX(Input_Range,MATCH((C7&amp;B98),Input_Call,0),MATCH(E95,Input_Header,0)))</f>
        <v>2.23E-2</v>
      </c>
      <c r="F98" s="698">
        <f>IF(F95="",0,INDEX(Input_Range,MATCH((C7&amp;B98),Input_Call,0),MATCH(F95,Input_Header,0)))</f>
        <v>2.23E-2</v>
      </c>
      <c r="G98" s="698">
        <f>IF(G95="",0,INDEX(Input_Range,MATCH((C7&amp;B98),Input_Call,0),MATCH(G95,Input_Header,0)))</f>
        <v>2.23E-2</v>
      </c>
      <c r="H98" s="698">
        <f>IF(H95="",0,INDEX(Input_Range,MATCH((C7&amp;B98),Input_Call,0),MATCH(H95,Input_Header,0)))</f>
        <v>2.23E-2</v>
      </c>
      <c r="I98" s="698">
        <f>IF(I95="",0,INDEX(Input_Range,MATCH((C7&amp;B98),Input_Call,0),MATCH(I95,Input_Header,0)))</f>
        <v>2.23E-2</v>
      </c>
      <c r="J98" s="698">
        <f>IF(J95="",0,INDEX(Input_Range,MATCH((C7&amp;B98),Input_Call,0),MATCH(J95,Input_Header,0)))</f>
        <v>2.23E-2</v>
      </c>
      <c r="K98" s="698">
        <f>IF(K95="",0,INDEX(Input_Range,MATCH((C7&amp;B98),Input_Call,0),MATCH(K95,Input_Header,0)))</f>
        <v>2.23E-2</v>
      </c>
      <c r="L98" s="698">
        <f>IF(L95="",0,INDEX(Input_Range,MATCH((C7&amp;B98),Input_Call,0),MATCH(L95,Input_Header,0)))</f>
        <v>2.23E-2</v>
      </c>
      <c r="M98" s="698">
        <f>IF(M95="",0,INDEX(Input_Range,MATCH((C7&amp;B98),Input_Call,0),MATCH(M95,Input_Header,0)))</f>
        <v>2.23E-2</v>
      </c>
      <c r="N98" s="698">
        <f>IF(N95="",0,INDEX(Input_Range,MATCH((C7&amp;B98),Input_Call,0),MATCH(N95,Input_Header,0)))</f>
        <v>2.23E-2</v>
      </c>
      <c r="O98" s="698">
        <f>IF(O95="",0,INDEX(Input_Range,MATCH((C7&amp;B98),Input_Call,0),MATCH(O95,Input_Header,0)))</f>
        <v>2.23E-2</v>
      </c>
      <c r="P98" s="698">
        <f>IF(P95="",0,INDEX(Input_Range,MATCH((C7&amp;B98),Input_Call,0),MATCH(P95,Input_Header,0)))</f>
        <v>2.23E-2</v>
      </c>
      <c r="Q98" s="698">
        <f>IF(Q95="",0,INDEX(Input_Range,MATCH((C7&amp;B98),Input_Call,0),MATCH(Q95,Input_Header,0)))</f>
        <v>2.23E-2</v>
      </c>
      <c r="R98" s="698">
        <f t="shared" si="72"/>
        <v>2.23E-2</v>
      </c>
      <c r="T98" s="699">
        <f t="shared" si="73"/>
        <v>0</v>
      </c>
      <c r="U98" s="699">
        <f t="shared" si="73"/>
        <v>0</v>
      </c>
      <c r="V98" s="699">
        <f t="shared" si="73"/>
        <v>0</v>
      </c>
      <c r="W98" s="699">
        <f t="shared" si="73"/>
        <v>0</v>
      </c>
      <c r="X98" s="699">
        <f t="shared" si="73"/>
        <v>0</v>
      </c>
      <c r="Y98" s="699">
        <f t="shared" si="73"/>
        <v>0</v>
      </c>
      <c r="Z98" s="699">
        <f t="shared" si="73"/>
        <v>0</v>
      </c>
      <c r="AA98" s="699">
        <f t="shared" si="73"/>
        <v>0</v>
      </c>
      <c r="AB98" s="699">
        <f t="shared" si="73"/>
        <v>0</v>
      </c>
      <c r="AC98" s="699">
        <f t="shared" si="73"/>
        <v>0</v>
      </c>
      <c r="AD98" s="699">
        <f t="shared" si="73"/>
        <v>0</v>
      </c>
      <c r="AE98" s="699">
        <f t="shared" si="73"/>
        <v>0</v>
      </c>
      <c r="AF98" s="699">
        <f t="shared" si="73"/>
        <v>0</v>
      </c>
      <c r="AG98" s="699">
        <f t="shared" si="73"/>
        <v>0</v>
      </c>
      <c r="AI98" s="698" t="e">
        <f t="shared" si="69"/>
        <v>#DIV/0!</v>
      </c>
      <c r="AJ98" s="698"/>
      <c r="AK98" s="698"/>
      <c r="AL98" s="4" t="str">
        <f>$A98&amp;$C7&amp;InputSheet!C$43&amp;InputSheet!D$43</f>
        <v>Option Year 7ISOverheadGovt</v>
      </c>
      <c r="AM98" s="700" t="e">
        <f t="shared" si="70"/>
        <v>#DIV/0!</v>
      </c>
      <c r="AP98" s="387" t="e">
        <f t="shared" si="55"/>
        <v>#DIV/0!</v>
      </c>
    </row>
    <row r="99" spans="1:42">
      <c r="A99" s="6" t="str">
        <f t="shared" si="71"/>
        <v>Option Year 7</v>
      </c>
      <c r="B99" s="6" t="str">
        <f t="shared" si="67"/>
        <v>Material Handling</v>
      </c>
      <c r="E99" s="698">
        <f>IF(E95="",0,INDEX(Input_Range,MATCH((C7&amp;B99),Input_Call,0),MATCH(E95,Input_Header,0)))</f>
        <v>3.1699999999999999E-2</v>
      </c>
      <c r="F99" s="698">
        <f>IF(F95="",0,INDEX(Input_Range,MATCH((C7&amp;B99),Input_Call,0),MATCH(F95,Input_Header,0)))</f>
        <v>3.0700000000000002E-2</v>
      </c>
      <c r="G99" s="698">
        <f>IF(G95="",0,INDEX(Input_Range,MATCH((C7&amp;B99),Input_Call,0),MATCH(G95,Input_Header,0)))</f>
        <v>2.9700000000000001E-2</v>
      </c>
      <c r="H99" s="698">
        <f>IF(H95="",0,INDEX(Input_Range,MATCH((C7&amp;B99),Input_Call,0),MATCH(H95,Input_Header,0)))</f>
        <v>2.8799999999999999E-2</v>
      </c>
      <c r="I99" s="698">
        <f>IF(I95="",0,INDEX(Input_Range,MATCH((C7&amp;B99),Input_Call,0),MATCH(I95,Input_Header,0)))</f>
        <v>2.8000000000000001E-2</v>
      </c>
      <c r="J99" s="698">
        <f>IF(J95="",0,INDEX(Input_Range,MATCH((C7&amp;B99),Input_Call,0),MATCH(J95,Input_Header,0)))</f>
        <v>2.8000000000000001E-2</v>
      </c>
      <c r="K99" s="698">
        <f>IF(K95="",0,INDEX(Input_Range,MATCH((C7&amp;B99),Input_Call,0),MATCH(K95,Input_Header,0)))</f>
        <v>2.8000000000000001E-2</v>
      </c>
      <c r="L99" s="698">
        <f>IF(L95="",0,INDEX(Input_Range,MATCH((C7&amp;B99),Input_Call,0),MATCH(L95,Input_Header,0)))</f>
        <v>2.8000000000000001E-2</v>
      </c>
      <c r="M99" s="698">
        <f>IF(M95="",0,INDEX(Input_Range,MATCH((C7&amp;B99),Input_Call,0),MATCH(M95,Input_Header,0)))</f>
        <v>2.8000000000000001E-2</v>
      </c>
      <c r="N99" s="698">
        <f>IF(N95="",0,INDEX(Input_Range,MATCH((C7&amp;B99),Input_Call,0),MATCH(N95,Input_Header,0)))</f>
        <v>2.8000000000000001E-2</v>
      </c>
      <c r="O99" s="698">
        <f>IF(O95="",0,INDEX(Input_Range,MATCH((C7&amp;B99),Input_Call,0),MATCH(O95,Input_Header,0)))</f>
        <v>2.8000000000000001E-2</v>
      </c>
      <c r="P99" s="698">
        <f>IF(P95="",0,INDEX(Input_Range,MATCH((C7&amp;B99),Input_Call,0),MATCH(P95,Input_Header,0)))</f>
        <v>2.8000000000000001E-2</v>
      </c>
      <c r="Q99" s="698">
        <f>IF(Q95="",0,INDEX(Input_Range,MATCH((C7&amp;B99),Input_Call,0),MATCH(Q95,Input_Header,0)))</f>
        <v>2.8000000000000001E-2</v>
      </c>
      <c r="R99" s="698">
        <f t="shared" si="72"/>
        <v>2.8000000000000001E-2</v>
      </c>
      <c r="T99" s="699">
        <f t="shared" si="73"/>
        <v>0</v>
      </c>
      <c r="U99" s="699">
        <f t="shared" si="73"/>
        <v>0</v>
      </c>
      <c r="V99" s="699">
        <f t="shared" si="73"/>
        <v>0</v>
      </c>
      <c r="W99" s="699">
        <f t="shared" si="73"/>
        <v>0</v>
      </c>
      <c r="X99" s="699">
        <f t="shared" si="73"/>
        <v>0</v>
      </c>
      <c r="Y99" s="699">
        <f t="shared" si="73"/>
        <v>0</v>
      </c>
      <c r="Z99" s="699">
        <f t="shared" si="73"/>
        <v>0</v>
      </c>
      <c r="AA99" s="699">
        <f t="shared" si="73"/>
        <v>0</v>
      </c>
      <c r="AB99" s="699">
        <f t="shared" si="73"/>
        <v>0</v>
      </c>
      <c r="AC99" s="699">
        <f t="shared" si="73"/>
        <v>0</v>
      </c>
      <c r="AD99" s="699">
        <f t="shared" si="73"/>
        <v>0</v>
      </c>
      <c r="AE99" s="699">
        <f t="shared" si="73"/>
        <v>0</v>
      </c>
      <c r="AF99" s="699">
        <f t="shared" si="73"/>
        <v>0</v>
      </c>
      <c r="AG99" s="699">
        <f t="shared" si="73"/>
        <v>0</v>
      </c>
      <c r="AI99" s="698" t="e">
        <f t="shared" si="69"/>
        <v>#DIV/0!</v>
      </c>
      <c r="AJ99" s="698"/>
      <c r="AK99" s="698"/>
      <c r="AL99" s="4" t="str">
        <f>$A99&amp;$C7&amp;InputSheet!C$44&amp;InputSheet!D$44</f>
        <v>Option Year 7ISMHContr/Govt</v>
      </c>
      <c r="AM99" s="700" t="e">
        <f t="shared" si="70"/>
        <v>#DIV/0!</v>
      </c>
      <c r="AP99" s="387" t="e">
        <f t="shared" si="55"/>
        <v>#DIV/0!</v>
      </c>
    </row>
    <row r="100" spans="1:42">
      <c r="A100" s="6" t="str">
        <f t="shared" si="71"/>
        <v>Option Year 7</v>
      </c>
      <c r="B100" s="6" t="str">
        <f t="shared" si="67"/>
        <v>G&amp;A</v>
      </c>
      <c r="E100" s="698">
        <f>IF(E95="",0,INDEX(Input_Range,MATCH((C7&amp;B100),Input_Call,0),MATCH(E95,Input_Header,0)))</f>
        <v>9.7500000000000003E-2</v>
      </c>
      <c r="F100" s="698">
        <f>IF(F95="",0,INDEX(Input_Range,MATCH((C7&amp;B100),Input_Call,0),MATCH(F95,Input_Header,0)))</f>
        <v>9.4700000000000006E-2</v>
      </c>
      <c r="G100" s="698">
        <f>IF(G95="",0,INDEX(Input_Range,MATCH((C7&amp;B100),Input_Call,0),MATCH(G95,Input_Header,0)))</f>
        <v>9.1999999999999998E-2</v>
      </c>
      <c r="H100" s="698">
        <f>IF(H95="",0,INDEX(Input_Range,MATCH((C7&amp;B100),Input_Call,0),MATCH(H95,Input_Header,0)))</f>
        <v>8.9499999999999996E-2</v>
      </c>
      <c r="I100" s="698">
        <f>IF(I95="",0,INDEX(Input_Range,MATCH((C7&amp;B100),Input_Call,0),MATCH(I95,Input_Header,0)))</f>
        <v>8.7099999999999997E-2</v>
      </c>
      <c r="J100" s="698">
        <f>IF(J95="",0,INDEX(Input_Range,MATCH((C7&amp;B100),Input_Call,0),MATCH(J95,Input_Header,0)))</f>
        <v>8.7099999999999997E-2</v>
      </c>
      <c r="K100" s="698">
        <f>IF(K95="",0,INDEX(Input_Range,MATCH((C7&amp;B100),Input_Call,0),MATCH(K95,Input_Header,0)))</f>
        <v>8.7099999999999997E-2</v>
      </c>
      <c r="L100" s="698">
        <f>IF(L95="",0,INDEX(Input_Range,MATCH((C7&amp;B100),Input_Call,0),MATCH(L95,Input_Header,0)))</f>
        <v>8.7099999999999997E-2</v>
      </c>
      <c r="M100" s="698">
        <f>IF(M95="",0,INDEX(Input_Range,MATCH((C7&amp;B100),Input_Call,0),MATCH(M95,Input_Header,0)))</f>
        <v>8.7099999999999997E-2</v>
      </c>
      <c r="N100" s="698">
        <f>IF(N95="",0,INDEX(Input_Range,MATCH((C7&amp;B100),Input_Call,0),MATCH(N95,Input_Header,0)))</f>
        <v>8.7099999999999997E-2</v>
      </c>
      <c r="O100" s="698">
        <f>IF(O95="",0,INDEX(Input_Range,MATCH((C7&amp;B100),Input_Call,0),MATCH(O95,Input_Header,0)))</f>
        <v>8.7099999999999997E-2</v>
      </c>
      <c r="P100" s="698">
        <f>IF(P95="",0,INDEX(Input_Range,MATCH((C7&amp;B100),Input_Call,0),MATCH(P95,Input_Header,0)))</f>
        <v>8.7099999999999997E-2</v>
      </c>
      <c r="Q100" s="698">
        <f>IF(Q95="",0,INDEX(Input_Range,MATCH((C7&amp;B100),Input_Call,0),MATCH(Q95,Input_Header,0)))</f>
        <v>8.7099999999999997E-2</v>
      </c>
      <c r="R100" s="698">
        <f t="shared" si="72"/>
        <v>8.7099999999999997E-2</v>
      </c>
      <c r="T100" s="699">
        <f t="shared" si="73"/>
        <v>0</v>
      </c>
      <c r="U100" s="699">
        <f t="shared" si="73"/>
        <v>0</v>
      </c>
      <c r="V100" s="699">
        <f t="shared" si="73"/>
        <v>0</v>
      </c>
      <c r="W100" s="699">
        <f t="shared" si="73"/>
        <v>0</v>
      </c>
      <c r="X100" s="699">
        <f t="shared" si="73"/>
        <v>0</v>
      </c>
      <c r="Y100" s="699">
        <f t="shared" si="73"/>
        <v>0</v>
      </c>
      <c r="Z100" s="699">
        <f t="shared" si="73"/>
        <v>0</v>
      </c>
      <c r="AA100" s="699">
        <f t="shared" si="73"/>
        <v>0</v>
      </c>
      <c r="AB100" s="699">
        <f t="shared" si="73"/>
        <v>0</v>
      </c>
      <c r="AC100" s="699">
        <f t="shared" si="73"/>
        <v>0</v>
      </c>
      <c r="AD100" s="699">
        <f t="shared" si="73"/>
        <v>0</v>
      </c>
      <c r="AE100" s="699">
        <f t="shared" si="73"/>
        <v>0</v>
      </c>
      <c r="AF100" s="699">
        <f t="shared" si="73"/>
        <v>0</v>
      </c>
      <c r="AG100" s="699">
        <f t="shared" si="73"/>
        <v>0</v>
      </c>
      <c r="AI100" s="698" t="e">
        <f t="shared" si="69"/>
        <v>#DIV/0!</v>
      </c>
      <c r="AJ100" s="698"/>
      <c r="AK100" s="698"/>
      <c r="AL100" s="4" t="str">
        <f>$A100&amp;$C7&amp;InputSheet!C$45&amp;InputSheet!D$45</f>
        <v>Option Year 7ISG&amp;AContr/Govt</v>
      </c>
      <c r="AM100" s="700" t="e">
        <f t="shared" si="70"/>
        <v>#DIV/0!</v>
      </c>
      <c r="AP100" s="387" t="e">
        <f t="shared" si="55"/>
        <v>#DIV/0!</v>
      </c>
    </row>
    <row r="101" spans="1:42" outlineLevel="1">
      <c r="A101" s="6" t="str">
        <f t="shared" si="71"/>
        <v>Option Year 7</v>
      </c>
      <c r="B101" s="6" t="str">
        <f t="shared" si="67"/>
        <v>TBD1</v>
      </c>
      <c r="E101" s="21">
        <f>IF(E95="",0,INDEX(Input_Range,MATCH((C7&amp;B101),Input_Call,0),MATCH(E95,Input_Header,0)))</f>
        <v>0</v>
      </c>
      <c r="F101" s="21">
        <f>IF(F95="",0,INDEX(Input_Range,MATCH((C7&amp;B101),Input_Call,0),MATCH(F95,Input_Header,0)))</f>
        <v>0</v>
      </c>
      <c r="G101" s="21">
        <f>IF(G95="",0,INDEX(Input_Range,MATCH((C7&amp;B101),Input_Call,0),MATCH(G95,Input_Header,0)))</f>
        <v>0</v>
      </c>
      <c r="H101" s="21">
        <f>IF(H95="",0,INDEX(Input_Range,MATCH((C7&amp;B101),Input_Call,0),MATCH(H95,Input_Header,0)))</f>
        <v>0</v>
      </c>
      <c r="I101" s="21">
        <f>IF(I95="",0,INDEX(Input_Range,MATCH((C7&amp;B101),Input_Call,0),MATCH(I95,Input_Header,0)))</f>
        <v>0</v>
      </c>
      <c r="J101" s="21">
        <f>IF(J95="",0,INDEX(Input_Range,MATCH((C7&amp;B101),Input_Call,0),MATCH(J95,Input_Header,0)))</f>
        <v>0</v>
      </c>
      <c r="K101" s="21">
        <f>IF(K95="",0,INDEX(Input_Range,MATCH((C7&amp;B101),Input_Call,0),MATCH(K95,Input_Header,0)))</f>
        <v>0</v>
      </c>
      <c r="L101" s="21">
        <f>IF(L95="",0,INDEX(Input_Range,MATCH((C7&amp;B101),Input_Call,0),MATCH(L95,Input_Header,0)))</f>
        <v>0</v>
      </c>
      <c r="M101" s="21">
        <f>IF(M95="",0,INDEX(Input_Range,MATCH((C7&amp;B101),Input_Call,0),MATCH(M95,Input_Header,0)))</f>
        <v>0</v>
      </c>
      <c r="N101" s="21">
        <f>IF(N95="",0,INDEX(Input_Range,MATCH((C7&amp;B101),Input_Call,0),MATCH(N95,Input_Header,0)))</f>
        <v>0</v>
      </c>
      <c r="O101" s="21">
        <f>IF(O95="",0,INDEX(Input_Range,MATCH((C7&amp;B101),Input_Call,0),MATCH(O95,Input_Header,0)))</f>
        <v>0</v>
      </c>
      <c r="P101" s="21">
        <f>IF(P95="",0,INDEX(Input_Range,MATCH((C7&amp;B101),Input_Call,0),MATCH(P95,Input_Header,0)))</f>
        <v>0</v>
      </c>
      <c r="Q101" s="21">
        <f>IF(Q95="",0,INDEX(Input_Range,MATCH((C7&amp;B101),Input_Call,0),MATCH(Q95,Input_Header,0)))</f>
        <v>0</v>
      </c>
      <c r="R101" s="698">
        <f t="shared" si="72"/>
        <v>0</v>
      </c>
      <c r="T101" s="699">
        <f t="shared" si="73"/>
        <v>0</v>
      </c>
      <c r="U101" s="699">
        <f t="shared" si="73"/>
        <v>0</v>
      </c>
      <c r="V101" s="699">
        <f t="shared" si="73"/>
        <v>0</v>
      </c>
      <c r="W101" s="699">
        <f t="shared" si="73"/>
        <v>0</v>
      </c>
      <c r="X101" s="699">
        <f t="shared" si="73"/>
        <v>0</v>
      </c>
      <c r="Y101" s="699">
        <f t="shared" si="73"/>
        <v>0</v>
      </c>
      <c r="Z101" s="699">
        <f t="shared" si="73"/>
        <v>0</v>
      </c>
      <c r="AA101" s="699">
        <f t="shared" si="73"/>
        <v>0</v>
      </c>
      <c r="AB101" s="699">
        <f t="shared" si="73"/>
        <v>0</v>
      </c>
      <c r="AC101" s="699">
        <f t="shared" si="73"/>
        <v>0</v>
      </c>
      <c r="AD101" s="699">
        <f t="shared" si="73"/>
        <v>0</v>
      </c>
      <c r="AE101" s="699">
        <f t="shared" si="73"/>
        <v>0</v>
      </c>
      <c r="AF101" s="699">
        <f t="shared" si="73"/>
        <v>0</v>
      </c>
      <c r="AG101" s="699">
        <f t="shared" si="73"/>
        <v>0</v>
      </c>
      <c r="AI101" s="698" t="e">
        <f t="shared" si="69"/>
        <v>#DIV/0!</v>
      </c>
      <c r="AJ101" s="21"/>
      <c r="AK101" s="21"/>
      <c r="AL101" s="4" t="str">
        <f>$A101&amp;$C7&amp;InputSheet!C$46&amp;InputSheet!D$46</f>
        <v>Option Year 7ISTBD1Contr/Govt</v>
      </c>
      <c r="AM101" s="700" t="e">
        <f t="shared" si="70"/>
        <v>#DIV/0!</v>
      </c>
      <c r="AP101" s="387" t="e">
        <f t="shared" si="55"/>
        <v>#DIV/0!</v>
      </c>
    </row>
    <row r="102" spans="1:42" outlineLevel="1">
      <c r="A102" s="6" t="str">
        <f t="shared" si="71"/>
        <v>Option Year 7</v>
      </c>
      <c r="B102" s="6" t="str">
        <f t="shared" si="67"/>
        <v>TBD2</v>
      </c>
      <c r="E102" s="21">
        <f>IF(E95="",0,INDEX(Input_Range,MATCH((C7&amp;B102),Input_Call,0),MATCH(E95,Input_Header,0)))</f>
        <v>0</v>
      </c>
      <c r="F102" s="21">
        <f>IF(F95="",0,INDEX(Input_Range,MATCH((C7&amp;B102),Input_Call,0),MATCH(F95,Input_Header,0)))</f>
        <v>0</v>
      </c>
      <c r="G102" s="21">
        <f>IF(G95="",0,INDEX(Input_Range,MATCH((C7&amp;B102),Input_Call,0),MATCH(G95,Input_Header,0)))</f>
        <v>0</v>
      </c>
      <c r="H102" s="21">
        <f>IF(H95="",0,INDEX(Input_Range,MATCH((C7&amp;B102),Input_Call,0),MATCH(H95,Input_Header,0)))</f>
        <v>0</v>
      </c>
      <c r="I102" s="21">
        <f>IF(I95="",0,INDEX(Input_Range,MATCH((C7&amp;B102),Input_Call,0),MATCH(I95,Input_Header,0)))</f>
        <v>0</v>
      </c>
      <c r="J102" s="21">
        <f>IF(J95="",0,INDEX(Input_Range,MATCH((C7&amp;B102),Input_Call,0),MATCH(J95,Input_Header,0)))</f>
        <v>0</v>
      </c>
      <c r="K102" s="21">
        <f>IF(K95="",0,INDEX(Input_Range,MATCH((C7&amp;B102),Input_Call,0),MATCH(K95,Input_Header,0)))</f>
        <v>0</v>
      </c>
      <c r="L102" s="21">
        <f>IF(L95="",0,INDEX(Input_Range,MATCH((C7&amp;B102),Input_Call,0),MATCH(L95,Input_Header,0)))</f>
        <v>0</v>
      </c>
      <c r="M102" s="21">
        <f>IF(M95="",0,INDEX(Input_Range,MATCH((C7&amp;B102),Input_Call,0),MATCH(M95,Input_Header,0)))</f>
        <v>0</v>
      </c>
      <c r="N102" s="21">
        <f>IF(N95="",0,INDEX(Input_Range,MATCH((C7&amp;B102),Input_Call,0),MATCH(N95,Input_Header,0)))</f>
        <v>0</v>
      </c>
      <c r="O102" s="21">
        <f>IF(O95="",0,INDEX(Input_Range,MATCH((C7&amp;B102),Input_Call,0),MATCH(O95,Input_Header,0)))</f>
        <v>0</v>
      </c>
      <c r="P102" s="21">
        <f>IF(P95="",0,INDEX(Input_Range,MATCH((C7&amp;B102),Input_Call,0),MATCH(P95,Input_Header,0)))</f>
        <v>0</v>
      </c>
      <c r="Q102" s="21">
        <f>IF(Q95="",0,INDEX(Input_Range,MATCH((C7&amp;B102),Input_Call,0),MATCH(Q95,Input_Header,0)))</f>
        <v>0</v>
      </c>
      <c r="R102" s="698">
        <f t="shared" si="72"/>
        <v>0</v>
      </c>
      <c r="T102" s="699">
        <f t="shared" si="73"/>
        <v>0</v>
      </c>
      <c r="U102" s="699">
        <f t="shared" si="73"/>
        <v>0</v>
      </c>
      <c r="V102" s="699">
        <f t="shared" si="73"/>
        <v>0</v>
      </c>
      <c r="W102" s="699">
        <f t="shared" si="73"/>
        <v>0</v>
      </c>
      <c r="X102" s="699">
        <f t="shared" si="73"/>
        <v>0</v>
      </c>
      <c r="Y102" s="699">
        <f t="shared" si="73"/>
        <v>0</v>
      </c>
      <c r="Z102" s="699">
        <f t="shared" si="73"/>
        <v>0</v>
      </c>
      <c r="AA102" s="699">
        <f t="shared" si="73"/>
        <v>0</v>
      </c>
      <c r="AB102" s="699">
        <f t="shared" si="73"/>
        <v>0</v>
      </c>
      <c r="AC102" s="699">
        <f t="shared" si="73"/>
        <v>0</v>
      </c>
      <c r="AD102" s="699">
        <f t="shared" si="73"/>
        <v>0</v>
      </c>
      <c r="AE102" s="699">
        <f t="shared" si="73"/>
        <v>0</v>
      </c>
      <c r="AF102" s="699">
        <f t="shared" si="73"/>
        <v>0</v>
      </c>
      <c r="AG102" s="699">
        <f t="shared" si="73"/>
        <v>0</v>
      </c>
      <c r="AI102" s="698" t="e">
        <f t="shared" si="69"/>
        <v>#DIV/0!</v>
      </c>
      <c r="AJ102" s="21"/>
      <c r="AK102" s="21"/>
      <c r="AL102" s="4" t="str">
        <f>$A102&amp;$C7&amp;InputSheet!C$47&amp;InputSheet!D$47</f>
        <v>Option Year 7ISTBD2Contr/Govt</v>
      </c>
      <c r="AM102" s="700" t="e">
        <f t="shared" si="70"/>
        <v>#DIV/0!</v>
      </c>
      <c r="AP102" s="387" t="e">
        <f t="shared" si="55"/>
        <v>#DIV/0!</v>
      </c>
    </row>
    <row r="103" spans="1:42" outlineLevel="1">
      <c r="A103" s="6" t="str">
        <f t="shared" si="71"/>
        <v>Option Year 7</v>
      </c>
      <c r="B103" s="6" t="str">
        <f t="shared" si="67"/>
        <v>TBD3</v>
      </c>
      <c r="E103" s="21">
        <f>IF(E95="",0,INDEX(Input_Range,MATCH((C7&amp;B103),Input_Call,0),MATCH(E95,Input_Header,0)))</f>
        <v>0</v>
      </c>
      <c r="F103" s="21">
        <f>IF(F95="",0,INDEX(Input_Range,MATCH((C7&amp;B103),Input_Call,0),MATCH(F95,Input_Header,0)))</f>
        <v>0</v>
      </c>
      <c r="G103" s="21">
        <f>IF(G95="",0,INDEX(Input_Range,MATCH((C7&amp;B103),Input_Call,0),MATCH(G95,Input_Header,0)))</f>
        <v>0</v>
      </c>
      <c r="H103" s="21">
        <f>IF(H95="",0,INDEX(Input_Range,MATCH((C7&amp;B103),Input_Call,0),MATCH(H95,Input_Header,0)))</f>
        <v>0</v>
      </c>
      <c r="I103" s="21">
        <f>IF(I95="",0,INDEX(Input_Range,MATCH((C7&amp;B103),Input_Call,0),MATCH(I95,Input_Header,0)))</f>
        <v>0</v>
      </c>
      <c r="J103" s="21">
        <f>IF(J95="",0,INDEX(Input_Range,MATCH((C7&amp;B103),Input_Call,0),MATCH(J95,Input_Header,0)))</f>
        <v>0</v>
      </c>
      <c r="K103" s="21">
        <f>IF(K95="",0,INDEX(Input_Range,MATCH((C7&amp;B103),Input_Call,0),MATCH(K95,Input_Header,0)))</f>
        <v>0</v>
      </c>
      <c r="L103" s="21">
        <f>IF(L95="",0,INDEX(Input_Range,MATCH((C7&amp;B103),Input_Call,0),MATCH(L95,Input_Header,0)))</f>
        <v>0</v>
      </c>
      <c r="M103" s="21">
        <f>IF(M95="",0,INDEX(Input_Range,MATCH((C7&amp;B103),Input_Call,0),MATCH(M95,Input_Header,0)))</f>
        <v>0</v>
      </c>
      <c r="N103" s="21">
        <f>IF(N95="",0,INDEX(Input_Range,MATCH((C7&amp;B103),Input_Call,0),MATCH(N95,Input_Header,0)))</f>
        <v>0</v>
      </c>
      <c r="O103" s="21">
        <f>IF(O95="",0,INDEX(Input_Range,MATCH((C7&amp;B103),Input_Call,0),MATCH(O95,Input_Header,0)))</f>
        <v>0</v>
      </c>
      <c r="P103" s="21">
        <f>IF(P95="",0,INDEX(Input_Range,MATCH((C7&amp;B103),Input_Call,0),MATCH(P95,Input_Header,0)))</f>
        <v>0</v>
      </c>
      <c r="Q103" s="21">
        <f>IF(Q95="",0,INDEX(Input_Range,MATCH((C7&amp;B103),Input_Call,0),MATCH(Q95,Input_Header,0)))</f>
        <v>0</v>
      </c>
      <c r="R103" s="698">
        <f t="shared" si="72"/>
        <v>0</v>
      </c>
      <c r="T103" s="699">
        <f t="shared" si="73"/>
        <v>0</v>
      </c>
      <c r="U103" s="699">
        <f t="shared" si="73"/>
        <v>0</v>
      </c>
      <c r="V103" s="699">
        <f t="shared" si="73"/>
        <v>0</v>
      </c>
      <c r="W103" s="699">
        <f t="shared" si="73"/>
        <v>0</v>
      </c>
      <c r="X103" s="699">
        <f t="shared" si="73"/>
        <v>0</v>
      </c>
      <c r="Y103" s="699">
        <f t="shared" si="73"/>
        <v>0</v>
      </c>
      <c r="Z103" s="699">
        <f t="shared" si="73"/>
        <v>0</v>
      </c>
      <c r="AA103" s="699">
        <f t="shared" si="73"/>
        <v>0</v>
      </c>
      <c r="AB103" s="699">
        <f t="shared" si="73"/>
        <v>0</v>
      </c>
      <c r="AC103" s="699">
        <f t="shared" si="73"/>
        <v>0</v>
      </c>
      <c r="AD103" s="699">
        <f t="shared" si="73"/>
        <v>0</v>
      </c>
      <c r="AE103" s="699">
        <f t="shared" si="73"/>
        <v>0</v>
      </c>
      <c r="AF103" s="699">
        <f t="shared" si="73"/>
        <v>0</v>
      </c>
      <c r="AG103" s="699">
        <f t="shared" si="73"/>
        <v>0</v>
      </c>
      <c r="AI103" s="698" t="e">
        <f t="shared" si="69"/>
        <v>#DIV/0!</v>
      </c>
      <c r="AJ103" s="21"/>
      <c r="AK103" s="21"/>
      <c r="AL103" s="4" t="str">
        <f>$A103&amp;$C7&amp;InputSheet!C$48&amp;InputSheet!D$48</f>
        <v>Option Year 7ISTBD3Contr/Govt</v>
      </c>
      <c r="AM103" s="700" t="e">
        <f t="shared" si="70"/>
        <v>#DIV/0!</v>
      </c>
      <c r="AP103" s="387" t="e">
        <f t="shared" si="55"/>
        <v>#DIV/0!</v>
      </c>
    </row>
    <row r="104" spans="1:42">
      <c r="E104" s="698"/>
      <c r="F104" s="698"/>
      <c r="G104" s="698"/>
      <c r="H104" s="698"/>
      <c r="I104" s="698"/>
      <c r="J104" s="698"/>
      <c r="K104" s="698"/>
      <c r="L104" s="698"/>
      <c r="M104" s="698"/>
      <c r="N104" s="698"/>
      <c r="O104" s="698"/>
      <c r="P104" s="698"/>
      <c r="Q104" s="698"/>
      <c r="R104" s="698"/>
      <c r="AI104" s="21"/>
      <c r="AJ104" s="21"/>
      <c r="AK104" s="21"/>
      <c r="AP104" s="387" t="str">
        <f t="shared" si="55"/>
        <v>1</v>
      </c>
    </row>
    <row r="105" spans="1:42">
      <c r="A105" s="530" t="str">
        <f>B105</f>
        <v>Option Year 8</v>
      </c>
      <c r="B105" s="691" t="str">
        <f>InputSheet!$C$30</f>
        <v>Option Year 8</v>
      </c>
      <c r="AP105" s="387" t="str">
        <f t="shared" si="55"/>
        <v>1</v>
      </c>
    </row>
    <row r="106" spans="1:42">
      <c r="B106" s="314" t="s">
        <v>587</v>
      </c>
      <c r="C106" s="692" t="s">
        <v>588</v>
      </c>
      <c r="E106" s="1216" t="str">
        <f>"Indirect Rates - "&amp;C$7</f>
        <v>Indirect Rates - IS</v>
      </c>
      <c r="F106" s="1216"/>
      <c r="G106" s="1216"/>
      <c r="H106" s="1216"/>
      <c r="I106" s="1216"/>
      <c r="J106" s="1216"/>
      <c r="K106" s="1216"/>
      <c r="L106" s="1216"/>
      <c r="M106" s="1216"/>
      <c r="N106" s="1216"/>
      <c r="O106" s="1216"/>
      <c r="P106" s="1216"/>
      <c r="Q106" s="1216"/>
      <c r="R106" s="1216"/>
      <c r="S106" s="844"/>
      <c r="T106" s="1217" t="s">
        <v>794</v>
      </c>
      <c r="U106" s="1217"/>
      <c r="V106" s="1217"/>
      <c r="W106" s="1217"/>
      <c r="X106" s="1217"/>
      <c r="Y106" s="1217"/>
      <c r="Z106" s="1217"/>
      <c r="AA106" s="1217"/>
      <c r="AB106" s="1217"/>
      <c r="AC106" s="1217"/>
      <c r="AD106" s="1217"/>
      <c r="AE106" s="1217"/>
      <c r="AF106" s="1217"/>
      <c r="AG106" s="1217"/>
      <c r="AI106" s="692" t="s">
        <v>615</v>
      </c>
      <c r="AJ106" s="50"/>
      <c r="AK106" s="50"/>
      <c r="AP106" s="387" t="str">
        <f t="shared" si="55"/>
        <v>1</v>
      </c>
    </row>
    <row r="107" spans="1:42">
      <c r="B107" s="693">
        <f>VLOOKUP(A105,InputSheet!$C$8:$E$37,2,FALSE)</f>
        <v>1097</v>
      </c>
      <c r="C107" s="694">
        <f>VLOOKUP(A105,InputSheet!$C$8:$E$37,3,FALSE)</f>
        <v>1461</v>
      </c>
      <c r="E107" s="695">
        <f t="shared" ref="E107:R107" si="74">E95</f>
        <v>2009</v>
      </c>
      <c r="F107" s="695">
        <f t="shared" si="74"/>
        <v>2010</v>
      </c>
      <c r="G107" s="695">
        <f t="shared" si="74"/>
        <v>2011</v>
      </c>
      <c r="H107" s="695">
        <f t="shared" si="74"/>
        <v>2012</v>
      </c>
      <c r="I107" s="695">
        <f t="shared" si="74"/>
        <v>2013</v>
      </c>
      <c r="J107" s="695">
        <f t="shared" si="74"/>
        <v>2014</v>
      </c>
      <c r="K107" s="695">
        <f t="shared" si="74"/>
        <v>2015</v>
      </c>
      <c r="L107" s="695">
        <f t="shared" si="74"/>
        <v>2016</v>
      </c>
      <c r="M107" s="695">
        <f t="shared" si="74"/>
        <v>2017</v>
      </c>
      <c r="N107" s="695">
        <f t="shared" si="74"/>
        <v>2018</v>
      </c>
      <c r="O107" s="695">
        <f t="shared" si="74"/>
        <v>2019</v>
      </c>
      <c r="P107" s="695">
        <f t="shared" si="74"/>
        <v>2020</v>
      </c>
      <c r="Q107" s="695">
        <f t="shared" si="74"/>
        <v>2021</v>
      </c>
      <c r="R107" s="695">
        <f t="shared" si="74"/>
        <v>2022</v>
      </c>
      <c r="S107" s="680"/>
      <c r="T107" s="695">
        <f t="shared" ref="T107:AG107" si="75">T95</f>
        <v>2009</v>
      </c>
      <c r="U107" s="695">
        <f t="shared" si="75"/>
        <v>2010</v>
      </c>
      <c r="V107" s="695">
        <f t="shared" si="75"/>
        <v>2011</v>
      </c>
      <c r="W107" s="695">
        <f t="shared" si="75"/>
        <v>2012</v>
      </c>
      <c r="X107" s="695">
        <f t="shared" si="75"/>
        <v>2013</v>
      </c>
      <c r="Y107" s="695">
        <f t="shared" si="75"/>
        <v>2014</v>
      </c>
      <c r="Z107" s="695">
        <f t="shared" si="75"/>
        <v>2015</v>
      </c>
      <c r="AA107" s="695">
        <f t="shared" si="75"/>
        <v>2016</v>
      </c>
      <c r="AB107" s="695">
        <f t="shared" si="75"/>
        <v>2017</v>
      </c>
      <c r="AC107" s="695">
        <f t="shared" si="75"/>
        <v>2018</v>
      </c>
      <c r="AD107" s="695">
        <f t="shared" si="75"/>
        <v>2019</v>
      </c>
      <c r="AE107" s="695">
        <f t="shared" si="75"/>
        <v>2020</v>
      </c>
      <c r="AF107" s="695">
        <f t="shared" si="75"/>
        <v>2021</v>
      </c>
      <c r="AG107" s="695">
        <f t="shared" si="75"/>
        <v>2022</v>
      </c>
      <c r="AI107" s="696" t="str">
        <f>B105</f>
        <v>Option Year 8</v>
      </c>
      <c r="AJ107" s="28"/>
      <c r="AK107" s="28"/>
      <c r="AP107" s="387" t="str">
        <f t="shared" si="55"/>
        <v>1</v>
      </c>
    </row>
    <row r="108" spans="1:42">
      <c r="A108" s="6" t="str">
        <f>A105</f>
        <v>Option Year 8</v>
      </c>
      <c r="B108" s="6" t="str">
        <f t="shared" ref="B108:B115" si="76">B96</f>
        <v>PRB</v>
      </c>
      <c r="E108" s="698">
        <f>IF(E107="",0,INDEX(Input_Range,MATCH((C7&amp;B108),Input_Call,0),MATCH(E107,Input_Header,0)))</f>
        <v>0.31240000000000001</v>
      </c>
      <c r="F108" s="698">
        <f>IF(F107="",0,INDEX(Input_Range,MATCH((C7&amp;B108),Input_Call,0),MATCH(F107,Input_Header,0)))</f>
        <v>0.31240000000000001</v>
      </c>
      <c r="G108" s="698">
        <f>IF(G107="",0,INDEX(Input_Range,MATCH((C7&amp;B108),Input_Call,0),MATCH(G107,Input_Header,0)))</f>
        <v>0.31240000000000001</v>
      </c>
      <c r="H108" s="698">
        <f>IF(H107="",0,INDEX(Input_Range,MATCH((C7&amp;B108),Input_Call,0),MATCH(H107,Input_Header,0)))</f>
        <v>0.31240000000000001</v>
      </c>
      <c r="I108" s="698">
        <f>IF(I107="",0,INDEX(Input_Range,MATCH((C7&amp;B108),Input_Call,0),MATCH(I107,Input_Header,0)))</f>
        <v>0.31240000000000001</v>
      </c>
      <c r="J108" s="698">
        <f>IF(J107="",0,INDEX(Input_Range,MATCH((C7&amp;B108),Input_Call,0),MATCH(J107,Input_Header,0)))</f>
        <v>0.31240000000000001</v>
      </c>
      <c r="K108" s="698">
        <f>IF(K107="",0,INDEX(Input_Range,MATCH((C7&amp;B108),Input_Call,0),MATCH(K107,Input_Header,0)))</f>
        <v>0.31240000000000001</v>
      </c>
      <c r="L108" s="698">
        <f>IF(L107="",0,INDEX(Input_Range,MATCH((C7&amp;B108),Input_Call,0),MATCH(L107,Input_Header,0)))</f>
        <v>0.31240000000000001</v>
      </c>
      <c r="M108" s="698">
        <f>IF(M107="",0,INDEX(Input_Range,MATCH((C7&amp;B108),Input_Call,0),MATCH(M107,Input_Header,0)))</f>
        <v>0.31240000000000001</v>
      </c>
      <c r="N108" s="698">
        <f>IF(N107="",0,INDEX(Input_Range,MATCH((C7&amp;B108),Input_Call,0),MATCH(N107,Input_Header,0)))</f>
        <v>0.31240000000000001</v>
      </c>
      <c r="O108" s="698">
        <f>IF(O107="",0,INDEX(Input_Range,MATCH((C7&amp;B108),Input_Call,0),MATCH(O107,Input_Header,0)))</f>
        <v>0.31240000000000001</v>
      </c>
      <c r="P108" s="698">
        <f>IF(P107="",0,INDEX(Input_Range,MATCH((C7&amp;B108),Input_Call,0),MATCH(P107,Input_Header,0)))</f>
        <v>0.31240000000000001</v>
      </c>
      <c r="Q108" s="698">
        <f>IF(Q107="",0,INDEX(Input_Range,MATCH((C7&amp;B108),Input_Call,0),MATCH(Q107,Input_Header,0)))</f>
        <v>0.31240000000000001</v>
      </c>
      <c r="R108" s="698">
        <f>Q108</f>
        <v>0.31240000000000001</v>
      </c>
      <c r="T108" s="699">
        <f t="shared" ref="T108:AG108" si="77">ROUND((MAX(0,(MIN($C107,DATE(T107,12,31))-MAX($B107,DATE(T107,1,1))+1)))/30.41667,0)</f>
        <v>0</v>
      </c>
      <c r="U108" s="699">
        <f t="shared" si="77"/>
        <v>0</v>
      </c>
      <c r="V108" s="699">
        <f t="shared" si="77"/>
        <v>0</v>
      </c>
      <c r="W108" s="699">
        <f t="shared" si="77"/>
        <v>0</v>
      </c>
      <c r="X108" s="699">
        <f t="shared" si="77"/>
        <v>0</v>
      </c>
      <c r="Y108" s="699">
        <f t="shared" si="77"/>
        <v>0</v>
      </c>
      <c r="Z108" s="699">
        <f t="shared" si="77"/>
        <v>0</v>
      </c>
      <c r="AA108" s="699">
        <f t="shared" si="77"/>
        <v>0</v>
      </c>
      <c r="AB108" s="699">
        <f t="shared" si="77"/>
        <v>0</v>
      </c>
      <c r="AC108" s="699">
        <f t="shared" si="77"/>
        <v>0</v>
      </c>
      <c r="AD108" s="699">
        <f t="shared" si="77"/>
        <v>0</v>
      </c>
      <c r="AE108" s="699">
        <f t="shared" si="77"/>
        <v>0</v>
      </c>
      <c r="AF108" s="699">
        <f t="shared" si="77"/>
        <v>0</v>
      </c>
      <c r="AG108" s="699">
        <f t="shared" si="77"/>
        <v>0</v>
      </c>
      <c r="AI108" s="698" t="e">
        <f t="shared" ref="AI108:AI115" si="78">ROUND(SUMPRODUCT(E108:R108,T108:AG108)/SUM(T108:AG108),4)</f>
        <v>#DIV/0!</v>
      </c>
      <c r="AJ108" s="698"/>
      <c r="AK108" s="698"/>
      <c r="AL108" s="4" t="str">
        <f>$A108&amp;$C7&amp;InputSheet!C$41&amp;InputSheet!D$41</f>
        <v>Option Year 8ISPRBContr/Govt</v>
      </c>
      <c r="AM108" s="700" t="e">
        <f t="shared" ref="AM108:AM115" si="79">AI108</f>
        <v>#DIV/0!</v>
      </c>
      <c r="AP108" s="387" t="e">
        <f t="shared" si="55"/>
        <v>#DIV/0!</v>
      </c>
    </row>
    <row r="109" spans="1:42">
      <c r="A109" s="6" t="str">
        <f t="shared" ref="A109:A115" si="80">A108</f>
        <v>Option Year 8</v>
      </c>
      <c r="B109" s="6" t="str">
        <f t="shared" si="76"/>
        <v>Overhead - Offsite</v>
      </c>
      <c r="E109" s="698">
        <f>IF(E107="",0,INDEX(Input_Range,MATCH((C7&amp;B109),Input_Call,0),MATCH(E107,Input_Header,0)))</f>
        <v>0.1988</v>
      </c>
      <c r="F109" s="698">
        <f>IF(F107="",0,INDEX(Input_Range,MATCH((C7&amp;B109),Input_Call,0),MATCH(F107,Input_Header,0)))</f>
        <v>0.1988</v>
      </c>
      <c r="G109" s="698">
        <f>IF(G107="",0,INDEX(Input_Range,MATCH((C7&amp;B109),Input_Call,0),MATCH(G107,Input_Header,0)))</f>
        <v>0.1988</v>
      </c>
      <c r="H109" s="698">
        <f>IF(H107="",0,INDEX(Input_Range,MATCH((C7&amp;B109),Input_Call,0),MATCH(H107,Input_Header,0)))</f>
        <v>0.1988</v>
      </c>
      <c r="I109" s="698">
        <f>IF(I107="",0,INDEX(Input_Range,MATCH((C7&amp;B109),Input_Call,0),MATCH(I107,Input_Header,0)))</f>
        <v>0.1988</v>
      </c>
      <c r="J109" s="698">
        <f>IF(J107="",0,INDEX(Input_Range,MATCH((C7&amp;B109),Input_Call,0),MATCH(J107,Input_Header,0)))</f>
        <v>0.1988</v>
      </c>
      <c r="K109" s="698">
        <f>IF(K107="",0,INDEX(Input_Range,MATCH((C7&amp;B109),Input_Call,0),MATCH(K107,Input_Header,0)))</f>
        <v>0.1988</v>
      </c>
      <c r="L109" s="698">
        <f>IF(L107="",0,INDEX(Input_Range,MATCH((C7&amp;B109),Input_Call,0),MATCH(L107,Input_Header,0)))</f>
        <v>0.1988</v>
      </c>
      <c r="M109" s="698">
        <f>IF(M107="",0,INDEX(Input_Range,MATCH((C7&amp;B109),Input_Call,0),MATCH(M107,Input_Header,0)))</f>
        <v>0.1988</v>
      </c>
      <c r="N109" s="698">
        <f>IF(N107="",0,INDEX(Input_Range,MATCH((C7&amp;B109),Input_Call,0),MATCH(N107,Input_Header,0)))</f>
        <v>0.1988</v>
      </c>
      <c r="O109" s="698">
        <f>IF(O107="",0,INDEX(Input_Range,MATCH((C7&amp;B109),Input_Call,0),MATCH(O107,Input_Header,0)))</f>
        <v>0.1988</v>
      </c>
      <c r="P109" s="698">
        <f>IF(P107="",0,INDEX(Input_Range,MATCH((C7&amp;B109),Input_Call,0),MATCH(P107,Input_Header,0)))</f>
        <v>0.1988</v>
      </c>
      <c r="Q109" s="698">
        <f>IF(Q107="",0,INDEX(Input_Range,MATCH((C7&amp;B109),Input_Call,0),MATCH(Q107,Input_Header,0)))</f>
        <v>0.1988</v>
      </c>
      <c r="R109" s="698">
        <f t="shared" ref="R109:R115" si="81">Q109</f>
        <v>0.1988</v>
      </c>
      <c r="T109" s="699">
        <f t="shared" ref="T109:AG115" si="82">T108</f>
        <v>0</v>
      </c>
      <c r="U109" s="699">
        <f t="shared" si="82"/>
        <v>0</v>
      </c>
      <c r="V109" s="699">
        <f t="shared" si="82"/>
        <v>0</v>
      </c>
      <c r="W109" s="699">
        <f t="shared" si="82"/>
        <v>0</v>
      </c>
      <c r="X109" s="699">
        <f t="shared" si="82"/>
        <v>0</v>
      </c>
      <c r="Y109" s="699">
        <f t="shared" si="82"/>
        <v>0</v>
      </c>
      <c r="Z109" s="699">
        <f t="shared" si="82"/>
        <v>0</v>
      </c>
      <c r="AA109" s="699">
        <f t="shared" si="82"/>
        <v>0</v>
      </c>
      <c r="AB109" s="699">
        <f t="shared" si="82"/>
        <v>0</v>
      </c>
      <c r="AC109" s="699">
        <f t="shared" si="82"/>
        <v>0</v>
      </c>
      <c r="AD109" s="699">
        <f t="shared" si="82"/>
        <v>0</v>
      </c>
      <c r="AE109" s="699">
        <f t="shared" si="82"/>
        <v>0</v>
      </c>
      <c r="AF109" s="699">
        <f t="shared" si="82"/>
        <v>0</v>
      </c>
      <c r="AG109" s="699">
        <f t="shared" si="82"/>
        <v>0</v>
      </c>
      <c r="AI109" s="698" t="e">
        <f t="shared" si="78"/>
        <v>#DIV/0!</v>
      </c>
      <c r="AJ109" s="698"/>
      <c r="AK109" s="698"/>
      <c r="AL109" s="4" t="str">
        <f>$A109&amp;$C7&amp;InputSheet!C$42&amp;InputSheet!D$42</f>
        <v>Option Year 8ISOverheadContr</v>
      </c>
      <c r="AM109" s="700" t="e">
        <f t="shared" si="79"/>
        <v>#DIV/0!</v>
      </c>
      <c r="AP109" s="387" t="e">
        <f t="shared" si="55"/>
        <v>#DIV/0!</v>
      </c>
    </row>
    <row r="110" spans="1:42">
      <c r="A110" s="6" t="str">
        <f t="shared" si="80"/>
        <v>Option Year 8</v>
      </c>
      <c r="B110" s="6" t="str">
        <f t="shared" si="76"/>
        <v>Overhead - Onsite</v>
      </c>
      <c r="E110" s="698">
        <f>IF(E107="",0,INDEX(Input_Range,MATCH((C7&amp;B110),Input_Call,0),MATCH(E107,Input_Header,0)))</f>
        <v>2.23E-2</v>
      </c>
      <c r="F110" s="698">
        <f>IF(F107="",0,INDEX(Input_Range,MATCH((C7&amp;B110),Input_Call,0),MATCH(F107,Input_Header,0)))</f>
        <v>2.23E-2</v>
      </c>
      <c r="G110" s="698">
        <f>IF(G107="",0,INDEX(Input_Range,MATCH((C7&amp;B110),Input_Call,0),MATCH(G107,Input_Header,0)))</f>
        <v>2.23E-2</v>
      </c>
      <c r="H110" s="698">
        <f>IF(H107="",0,INDEX(Input_Range,MATCH((C7&amp;B110),Input_Call,0),MATCH(H107,Input_Header,0)))</f>
        <v>2.23E-2</v>
      </c>
      <c r="I110" s="698">
        <f>IF(I107="",0,INDEX(Input_Range,MATCH((C7&amp;B110),Input_Call,0),MATCH(I107,Input_Header,0)))</f>
        <v>2.23E-2</v>
      </c>
      <c r="J110" s="698">
        <f>IF(J107="",0,INDEX(Input_Range,MATCH((C7&amp;B110),Input_Call,0),MATCH(J107,Input_Header,0)))</f>
        <v>2.23E-2</v>
      </c>
      <c r="K110" s="698">
        <f>IF(K107="",0,INDEX(Input_Range,MATCH((C7&amp;B110),Input_Call,0),MATCH(K107,Input_Header,0)))</f>
        <v>2.23E-2</v>
      </c>
      <c r="L110" s="698">
        <f>IF(L107="",0,INDEX(Input_Range,MATCH((C7&amp;B110),Input_Call,0),MATCH(L107,Input_Header,0)))</f>
        <v>2.23E-2</v>
      </c>
      <c r="M110" s="698">
        <f>IF(M107="",0,INDEX(Input_Range,MATCH((C7&amp;B110),Input_Call,0),MATCH(M107,Input_Header,0)))</f>
        <v>2.23E-2</v>
      </c>
      <c r="N110" s="698">
        <f>IF(N107="",0,INDEX(Input_Range,MATCH((C7&amp;B110),Input_Call,0),MATCH(N107,Input_Header,0)))</f>
        <v>2.23E-2</v>
      </c>
      <c r="O110" s="698">
        <f>IF(O107="",0,INDEX(Input_Range,MATCH((C7&amp;B110),Input_Call,0),MATCH(O107,Input_Header,0)))</f>
        <v>2.23E-2</v>
      </c>
      <c r="P110" s="698">
        <f>IF(P107="",0,INDEX(Input_Range,MATCH((C7&amp;B110),Input_Call,0),MATCH(P107,Input_Header,0)))</f>
        <v>2.23E-2</v>
      </c>
      <c r="Q110" s="698">
        <f>IF(Q107="",0,INDEX(Input_Range,MATCH((C7&amp;B110),Input_Call,0),MATCH(Q107,Input_Header,0)))</f>
        <v>2.23E-2</v>
      </c>
      <c r="R110" s="698">
        <f t="shared" si="81"/>
        <v>2.23E-2</v>
      </c>
      <c r="T110" s="699">
        <f t="shared" si="82"/>
        <v>0</v>
      </c>
      <c r="U110" s="699">
        <f t="shared" si="82"/>
        <v>0</v>
      </c>
      <c r="V110" s="699">
        <f t="shared" si="82"/>
        <v>0</v>
      </c>
      <c r="W110" s="699">
        <f t="shared" si="82"/>
        <v>0</v>
      </c>
      <c r="X110" s="699">
        <f t="shared" si="82"/>
        <v>0</v>
      </c>
      <c r="Y110" s="699">
        <f t="shared" si="82"/>
        <v>0</v>
      </c>
      <c r="Z110" s="699">
        <f t="shared" si="82"/>
        <v>0</v>
      </c>
      <c r="AA110" s="699">
        <f t="shared" si="82"/>
        <v>0</v>
      </c>
      <c r="AB110" s="699">
        <f t="shared" si="82"/>
        <v>0</v>
      </c>
      <c r="AC110" s="699">
        <f t="shared" si="82"/>
        <v>0</v>
      </c>
      <c r="AD110" s="699">
        <f t="shared" si="82"/>
        <v>0</v>
      </c>
      <c r="AE110" s="699">
        <f t="shared" si="82"/>
        <v>0</v>
      </c>
      <c r="AF110" s="699">
        <f t="shared" si="82"/>
        <v>0</v>
      </c>
      <c r="AG110" s="699">
        <f t="shared" si="82"/>
        <v>0</v>
      </c>
      <c r="AI110" s="698" t="e">
        <f t="shared" si="78"/>
        <v>#DIV/0!</v>
      </c>
      <c r="AJ110" s="698"/>
      <c r="AK110" s="698"/>
      <c r="AL110" s="4" t="str">
        <f>$A110&amp;$C7&amp;InputSheet!C$43&amp;InputSheet!D$43</f>
        <v>Option Year 8ISOverheadGovt</v>
      </c>
      <c r="AM110" s="700" t="e">
        <f t="shared" si="79"/>
        <v>#DIV/0!</v>
      </c>
      <c r="AP110" s="387" t="e">
        <f t="shared" si="55"/>
        <v>#DIV/0!</v>
      </c>
    </row>
    <row r="111" spans="1:42">
      <c r="A111" s="6" t="str">
        <f t="shared" si="80"/>
        <v>Option Year 8</v>
      </c>
      <c r="B111" s="6" t="str">
        <f t="shared" si="76"/>
        <v>Material Handling</v>
      </c>
      <c r="E111" s="698">
        <f>IF(E107="",0,INDEX(Input_Range,MATCH((C7&amp;B111),Input_Call,0),MATCH(E107,Input_Header,0)))</f>
        <v>3.1699999999999999E-2</v>
      </c>
      <c r="F111" s="698">
        <f>IF(F107="",0,INDEX(Input_Range,MATCH((C7&amp;B111),Input_Call,0),MATCH(F107,Input_Header,0)))</f>
        <v>3.0700000000000002E-2</v>
      </c>
      <c r="G111" s="698">
        <f>IF(G107="",0,INDEX(Input_Range,MATCH((C7&amp;B111),Input_Call,0),MATCH(G107,Input_Header,0)))</f>
        <v>2.9700000000000001E-2</v>
      </c>
      <c r="H111" s="698">
        <f>IF(H107="",0,INDEX(Input_Range,MATCH((C7&amp;B111),Input_Call,0),MATCH(H107,Input_Header,0)))</f>
        <v>2.8799999999999999E-2</v>
      </c>
      <c r="I111" s="698">
        <f>IF(I107="",0,INDEX(Input_Range,MATCH((C7&amp;B111),Input_Call,0),MATCH(I107,Input_Header,0)))</f>
        <v>2.8000000000000001E-2</v>
      </c>
      <c r="J111" s="698">
        <f>IF(J107="",0,INDEX(Input_Range,MATCH((C7&amp;B111),Input_Call,0),MATCH(J107,Input_Header,0)))</f>
        <v>2.8000000000000001E-2</v>
      </c>
      <c r="K111" s="698">
        <f>IF(K107="",0,INDEX(Input_Range,MATCH((C7&amp;B111),Input_Call,0),MATCH(K107,Input_Header,0)))</f>
        <v>2.8000000000000001E-2</v>
      </c>
      <c r="L111" s="698">
        <f>IF(L107="",0,INDEX(Input_Range,MATCH((C7&amp;B111),Input_Call,0),MATCH(L107,Input_Header,0)))</f>
        <v>2.8000000000000001E-2</v>
      </c>
      <c r="M111" s="698">
        <f>IF(M107="",0,INDEX(Input_Range,MATCH((C7&amp;B111),Input_Call,0),MATCH(M107,Input_Header,0)))</f>
        <v>2.8000000000000001E-2</v>
      </c>
      <c r="N111" s="698">
        <f>IF(N107="",0,INDEX(Input_Range,MATCH((C7&amp;B111),Input_Call,0),MATCH(N107,Input_Header,0)))</f>
        <v>2.8000000000000001E-2</v>
      </c>
      <c r="O111" s="698">
        <f>IF(O107="",0,INDEX(Input_Range,MATCH((C7&amp;B111),Input_Call,0),MATCH(O107,Input_Header,0)))</f>
        <v>2.8000000000000001E-2</v>
      </c>
      <c r="P111" s="698">
        <f>IF(P107="",0,INDEX(Input_Range,MATCH((C7&amp;B111),Input_Call,0),MATCH(P107,Input_Header,0)))</f>
        <v>2.8000000000000001E-2</v>
      </c>
      <c r="Q111" s="698">
        <f>IF(Q107="",0,INDEX(Input_Range,MATCH((C7&amp;B111),Input_Call,0),MATCH(Q107,Input_Header,0)))</f>
        <v>2.8000000000000001E-2</v>
      </c>
      <c r="R111" s="698">
        <f t="shared" si="81"/>
        <v>2.8000000000000001E-2</v>
      </c>
      <c r="T111" s="699">
        <f t="shared" si="82"/>
        <v>0</v>
      </c>
      <c r="U111" s="699">
        <f t="shared" si="82"/>
        <v>0</v>
      </c>
      <c r="V111" s="699">
        <f t="shared" si="82"/>
        <v>0</v>
      </c>
      <c r="W111" s="699">
        <f t="shared" si="82"/>
        <v>0</v>
      </c>
      <c r="X111" s="699">
        <f t="shared" si="82"/>
        <v>0</v>
      </c>
      <c r="Y111" s="699">
        <f t="shared" si="82"/>
        <v>0</v>
      </c>
      <c r="Z111" s="699">
        <f t="shared" si="82"/>
        <v>0</v>
      </c>
      <c r="AA111" s="699">
        <f t="shared" si="82"/>
        <v>0</v>
      </c>
      <c r="AB111" s="699">
        <f t="shared" si="82"/>
        <v>0</v>
      </c>
      <c r="AC111" s="699">
        <f t="shared" si="82"/>
        <v>0</v>
      </c>
      <c r="AD111" s="699">
        <f t="shared" si="82"/>
        <v>0</v>
      </c>
      <c r="AE111" s="699">
        <f t="shared" si="82"/>
        <v>0</v>
      </c>
      <c r="AF111" s="699">
        <f t="shared" si="82"/>
        <v>0</v>
      </c>
      <c r="AG111" s="699">
        <f t="shared" si="82"/>
        <v>0</v>
      </c>
      <c r="AI111" s="698" t="e">
        <f t="shared" si="78"/>
        <v>#DIV/0!</v>
      </c>
      <c r="AJ111" s="698"/>
      <c r="AK111" s="698"/>
      <c r="AL111" s="4" t="str">
        <f>$A111&amp;$C7&amp;InputSheet!C$44&amp;InputSheet!D$44</f>
        <v>Option Year 8ISMHContr/Govt</v>
      </c>
      <c r="AM111" s="700" t="e">
        <f t="shared" si="79"/>
        <v>#DIV/0!</v>
      </c>
      <c r="AP111" s="387" t="e">
        <f t="shared" si="55"/>
        <v>#DIV/0!</v>
      </c>
    </row>
    <row r="112" spans="1:42">
      <c r="A112" s="6" t="str">
        <f t="shared" si="80"/>
        <v>Option Year 8</v>
      </c>
      <c r="B112" s="6" t="str">
        <f t="shared" si="76"/>
        <v>G&amp;A</v>
      </c>
      <c r="E112" s="698">
        <f>IF(E107="",0,INDEX(Input_Range,MATCH((C7&amp;B112),Input_Call,0),MATCH(E107,Input_Header,0)))</f>
        <v>9.7500000000000003E-2</v>
      </c>
      <c r="F112" s="698">
        <f>IF(F107="",0,INDEX(Input_Range,MATCH((C7&amp;B112),Input_Call,0),MATCH(F107,Input_Header,0)))</f>
        <v>9.4700000000000006E-2</v>
      </c>
      <c r="G112" s="698">
        <f>IF(G107="",0,INDEX(Input_Range,MATCH((C7&amp;B112),Input_Call,0),MATCH(G107,Input_Header,0)))</f>
        <v>9.1999999999999998E-2</v>
      </c>
      <c r="H112" s="698">
        <f>IF(H107="",0,INDEX(Input_Range,MATCH((C7&amp;B112),Input_Call,0),MATCH(H107,Input_Header,0)))</f>
        <v>8.9499999999999996E-2</v>
      </c>
      <c r="I112" s="698">
        <f>IF(I107="",0,INDEX(Input_Range,MATCH((C7&amp;B112),Input_Call,0),MATCH(I107,Input_Header,0)))</f>
        <v>8.7099999999999997E-2</v>
      </c>
      <c r="J112" s="698">
        <f>IF(J107="",0,INDEX(Input_Range,MATCH((C7&amp;B112),Input_Call,0),MATCH(J107,Input_Header,0)))</f>
        <v>8.7099999999999997E-2</v>
      </c>
      <c r="K112" s="698">
        <f>IF(K107="",0,INDEX(Input_Range,MATCH((C7&amp;B112),Input_Call,0),MATCH(K107,Input_Header,0)))</f>
        <v>8.7099999999999997E-2</v>
      </c>
      <c r="L112" s="698">
        <f>IF(L107="",0,INDEX(Input_Range,MATCH((C7&amp;B112),Input_Call,0),MATCH(L107,Input_Header,0)))</f>
        <v>8.7099999999999997E-2</v>
      </c>
      <c r="M112" s="698">
        <f>IF(M107="",0,INDEX(Input_Range,MATCH((C7&amp;B112),Input_Call,0),MATCH(M107,Input_Header,0)))</f>
        <v>8.7099999999999997E-2</v>
      </c>
      <c r="N112" s="698">
        <f>IF(N107="",0,INDEX(Input_Range,MATCH((C7&amp;B112),Input_Call,0),MATCH(N107,Input_Header,0)))</f>
        <v>8.7099999999999997E-2</v>
      </c>
      <c r="O112" s="698">
        <f>IF(O107="",0,INDEX(Input_Range,MATCH((C7&amp;B112),Input_Call,0),MATCH(O107,Input_Header,0)))</f>
        <v>8.7099999999999997E-2</v>
      </c>
      <c r="P112" s="698">
        <f>IF(P107="",0,INDEX(Input_Range,MATCH((C7&amp;B112),Input_Call,0),MATCH(P107,Input_Header,0)))</f>
        <v>8.7099999999999997E-2</v>
      </c>
      <c r="Q112" s="698">
        <f>IF(Q107="",0,INDEX(Input_Range,MATCH((C7&amp;B112),Input_Call,0),MATCH(Q107,Input_Header,0)))</f>
        <v>8.7099999999999997E-2</v>
      </c>
      <c r="R112" s="698">
        <f t="shared" si="81"/>
        <v>8.7099999999999997E-2</v>
      </c>
      <c r="T112" s="699">
        <f t="shared" si="82"/>
        <v>0</v>
      </c>
      <c r="U112" s="699">
        <f t="shared" si="82"/>
        <v>0</v>
      </c>
      <c r="V112" s="699">
        <f t="shared" si="82"/>
        <v>0</v>
      </c>
      <c r="W112" s="699">
        <f t="shared" si="82"/>
        <v>0</v>
      </c>
      <c r="X112" s="699">
        <f t="shared" si="82"/>
        <v>0</v>
      </c>
      <c r="Y112" s="699">
        <f t="shared" si="82"/>
        <v>0</v>
      </c>
      <c r="Z112" s="699">
        <f t="shared" si="82"/>
        <v>0</v>
      </c>
      <c r="AA112" s="699">
        <f t="shared" si="82"/>
        <v>0</v>
      </c>
      <c r="AB112" s="699">
        <f t="shared" si="82"/>
        <v>0</v>
      </c>
      <c r="AC112" s="699">
        <f t="shared" si="82"/>
        <v>0</v>
      </c>
      <c r="AD112" s="699">
        <f t="shared" si="82"/>
        <v>0</v>
      </c>
      <c r="AE112" s="699">
        <f t="shared" si="82"/>
        <v>0</v>
      </c>
      <c r="AF112" s="699">
        <f t="shared" si="82"/>
        <v>0</v>
      </c>
      <c r="AG112" s="699">
        <f t="shared" si="82"/>
        <v>0</v>
      </c>
      <c r="AI112" s="698" t="e">
        <f t="shared" si="78"/>
        <v>#DIV/0!</v>
      </c>
      <c r="AJ112" s="698"/>
      <c r="AK112" s="698"/>
      <c r="AL112" s="4" t="str">
        <f>$A112&amp;$C7&amp;InputSheet!C$45&amp;InputSheet!D$45</f>
        <v>Option Year 8ISG&amp;AContr/Govt</v>
      </c>
      <c r="AM112" s="700" t="e">
        <f t="shared" si="79"/>
        <v>#DIV/0!</v>
      </c>
      <c r="AP112" s="387" t="e">
        <f t="shared" si="55"/>
        <v>#DIV/0!</v>
      </c>
    </row>
    <row r="113" spans="1:42" outlineLevel="1">
      <c r="A113" s="6" t="str">
        <f t="shared" si="80"/>
        <v>Option Year 8</v>
      </c>
      <c r="B113" s="6" t="str">
        <f t="shared" si="76"/>
        <v>TBD1</v>
      </c>
      <c r="E113" s="21">
        <f>IF(E107="",0,INDEX(Input_Range,MATCH((C7&amp;B113),Input_Call,0),MATCH(E107,Input_Header,0)))</f>
        <v>0</v>
      </c>
      <c r="F113" s="21">
        <f>IF(F107="",0,INDEX(Input_Range,MATCH((C7&amp;B113),Input_Call,0),MATCH(F107,Input_Header,0)))</f>
        <v>0</v>
      </c>
      <c r="G113" s="21">
        <f>IF(G107="",0,INDEX(Input_Range,MATCH((C7&amp;B113),Input_Call,0),MATCH(G107,Input_Header,0)))</f>
        <v>0</v>
      </c>
      <c r="H113" s="21">
        <f>IF(H107="",0,INDEX(Input_Range,MATCH((C7&amp;B113),Input_Call,0),MATCH(H107,Input_Header,0)))</f>
        <v>0</v>
      </c>
      <c r="I113" s="21">
        <f>IF(I107="",0,INDEX(Input_Range,MATCH((C7&amp;B113),Input_Call,0),MATCH(I107,Input_Header,0)))</f>
        <v>0</v>
      </c>
      <c r="J113" s="21">
        <f>IF(J107="",0,INDEX(Input_Range,MATCH((C7&amp;B113),Input_Call,0),MATCH(J107,Input_Header,0)))</f>
        <v>0</v>
      </c>
      <c r="K113" s="21">
        <f>IF(K107="",0,INDEX(Input_Range,MATCH((C7&amp;B113),Input_Call,0),MATCH(K107,Input_Header,0)))</f>
        <v>0</v>
      </c>
      <c r="L113" s="21">
        <f>IF(L107="",0,INDEX(Input_Range,MATCH((C7&amp;B113),Input_Call,0),MATCH(L107,Input_Header,0)))</f>
        <v>0</v>
      </c>
      <c r="M113" s="21">
        <f>IF(M107="",0,INDEX(Input_Range,MATCH((C7&amp;B113),Input_Call,0),MATCH(M107,Input_Header,0)))</f>
        <v>0</v>
      </c>
      <c r="N113" s="21">
        <f>IF(N107="",0,INDEX(Input_Range,MATCH((C7&amp;B113),Input_Call,0),MATCH(N107,Input_Header,0)))</f>
        <v>0</v>
      </c>
      <c r="O113" s="21">
        <f>IF(O107="",0,INDEX(Input_Range,MATCH((C7&amp;B113),Input_Call,0),MATCH(O107,Input_Header,0)))</f>
        <v>0</v>
      </c>
      <c r="P113" s="21">
        <f>IF(P107="",0,INDEX(Input_Range,MATCH((C7&amp;B113),Input_Call,0),MATCH(P107,Input_Header,0)))</f>
        <v>0</v>
      </c>
      <c r="Q113" s="21">
        <f>IF(Q107="",0,INDEX(Input_Range,MATCH((C7&amp;B113),Input_Call,0),MATCH(Q107,Input_Header,0)))</f>
        <v>0</v>
      </c>
      <c r="R113" s="698">
        <f t="shared" si="81"/>
        <v>0</v>
      </c>
      <c r="T113" s="699">
        <f t="shared" si="82"/>
        <v>0</v>
      </c>
      <c r="U113" s="699">
        <f t="shared" si="82"/>
        <v>0</v>
      </c>
      <c r="V113" s="699">
        <f t="shared" si="82"/>
        <v>0</v>
      </c>
      <c r="W113" s="699">
        <f t="shared" si="82"/>
        <v>0</v>
      </c>
      <c r="X113" s="699">
        <f t="shared" si="82"/>
        <v>0</v>
      </c>
      <c r="Y113" s="699">
        <f t="shared" si="82"/>
        <v>0</v>
      </c>
      <c r="Z113" s="699">
        <f t="shared" si="82"/>
        <v>0</v>
      </c>
      <c r="AA113" s="699">
        <f t="shared" si="82"/>
        <v>0</v>
      </c>
      <c r="AB113" s="699">
        <f t="shared" si="82"/>
        <v>0</v>
      </c>
      <c r="AC113" s="699">
        <f t="shared" si="82"/>
        <v>0</v>
      </c>
      <c r="AD113" s="699">
        <f t="shared" si="82"/>
        <v>0</v>
      </c>
      <c r="AE113" s="699">
        <f t="shared" si="82"/>
        <v>0</v>
      </c>
      <c r="AF113" s="699">
        <f t="shared" si="82"/>
        <v>0</v>
      </c>
      <c r="AG113" s="699">
        <f t="shared" si="82"/>
        <v>0</v>
      </c>
      <c r="AI113" s="698" t="e">
        <f t="shared" si="78"/>
        <v>#DIV/0!</v>
      </c>
      <c r="AJ113" s="21"/>
      <c r="AK113" s="21"/>
      <c r="AL113" s="4" t="str">
        <f>$A113&amp;$C7&amp;InputSheet!C$46&amp;InputSheet!D$46</f>
        <v>Option Year 8ISTBD1Contr/Govt</v>
      </c>
      <c r="AM113" s="700" t="e">
        <f t="shared" si="79"/>
        <v>#DIV/0!</v>
      </c>
      <c r="AP113" s="387" t="e">
        <f t="shared" si="55"/>
        <v>#DIV/0!</v>
      </c>
    </row>
    <row r="114" spans="1:42" outlineLevel="1">
      <c r="A114" s="6" t="str">
        <f t="shared" si="80"/>
        <v>Option Year 8</v>
      </c>
      <c r="B114" s="6" t="str">
        <f t="shared" si="76"/>
        <v>TBD2</v>
      </c>
      <c r="E114" s="21">
        <f>IF(E107="",0,INDEX(Input_Range,MATCH((C7&amp;B114),Input_Call,0),MATCH(E107,Input_Header,0)))</f>
        <v>0</v>
      </c>
      <c r="F114" s="21">
        <f>IF(F107="",0,INDEX(Input_Range,MATCH((C7&amp;B114),Input_Call,0),MATCH(F107,Input_Header,0)))</f>
        <v>0</v>
      </c>
      <c r="G114" s="21">
        <f>IF(G107="",0,INDEX(Input_Range,MATCH((C7&amp;B114),Input_Call,0),MATCH(G107,Input_Header,0)))</f>
        <v>0</v>
      </c>
      <c r="H114" s="21">
        <f>IF(H107="",0,INDEX(Input_Range,MATCH((C7&amp;B114),Input_Call,0),MATCH(H107,Input_Header,0)))</f>
        <v>0</v>
      </c>
      <c r="I114" s="21">
        <f>IF(I107="",0,INDEX(Input_Range,MATCH((C7&amp;B114),Input_Call,0),MATCH(I107,Input_Header,0)))</f>
        <v>0</v>
      </c>
      <c r="J114" s="21">
        <f>IF(J107="",0,INDEX(Input_Range,MATCH((C7&amp;B114),Input_Call,0),MATCH(J107,Input_Header,0)))</f>
        <v>0</v>
      </c>
      <c r="K114" s="21">
        <f>IF(K107="",0,INDEX(Input_Range,MATCH((C7&amp;B114),Input_Call,0),MATCH(K107,Input_Header,0)))</f>
        <v>0</v>
      </c>
      <c r="L114" s="21">
        <f>IF(L107="",0,INDEX(Input_Range,MATCH((C7&amp;B114),Input_Call,0),MATCH(L107,Input_Header,0)))</f>
        <v>0</v>
      </c>
      <c r="M114" s="21">
        <f>IF(M107="",0,INDEX(Input_Range,MATCH((C7&amp;B114),Input_Call,0),MATCH(M107,Input_Header,0)))</f>
        <v>0</v>
      </c>
      <c r="N114" s="21">
        <f>IF(N107="",0,INDEX(Input_Range,MATCH((C7&amp;B114),Input_Call,0),MATCH(N107,Input_Header,0)))</f>
        <v>0</v>
      </c>
      <c r="O114" s="21">
        <f>IF(O107="",0,INDEX(Input_Range,MATCH((C7&amp;B114),Input_Call,0),MATCH(O107,Input_Header,0)))</f>
        <v>0</v>
      </c>
      <c r="P114" s="21">
        <f>IF(P107="",0,INDEX(Input_Range,MATCH((C7&amp;B114),Input_Call,0),MATCH(P107,Input_Header,0)))</f>
        <v>0</v>
      </c>
      <c r="Q114" s="21">
        <f>IF(Q107="",0,INDEX(Input_Range,MATCH((C7&amp;B114),Input_Call,0),MATCH(Q107,Input_Header,0)))</f>
        <v>0</v>
      </c>
      <c r="R114" s="698">
        <f t="shared" si="81"/>
        <v>0</v>
      </c>
      <c r="T114" s="699">
        <f t="shared" si="82"/>
        <v>0</v>
      </c>
      <c r="U114" s="699">
        <f t="shared" si="82"/>
        <v>0</v>
      </c>
      <c r="V114" s="699">
        <f t="shared" si="82"/>
        <v>0</v>
      </c>
      <c r="W114" s="699">
        <f t="shared" si="82"/>
        <v>0</v>
      </c>
      <c r="X114" s="699">
        <f t="shared" si="82"/>
        <v>0</v>
      </c>
      <c r="Y114" s="699">
        <f t="shared" si="82"/>
        <v>0</v>
      </c>
      <c r="Z114" s="699">
        <f t="shared" si="82"/>
        <v>0</v>
      </c>
      <c r="AA114" s="699">
        <f t="shared" si="82"/>
        <v>0</v>
      </c>
      <c r="AB114" s="699">
        <f t="shared" si="82"/>
        <v>0</v>
      </c>
      <c r="AC114" s="699">
        <f t="shared" si="82"/>
        <v>0</v>
      </c>
      <c r="AD114" s="699">
        <f t="shared" si="82"/>
        <v>0</v>
      </c>
      <c r="AE114" s="699">
        <f t="shared" si="82"/>
        <v>0</v>
      </c>
      <c r="AF114" s="699">
        <f t="shared" si="82"/>
        <v>0</v>
      </c>
      <c r="AG114" s="699">
        <f t="shared" si="82"/>
        <v>0</v>
      </c>
      <c r="AI114" s="698" t="e">
        <f t="shared" si="78"/>
        <v>#DIV/0!</v>
      </c>
      <c r="AJ114" s="21"/>
      <c r="AK114" s="21"/>
      <c r="AL114" s="4" t="str">
        <f>$A114&amp;$C7&amp;InputSheet!C$47&amp;InputSheet!D$47</f>
        <v>Option Year 8ISTBD2Contr/Govt</v>
      </c>
      <c r="AM114" s="700" t="e">
        <f t="shared" si="79"/>
        <v>#DIV/0!</v>
      </c>
      <c r="AP114" s="387" t="e">
        <f t="shared" si="55"/>
        <v>#DIV/0!</v>
      </c>
    </row>
    <row r="115" spans="1:42" outlineLevel="1">
      <c r="A115" s="6" t="str">
        <f t="shared" si="80"/>
        <v>Option Year 8</v>
      </c>
      <c r="B115" s="6" t="str">
        <f t="shared" si="76"/>
        <v>TBD3</v>
      </c>
      <c r="E115" s="21">
        <f>IF(E107="",0,INDEX(Input_Range,MATCH((C7&amp;B115),Input_Call,0),MATCH(E107,Input_Header,0)))</f>
        <v>0</v>
      </c>
      <c r="F115" s="21">
        <f>IF(F107="",0,INDEX(Input_Range,MATCH((C7&amp;B115),Input_Call,0),MATCH(F107,Input_Header,0)))</f>
        <v>0</v>
      </c>
      <c r="G115" s="21">
        <f>IF(G107="",0,INDEX(Input_Range,MATCH((C7&amp;B115),Input_Call,0),MATCH(G107,Input_Header,0)))</f>
        <v>0</v>
      </c>
      <c r="H115" s="21">
        <f>IF(H107="",0,INDEX(Input_Range,MATCH((C7&amp;B115),Input_Call,0),MATCH(H107,Input_Header,0)))</f>
        <v>0</v>
      </c>
      <c r="I115" s="21">
        <f>IF(I107="",0,INDEX(Input_Range,MATCH((C7&amp;B115),Input_Call,0),MATCH(I107,Input_Header,0)))</f>
        <v>0</v>
      </c>
      <c r="J115" s="21">
        <f>IF(J107="",0,INDEX(Input_Range,MATCH((C7&amp;B115),Input_Call,0),MATCH(J107,Input_Header,0)))</f>
        <v>0</v>
      </c>
      <c r="K115" s="21">
        <f>IF(K107="",0,INDEX(Input_Range,MATCH((C7&amp;B115),Input_Call,0),MATCH(K107,Input_Header,0)))</f>
        <v>0</v>
      </c>
      <c r="L115" s="21">
        <f>IF(L107="",0,INDEX(Input_Range,MATCH((C7&amp;B115),Input_Call,0),MATCH(L107,Input_Header,0)))</f>
        <v>0</v>
      </c>
      <c r="M115" s="21">
        <f>IF(M107="",0,INDEX(Input_Range,MATCH((C7&amp;B115),Input_Call,0),MATCH(M107,Input_Header,0)))</f>
        <v>0</v>
      </c>
      <c r="N115" s="21">
        <f>IF(N107="",0,INDEX(Input_Range,MATCH((C7&amp;B115),Input_Call,0),MATCH(N107,Input_Header,0)))</f>
        <v>0</v>
      </c>
      <c r="O115" s="21">
        <f>IF(O107="",0,INDEX(Input_Range,MATCH((C7&amp;B115),Input_Call,0),MATCH(O107,Input_Header,0)))</f>
        <v>0</v>
      </c>
      <c r="P115" s="21">
        <f>IF(P107="",0,INDEX(Input_Range,MATCH((C7&amp;B115),Input_Call,0),MATCH(P107,Input_Header,0)))</f>
        <v>0</v>
      </c>
      <c r="Q115" s="21">
        <f>IF(Q107="",0,INDEX(Input_Range,MATCH((C7&amp;B115),Input_Call,0),MATCH(Q107,Input_Header,0)))</f>
        <v>0</v>
      </c>
      <c r="R115" s="698">
        <f t="shared" si="81"/>
        <v>0</v>
      </c>
      <c r="T115" s="699">
        <f t="shared" si="82"/>
        <v>0</v>
      </c>
      <c r="U115" s="699">
        <f t="shared" si="82"/>
        <v>0</v>
      </c>
      <c r="V115" s="699">
        <f t="shared" si="82"/>
        <v>0</v>
      </c>
      <c r="W115" s="699">
        <f t="shared" si="82"/>
        <v>0</v>
      </c>
      <c r="X115" s="699">
        <f t="shared" si="82"/>
        <v>0</v>
      </c>
      <c r="Y115" s="699">
        <f t="shared" si="82"/>
        <v>0</v>
      </c>
      <c r="Z115" s="699">
        <f t="shared" si="82"/>
        <v>0</v>
      </c>
      <c r="AA115" s="699">
        <f t="shared" si="82"/>
        <v>0</v>
      </c>
      <c r="AB115" s="699">
        <f t="shared" si="82"/>
        <v>0</v>
      </c>
      <c r="AC115" s="699">
        <f t="shared" si="82"/>
        <v>0</v>
      </c>
      <c r="AD115" s="699">
        <f t="shared" si="82"/>
        <v>0</v>
      </c>
      <c r="AE115" s="699">
        <f t="shared" si="82"/>
        <v>0</v>
      </c>
      <c r="AF115" s="699">
        <f t="shared" si="82"/>
        <v>0</v>
      </c>
      <c r="AG115" s="699">
        <f t="shared" si="82"/>
        <v>0</v>
      </c>
      <c r="AI115" s="698" t="e">
        <f t="shared" si="78"/>
        <v>#DIV/0!</v>
      </c>
      <c r="AJ115" s="21"/>
      <c r="AK115" s="21"/>
      <c r="AL115" s="4" t="str">
        <f>$A115&amp;$C7&amp;InputSheet!C$48&amp;InputSheet!D$48</f>
        <v>Option Year 8ISTBD3Contr/Govt</v>
      </c>
      <c r="AM115" s="700" t="e">
        <f t="shared" si="79"/>
        <v>#DIV/0!</v>
      </c>
      <c r="AP115" s="387" t="e">
        <f t="shared" si="55"/>
        <v>#DIV/0!</v>
      </c>
    </row>
    <row r="116" spans="1:42">
      <c r="E116" s="698"/>
      <c r="F116" s="698"/>
      <c r="G116" s="698"/>
      <c r="H116" s="698"/>
      <c r="I116" s="698"/>
      <c r="J116" s="698"/>
      <c r="K116" s="698"/>
      <c r="L116" s="698"/>
      <c r="M116" s="698"/>
      <c r="N116" s="698"/>
      <c r="O116" s="698"/>
      <c r="P116" s="698"/>
      <c r="Q116" s="698"/>
      <c r="R116" s="698"/>
      <c r="AI116" s="21"/>
      <c r="AJ116" s="21"/>
      <c r="AK116" s="21"/>
      <c r="AP116" s="387" t="str">
        <f t="shared" si="55"/>
        <v>1</v>
      </c>
    </row>
    <row r="117" spans="1:42">
      <c r="A117" s="530" t="str">
        <f>B117</f>
        <v>Option Year 9</v>
      </c>
      <c r="B117" s="691" t="str">
        <f>InputSheet!$C$31</f>
        <v>Option Year 9</v>
      </c>
      <c r="AP117" s="387" t="str">
        <f t="shared" si="55"/>
        <v>1</v>
      </c>
    </row>
    <row r="118" spans="1:42">
      <c r="B118" s="314" t="s">
        <v>587</v>
      </c>
      <c r="C118" s="692" t="s">
        <v>588</v>
      </c>
      <c r="E118" s="1216" t="str">
        <f>"Indirect Rates - "&amp;C$7</f>
        <v>Indirect Rates - IS</v>
      </c>
      <c r="F118" s="1216"/>
      <c r="G118" s="1216"/>
      <c r="H118" s="1216"/>
      <c r="I118" s="1216"/>
      <c r="J118" s="1216"/>
      <c r="K118" s="1216"/>
      <c r="L118" s="1216"/>
      <c r="M118" s="1216"/>
      <c r="N118" s="1216"/>
      <c r="O118" s="1216"/>
      <c r="P118" s="1216"/>
      <c r="Q118" s="1216"/>
      <c r="R118" s="1216"/>
      <c r="S118" s="844"/>
      <c r="T118" s="1217" t="s">
        <v>794</v>
      </c>
      <c r="U118" s="1217"/>
      <c r="V118" s="1217"/>
      <c r="W118" s="1217"/>
      <c r="X118" s="1217"/>
      <c r="Y118" s="1217"/>
      <c r="Z118" s="1217"/>
      <c r="AA118" s="1217"/>
      <c r="AB118" s="1217"/>
      <c r="AC118" s="1217"/>
      <c r="AD118" s="1217"/>
      <c r="AE118" s="1217"/>
      <c r="AF118" s="1217"/>
      <c r="AG118" s="1217"/>
      <c r="AI118" s="692" t="s">
        <v>615</v>
      </c>
      <c r="AJ118" s="50"/>
      <c r="AK118" s="50"/>
      <c r="AP118" s="387" t="str">
        <f t="shared" si="55"/>
        <v>1</v>
      </c>
    </row>
    <row r="119" spans="1:42">
      <c r="B119" s="693">
        <f>VLOOKUP(A117,InputSheet!$C$8:$E$37,2,FALSE)</f>
        <v>1462</v>
      </c>
      <c r="C119" s="694">
        <f>VLOOKUP(A117,InputSheet!$C$8:$E$37,3,FALSE)</f>
        <v>1826</v>
      </c>
      <c r="E119" s="695">
        <f t="shared" ref="E119:R119" si="83">E107</f>
        <v>2009</v>
      </c>
      <c r="F119" s="695">
        <f t="shared" si="83"/>
        <v>2010</v>
      </c>
      <c r="G119" s="695">
        <f t="shared" si="83"/>
        <v>2011</v>
      </c>
      <c r="H119" s="695">
        <f t="shared" si="83"/>
        <v>2012</v>
      </c>
      <c r="I119" s="695">
        <f t="shared" si="83"/>
        <v>2013</v>
      </c>
      <c r="J119" s="695">
        <f t="shared" si="83"/>
        <v>2014</v>
      </c>
      <c r="K119" s="695">
        <f t="shared" si="83"/>
        <v>2015</v>
      </c>
      <c r="L119" s="695">
        <f t="shared" si="83"/>
        <v>2016</v>
      </c>
      <c r="M119" s="695">
        <f t="shared" si="83"/>
        <v>2017</v>
      </c>
      <c r="N119" s="695">
        <f t="shared" si="83"/>
        <v>2018</v>
      </c>
      <c r="O119" s="695">
        <f t="shared" si="83"/>
        <v>2019</v>
      </c>
      <c r="P119" s="695">
        <f t="shared" si="83"/>
        <v>2020</v>
      </c>
      <c r="Q119" s="695">
        <f t="shared" si="83"/>
        <v>2021</v>
      </c>
      <c r="R119" s="695">
        <f t="shared" si="83"/>
        <v>2022</v>
      </c>
      <c r="S119" s="680"/>
      <c r="T119" s="695">
        <f t="shared" ref="T119:AG119" si="84">T107</f>
        <v>2009</v>
      </c>
      <c r="U119" s="695">
        <f t="shared" si="84"/>
        <v>2010</v>
      </c>
      <c r="V119" s="695">
        <f t="shared" si="84"/>
        <v>2011</v>
      </c>
      <c r="W119" s="695">
        <f t="shared" si="84"/>
        <v>2012</v>
      </c>
      <c r="X119" s="695">
        <f t="shared" si="84"/>
        <v>2013</v>
      </c>
      <c r="Y119" s="695">
        <f t="shared" si="84"/>
        <v>2014</v>
      </c>
      <c r="Z119" s="695">
        <f t="shared" si="84"/>
        <v>2015</v>
      </c>
      <c r="AA119" s="695">
        <f t="shared" si="84"/>
        <v>2016</v>
      </c>
      <c r="AB119" s="695">
        <f t="shared" si="84"/>
        <v>2017</v>
      </c>
      <c r="AC119" s="695">
        <f t="shared" si="84"/>
        <v>2018</v>
      </c>
      <c r="AD119" s="695">
        <f t="shared" si="84"/>
        <v>2019</v>
      </c>
      <c r="AE119" s="695">
        <f t="shared" si="84"/>
        <v>2020</v>
      </c>
      <c r="AF119" s="695">
        <f t="shared" si="84"/>
        <v>2021</v>
      </c>
      <c r="AG119" s="695">
        <f t="shared" si="84"/>
        <v>2022</v>
      </c>
      <c r="AI119" s="696" t="str">
        <f>B117</f>
        <v>Option Year 9</v>
      </c>
      <c r="AJ119" s="28"/>
      <c r="AK119" s="28"/>
      <c r="AP119" s="387" t="str">
        <f t="shared" si="55"/>
        <v>1</v>
      </c>
    </row>
    <row r="120" spans="1:42">
      <c r="A120" s="6" t="str">
        <f>A117</f>
        <v>Option Year 9</v>
      </c>
      <c r="B120" s="6" t="str">
        <f t="shared" ref="B120:B127" si="85">B108</f>
        <v>PRB</v>
      </c>
      <c r="E120" s="698">
        <f>IF(E119="",0,INDEX(Input_Range,MATCH((C7&amp;B120),Input_Call,0),MATCH(E119,Input_Header,0)))</f>
        <v>0.31240000000000001</v>
      </c>
      <c r="F120" s="698">
        <f>IF(F119="",0,INDEX(Input_Range,MATCH((C7&amp;B120),Input_Call,0),MATCH(F119,Input_Header,0)))</f>
        <v>0.31240000000000001</v>
      </c>
      <c r="G120" s="698">
        <f>IF(G119="",0,INDEX(Input_Range,MATCH((C7&amp;B120),Input_Call,0),MATCH(G119,Input_Header,0)))</f>
        <v>0.31240000000000001</v>
      </c>
      <c r="H120" s="698">
        <f>IF(H119="",0,INDEX(Input_Range,MATCH((C7&amp;B120),Input_Call,0),MATCH(H119,Input_Header,0)))</f>
        <v>0.31240000000000001</v>
      </c>
      <c r="I120" s="698">
        <f>IF(I119="",0,INDEX(Input_Range,MATCH((C7&amp;B120),Input_Call,0),MATCH(I119,Input_Header,0)))</f>
        <v>0.31240000000000001</v>
      </c>
      <c r="J120" s="698">
        <f>IF(J119="",0,INDEX(Input_Range,MATCH((C7&amp;B120),Input_Call,0),MATCH(J119,Input_Header,0)))</f>
        <v>0.31240000000000001</v>
      </c>
      <c r="K120" s="698">
        <f>IF(K119="",0,INDEX(Input_Range,MATCH((C7&amp;B120),Input_Call,0),MATCH(K119,Input_Header,0)))</f>
        <v>0.31240000000000001</v>
      </c>
      <c r="L120" s="698">
        <f>IF(L119="",0,INDEX(Input_Range,MATCH((C7&amp;B120),Input_Call,0),MATCH(L119,Input_Header,0)))</f>
        <v>0.31240000000000001</v>
      </c>
      <c r="M120" s="698">
        <f>IF(M119="",0,INDEX(Input_Range,MATCH((C7&amp;B120),Input_Call,0),MATCH(M119,Input_Header,0)))</f>
        <v>0.31240000000000001</v>
      </c>
      <c r="N120" s="698">
        <f>IF(N119="",0,INDEX(Input_Range,MATCH((C7&amp;B120),Input_Call,0),MATCH(N119,Input_Header,0)))</f>
        <v>0.31240000000000001</v>
      </c>
      <c r="O120" s="698">
        <f>IF(O119="",0,INDEX(Input_Range,MATCH((C7&amp;B120),Input_Call,0),MATCH(O119,Input_Header,0)))</f>
        <v>0.31240000000000001</v>
      </c>
      <c r="P120" s="698">
        <f>IF(P119="",0,INDEX(Input_Range,MATCH((C7&amp;B120),Input_Call,0),MATCH(P119,Input_Header,0)))</f>
        <v>0.31240000000000001</v>
      </c>
      <c r="Q120" s="698">
        <f>IF(Q119="",0,INDEX(Input_Range,MATCH((C7&amp;B120),Input_Call,0),MATCH(Q119,Input_Header,0)))</f>
        <v>0.31240000000000001</v>
      </c>
      <c r="R120" s="698">
        <f>Q120</f>
        <v>0.31240000000000001</v>
      </c>
      <c r="T120" s="699">
        <f t="shared" ref="T120:AG120" si="86">ROUND((MAX(0,(MIN($C119,DATE(T119,12,31))-MAX($B119,DATE(T119,1,1))+1)))/30.41667,0)</f>
        <v>0</v>
      </c>
      <c r="U120" s="699">
        <f t="shared" si="86"/>
        <v>0</v>
      </c>
      <c r="V120" s="699">
        <f t="shared" si="86"/>
        <v>0</v>
      </c>
      <c r="W120" s="699">
        <f t="shared" si="86"/>
        <v>0</v>
      </c>
      <c r="X120" s="699">
        <f t="shared" si="86"/>
        <v>0</v>
      </c>
      <c r="Y120" s="699">
        <f t="shared" si="86"/>
        <v>0</v>
      </c>
      <c r="Z120" s="699">
        <f t="shared" si="86"/>
        <v>0</v>
      </c>
      <c r="AA120" s="699">
        <f t="shared" si="86"/>
        <v>0</v>
      </c>
      <c r="AB120" s="699">
        <f t="shared" si="86"/>
        <v>0</v>
      </c>
      <c r="AC120" s="699">
        <f t="shared" si="86"/>
        <v>0</v>
      </c>
      <c r="AD120" s="699">
        <f t="shared" si="86"/>
        <v>0</v>
      </c>
      <c r="AE120" s="699">
        <f t="shared" si="86"/>
        <v>0</v>
      </c>
      <c r="AF120" s="699">
        <f t="shared" si="86"/>
        <v>0</v>
      </c>
      <c r="AG120" s="699">
        <f t="shared" si="86"/>
        <v>0</v>
      </c>
      <c r="AI120" s="698" t="e">
        <f t="shared" ref="AI120:AI127" si="87">ROUND(SUMPRODUCT(E120:R120,T120:AG120)/SUM(T120:AG120),4)</f>
        <v>#DIV/0!</v>
      </c>
      <c r="AJ120" s="698"/>
      <c r="AK120" s="698"/>
      <c r="AL120" s="4" t="str">
        <f>$A120&amp;$C7&amp;InputSheet!C$41&amp;InputSheet!D$41</f>
        <v>Option Year 9ISPRBContr/Govt</v>
      </c>
      <c r="AM120" s="700" t="e">
        <f t="shared" ref="AM120:AM127" si="88">AI120</f>
        <v>#DIV/0!</v>
      </c>
      <c r="AP120" s="387" t="e">
        <f t="shared" si="55"/>
        <v>#DIV/0!</v>
      </c>
    </row>
    <row r="121" spans="1:42">
      <c r="A121" s="6" t="str">
        <f t="shared" ref="A121:A127" si="89">A120</f>
        <v>Option Year 9</v>
      </c>
      <c r="B121" s="6" t="str">
        <f t="shared" si="85"/>
        <v>Overhead - Offsite</v>
      </c>
      <c r="E121" s="698">
        <f>IF(E119="",0,INDEX(Input_Range,MATCH((C7&amp;B121),Input_Call,0),MATCH(E119,Input_Header,0)))</f>
        <v>0.1988</v>
      </c>
      <c r="F121" s="698">
        <f>IF(F119="",0,INDEX(Input_Range,MATCH((C7&amp;B121),Input_Call,0),MATCH(F119,Input_Header,0)))</f>
        <v>0.1988</v>
      </c>
      <c r="G121" s="698">
        <f>IF(G119="",0,INDEX(Input_Range,MATCH((C7&amp;B121),Input_Call,0),MATCH(G119,Input_Header,0)))</f>
        <v>0.1988</v>
      </c>
      <c r="H121" s="698">
        <f>IF(H119="",0,INDEX(Input_Range,MATCH((C7&amp;B121),Input_Call,0),MATCH(H119,Input_Header,0)))</f>
        <v>0.1988</v>
      </c>
      <c r="I121" s="698">
        <f>IF(I119="",0,INDEX(Input_Range,MATCH((C7&amp;B121),Input_Call,0),MATCH(I119,Input_Header,0)))</f>
        <v>0.1988</v>
      </c>
      <c r="J121" s="698">
        <f>IF(J119="",0,INDEX(Input_Range,MATCH((C7&amp;B121),Input_Call,0),MATCH(J119,Input_Header,0)))</f>
        <v>0.1988</v>
      </c>
      <c r="K121" s="698">
        <f>IF(K119="",0,INDEX(Input_Range,MATCH((C7&amp;B121),Input_Call,0),MATCH(K119,Input_Header,0)))</f>
        <v>0.1988</v>
      </c>
      <c r="L121" s="698">
        <f>IF(L119="",0,INDEX(Input_Range,MATCH((C7&amp;B121),Input_Call,0),MATCH(L119,Input_Header,0)))</f>
        <v>0.1988</v>
      </c>
      <c r="M121" s="698">
        <f>IF(M119="",0,INDEX(Input_Range,MATCH((C7&amp;B121),Input_Call,0),MATCH(M119,Input_Header,0)))</f>
        <v>0.1988</v>
      </c>
      <c r="N121" s="698">
        <f>IF(N119="",0,INDEX(Input_Range,MATCH((C7&amp;B121),Input_Call,0),MATCH(N119,Input_Header,0)))</f>
        <v>0.1988</v>
      </c>
      <c r="O121" s="698">
        <f>IF(O119="",0,INDEX(Input_Range,MATCH((C7&amp;B121),Input_Call,0),MATCH(O119,Input_Header,0)))</f>
        <v>0.1988</v>
      </c>
      <c r="P121" s="698">
        <f>IF(P119="",0,INDEX(Input_Range,MATCH((C7&amp;B121),Input_Call,0),MATCH(P119,Input_Header,0)))</f>
        <v>0.1988</v>
      </c>
      <c r="Q121" s="698">
        <f>IF(Q119="",0,INDEX(Input_Range,MATCH((C7&amp;B121),Input_Call,0),MATCH(Q119,Input_Header,0)))</f>
        <v>0.1988</v>
      </c>
      <c r="R121" s="698">
        <f t="shared" ref="R121:R127" si="90">Q121</f>
        <v>0.1988</v>
      </c>
      <c r="T121" s="699">
        <f t="shared" ref="T121:AG127" si="91">T120</f>
        <v>0</v>
      </c>
      <c r="U121" s="699">
        <f t="shared" si="91"/>
        <v>0</v>
      </c>
      <c r="V121" s="699">
        <f t="shared" si="91"/>
        <v>0</v>
      </c>
      <c r="W121" s="699">
        <f t="shared" si="91"/>
        <v>0</v>
      </c>
      <c r="X121" s="699">
        <f t="shared" si="91"/>
        <v>0</v>
      </c>
      <c r="Y121" s="699">
        <f t="shared" si="91"/>
        <v>0</v>
      </c>
      <c r="Z121" s="699">
        <f t="shared" si="91"/>
        <v>0</v>
      </c>
      <c r="AA121" s="699">
        <f t="shared" si="91"/>
        <v>0</v>
      </c>
      <c r="AB121" s="699">
        <f t="shared" si="91"/>
        <v>0</v>
      </c>
      <c r="AC121" s="699">
        <f t="shared" si="91"/>
        <v>0</v>
      </c>
      <c r="AD121" s="699">
        <f t="shared" si="91"/>
        <v>0</v>
      </c>
      <c r="AE121" s="699">
        <f t="shared" si="91"/>
        <v>0</v>
      </c>
      <c r="AF121" s="699">
        <f t="shared" si="91"/>
        <v>0</v>
      </c>
      <c r="AG121" s="699">
        <f t="shared" si="91"/>
        <v>0</v>
      </c>
      <c r="AI121" s="698" t="e">
        <f t="shared" si="87"/>
        <v>#DIV/0!</v>
      </c>
      <c r="AJ121" s="698"/>
      <c r="AK121" s="698"/>
      <c r="AL121" s="4" t="str">
        <f>$A121&amp;$C7&amp;InputSheet!C$42&amp;InputSheet!D$42</f>
        <v>Option Year 9ISOverheadContr</v>
      </c>
      <c r="AM121" s="700" t="e">
        <f t="shared" si="88"/>
        <v>#DIV/0!</v>
      </c>
      <c r="AP121" s="387" t="e">
        <f t="shared" si="55"/>
        <v>#DIV/0!</v>
      </c>
    </row>
    <row r="122" spans="1:42">
      <c r="A122" s="6" t="str">
        <f t="shared" si="89"/>
        <v>Option Year 9</v>
      </c>
      <c r="B122" s="6" t="str">
        <f t="shared" si="85"/>
        <v>Overhead - Onsite</v>
      </c>
      <c r="E122" s="698">
        <f>IF(E119="",0,INDEX(Input_Range,MATCH((C7&amp;B122),Input_Call,0),MATCH(E119,Input_Header,0)))</f>
        <v>2.23E-2</v>
      </c>
      <c r="F122" s="698">
        <f>IF(F119="",0,INDEX(Input_Range,MATCH((C7&amp;B122),Input_Call,0),MATCH(F119,Input_Header,0)))</f>
        <v>2.23E-2</v>
      </c>
      <c r="G122" s="698">
        <f>IF(G119="",0,INDEX(Input_Range,MATCH((C7&amp;B122),Input_Call,0),MATCH(G119,Input_Header,0)))</f>
        <v>2.23E-2</v>
      </c>
      <c r="H122" s="698">
        <f>IF(H119="",0,INDEX(Input_Range,MATCH((C7&amp;B122),Input_Call,0),MATCH(H119,Input_Header,0)))</f>
        <v>2.23E-2</v>
      </c>
      <c r="I122" s="698">
        <f>IF(I119="",0,INDEX(Input_Range,MATCH((C7&amp;B122),Input_Call,0),MATCH(I119,Input_Header,0)))</f>
        <v>2.23E-2</v>
      </c>
      <c r="J122" s="698">
        <f>IF(J119="",0,INDEX(Input_Range,MATCH((C7&amp;B122),Input_Call,0),MATCH(J119,Input_Header,0)))</f>
        <v>2.23E-2</v>
      </c>
      <c r="K122" s="698">
        <f>IF(K119="",0,INDEX(Input_Range,MATCH((C7&amp;B122),Input_Call,0),MATCH(K119,Input_Header,0)))</f>
        <v>2.23E-2</v>
      </c>
      <c r="L122" s="698">
        <f>IF(L119="",0,INDEX(Input_Range,MATCH((C7&amp;B122),Input_Call,0),MATCH(L119,Input_Header,0)))</f>
        <v>2.23E-2</v>
      </c>
      <c r="M122" s="698">
        <f>IF(M119="",0,INDEX(Input_Range,MATCH((C7&amp;B122),Input_Call,0),MATCH(M119,Input_Header,0)))</f>
        <v>2.23E-2</v>
      </c>
      <c r="N122" s="698">
        <f>IF(N119="",0,INDEX(Input_Range,MATCH((C7&amp;B122),Input_Call,0),MATCH(N119,Input_Header,0)))</f>
        <v>2.23E-2</v>
      </c>
      <c r="O122" s="698">
        <f>IF(O119="",0,INDEX(Input_Range,MATCH((C7&amp;B122),Input_Call,0),MATCH(O119,Input_Header,0)))</f>
        <v>2.23E-2</v>
      </c>
      <c r="P122" s="698">
        <f>IF(P119="",0,INDEX(Input_Range,MATCH((C7&amp;B122),Input_Call,0),MATCH(P119,Input_Header,0)))</f>
        <v>2.23E-2</v>
      </c>
      <c r="Q122" s="698">
        <f>IF(Q119="",0,INDEX(Input_Range,MATCH((C7&amp;B122),Input_Call,0),MATCH(Q119,Input_Header,0)))</f>
        <v>2.23E-2</v>
      </c>
      <c r="R122" s="698">
        <f t="shared" si="90"/>
        <v>2.23E-2</v>
      </c>
      <c r="T122" s="699">
        <f t="shared" si="91"/>
        <v>0</v>
      </c>
      <c r="U122" s="699">
        <f t="shared" si="91"/>
        <v>0</v>
      </c>
      <c r="V122" s="699">
        <f t="shared" si="91"/>
        <v>0</v>
      </c>
      <c r="W122" s="699">
        <f t="shared" si="91"/>
        <v>0</v>
      </c>
      <c r="X122" s="699">
        <f t="shared" si="91"/>
        <v>0</v>
      </c>
      <c r="Y122" s="699">
        <f t="shared" si="91"/>
        <v>0</v>
      </c>
      <c r="Z122" s="699">
        <f t="shared" si="91"/>
        <v>0</v>
      </c>
      <c r="AA122" s="699">
        <f t="shared" si="91"/>
        <v>0</v>
      </c>
      <c r="AB122" s="699">
        <f t="shared" si="91"/>
        <v>0</v>
      </c>
      <c r="AC122" s="699">
        <f t="shared" si="91"/>
        <v>0</v>
      </c>
      <c r="AD122" s="699">
        <f t="shared" si="91"/>
        <v>0</v>
      </c>
      <c r="AE122" s="699">
        <f t="shared" si="91"/>
        <v>0</v>
      </c>
      <c r="AF122" s="699">
        <f t="shared" si="91"/>
        <v>0</v>
      </c>
      <c r="AG122" s="699">
        <f t="shared" si="91"/>
        <v>0</v>
      </c>
      <c r="AI122" s="698" t="e">
        <f t="shared" si="87"/>
        <v>#DIV/0!</v>
      </c>
      <c r="AJ122" s="698"/>
      <c r="AK122" s="698"/>
      <c r="AL122" s="4" t="str">
        <f>$A122&amp;$C7&amp;InputSheet!C$43&amp;InputSheet!D$43</f>
        <v>Option Year 9ISOverheadGovt</v>
      </c>
      <c r="AM122" s="700" t="e">
        <f t="shared" si="88"/>
        <v>#DIV/0!</v>
      </c>
      <c r="AP122" s="387" t="e">
        <f t="shared" si="55"/>
        <v>#DIV/0!</v>
      </c>
    </row>
    <row r="123" spans="1:42">
      <c r="A123" s="6" t="str">
        <f t="shared" si="89"/>
        <v>Option Year 9</v>
      </c>
      <c r="B123" s="6" t="str">
        <f t="shared" si="85"/>
        <v>Material Handling</v>
      </c>
      <c r="E123" s="698">
        <f>IF(E119="",0,INDEX(Input_Range,MATCH((C7&amp;B123),Input_Call,0),MATCH(E119,Input_Header,0)))</f>
        <v>3.1699999999999999E-2</v>
      </c>
      <c r="F123" s="698">
        <f>IF(F119="",0,INDEX(Input_Range,MATCH((C7&amp;B123),Input_Call,0),MATCH(F119,Input_Header,0)))</f>
        <v>3.0700000000000002E-2</v>
      </c>
      <c r="G123" s="698">
        <f>IF(G119="",0,INDEX(Input_Range,MATCH((C7&amp;B123),Input_Call,0),MATCH(G119,Input_Header,0)))</f>
        <v>2.9700000000000001E-2</v>
      </c>
      <c r="H123" s="698">
        <f>IF(H119="",0,INDEX(Input_Range,MATCH((C7&amp;B123),Input_Call,0),MATCH(H119,Input_Header,0)))</f>
        <v>2.8799999999999999E-2</v>
      </c>
      <c r="I123" s="698">
        <f>IF(I119="",0,INDEX(Input_Range,MATCH((C7&amp;B123),Input_Call,0),MATCH(I119,Input_Header,0)))</f>
        <v>2.8000000000000001E-2</v>
      </c>
      <c r="J123" s="698">
        <f>IF(J119="",0,INDEX(Input_Range,MATCH((C7&amp;B123),Input_Call,0),MATCH(J119,Input_Header,0)))</f>
        <v>2.8000000000000001E-2</v>
      </c>
      <c r="K123" s="698">
        <f>IF(K119="",0,INDEX(Input_Range,MATCH((C7&amp;B123),Input_Call,0),MATCH(K119,Input_Header,0)))</f>
        <v>2.8000000000000001E-2</v>
      </c>
      <c r="L123" s="698">
        <f>IF(L119="",0,INDEX(Input_Range,MATCH((C7&amp;B123),Input_Call,0),MATCH(L119,Input_Header,0)))</f>
        <v>2.8000000000000001E-2</v>
      </c>
      <c r="M123" s="698">
        <f>IF(M119="",0,INDEX(Input_Range,MATCH((C7&amp;B123),Input_Call,0),MATCH(M119,Input_Header,0)))</f>
        <v>2.8000000000000001E-2</v>
      </c>
      <c r="N123" s="698">
        <f>IF(N119="",0,INDEX(Input_Range,MATCH((C7&amp;B123),Input_Call,0),MATCH(N119,Input_Header,0)))</f>
        <v>2.8000000000000001E-2</v>
      </c>
      <c r="O123" s="698">
        <f>IF(O119="",0,INDEX(Input_Range,MATCH((C7&amp;B123),Input_Call,0),MATCH(O119,Input_Header,0)))</f>
        <v>2.8000000000000001E-2</v>
      </c>
      <c r="P123" s="698">
        <f>IF(P119="",0,INDEX(Input_Range,MATCH((C7&amp;B123),Input_Call,0),MATCH(P119,Input_Header,0)))</f>
        <v>2.8000000000000001E-2</v>
      </c>
      <c r="Q123" s="698">
        <f>IF(Q119="",0,INDEX(Input_Range,MATCH((C7&amp;B123),Input_Call,0),MATCH(Q119,Input_Header,0)))</f>
        <v>2.8000000000000001E-2</v>
      </c>
      <c r="R123" s="698">
        <f t="shared" si="90"/>
        <v>2.8000000000000001E-2</v>
      </c>
      <c r="T123" s="699">
        <f t="shared" si="91"/>
        <v>0</v>
      </c>
      <c r="U123" s="699">
        <f t="shared" si="91"/>
        <v>0</v>
      </c>
      <c r="V123" s="699">
        <f t="shared" si="91"/>
        <v>0</v>
      </c>
      <c r="W123" s="699">
        <f t="shared" si="91"/>
        <v>0</v>
      </c>
      <c r="X123" s="699">
        <f t="shared" si="91"/>
        <v>0</v>
      </c>
      <c r="Y123" s="699">
        <f t="shared" si="91"/>
        <v>0</v>
      </c>
      <c r="Z123" s="699">
        <f t="shared" si="91"/>
        <v>0</v>
      </c>
      <c r="AA123" s="699">
        <f t="shared" si="91"/>
        <v>0</v>
      </c>
      <c r="AB123" s="699">
        <f t="shared" si="91"/>
        <v>0</v>
      </c>
      <c r="AC123" s="699">
        <f t="shared" si="91"/>
        <v>0</v>
      </c>
      <c r="AD123" s="699">
        <f t="shared" si="91"/>
        <v>0</v>
      </c>
      <c r="AE123" s="699">
        <f t="shared" si="91"/>
        <v>0</v>
      </c>
      <c r="AF123" s="699">
        <f t="shared" si="91"/>
        <v>0</v>
      </c>
      <c r="AG123" s="699">
        <f t="shared" si="91"/>
        <v>0</v>
      </c>
      <c r="AI123" s="698" t="e">
        <f t="shared" si="87"/>
        <v>#DIV/0!</v>
      </c>
      <c r="AJ123" s="698"/>
      <c r="AK123" s="698"/>
      <c r="AL123" s="4" t="str">
        <f>$A123&amp;$C7&amp;InputSheet!C$44&amp;InputSheet!D$44</f>
        <v>Option Year 9ISMHContr/Govt</v>
      </c>
      <c r="AM123" s="700" t="e">
        <f t="shared" si="88"/>
        <v>#DIV/0!</v>
      </c>
      <c r="AP123" s="387" t="e">
        <f t="shared" si="55"/>
        <v>#DIV/0!</v>
      </c>
    </row>
    <row r="124" spans="1:42">
      <c r="A124" s="6" t="str">
        <f t="shared" si="89"/>
        <v>Option Year 9</v>
      </c>
      <c r="B124" s="6" t="str">
        <f t="shared" si="85"/>
        <v>G&amp;A</v>
      </c>
      <c r="E124" s="698">
        <f>IF(E119="",0,INDEX(Input_Range,MATCH((C7&amp;B124),Input_Call,0),MATCH(E119,Input_Header,0)))</f>
        <v>9.7500000000000003E-2</v>
      </c>
      <c r="F124" s="698">
        <f>IF(F119="",0,INDEX(Input_Range,MATCH((C7&amp;B124),Input_Call,0),MATCH(F119,Input_Header,0)))</f>
        <v>9.4700000000000006E-2</v>
      </c>
      <c r="G124" s="698">
        <f>IF(G119="",0,INDEX(Input_Range,MATCH((C7&amp;B124),Input_Call,0),MATCH(G119,Input_Header,0)))</f>
        <v>9.1999999999999998E-2</v>
      </c>
      <c r="H124" s="698">
        <f>IF(H119="",0,INDEX(Input_Range,MATCH((C7&amp;B124),Input_Call,0),MATCH(H119,Input_Header,0)))</f>
        <v>8.9499999999999996E-2</v>
      </c>
      <c r="I124" s="698">
        <f>IF(I119="",0,INDEX(Input_Range,MATCH((C7&amp;B124),Input_Call,0),MATCH(I119,Input_Header,0)))</f>
        <v>8.7099999999999997E-2</v>
      </c>
      <c r="J124" s="698">
        <f>IF(J119="",0,INDEX(Input_Range,MATCH((C7&amp;B124),Input_Call,0),MATCH(J119,Input_Header,0)))</f>
        <v>8.7099999999999997E-2</v>
      </c>
      <c r="K124" s="698">
        <f>IF(K119="",0,INDEX(Input_Range,MATCH((C7&amp;B124),Input_Call,0),MATCH(K119,Input_Header,0)))</f>
        <v>8.7099999999999997E-2</v>
      </c>
      <c r="L124" s="698">
        <f>IF(L119="",0,INDEX(Input_Range,MATCH((C7&amp;B124),Input_Call,0),MATCH(L119,Input_Header,0)))</f>
        <v>8.7099999999999997E-2</v>
      </c>
      <c r="M124" s="698">
        <f>IF(M119="",0,INDEX(Input_Range,MATCH((C7&amp;B124),Input_Call,0),MATCH(M119,Input_Header,0)))</f>
        <v>8.7099999999999997E-2</v>
      </c>
      <c r="N124" s="698">
        <f>IF(N119="",0,INDEX(Input_Range,MATCH((C7&amp;B124),Input_Call,0),MATCH(N119,Input_Header,0)))</f>
        <v>8.7099999999999997E-2</v>
      </c>
      <c r="O124" s="698">
        <f>IF(O119="",0,INDEX(Input_Range,MATCH((C7&amp;B124),Input_Call,0),MATCH(O119,Input_Header,0)))</f>
        <v>8.7099999999999997E-2</v>
      </c>
      <c r="P124" s="698">
        <f>IF(P119="",0,INDEX(Input_Range,MATCH((C7&amp;B124),Input_Call,0),MATCH(P119,Input_Header,0)))</f>
        <v>8.7099999999999997E-2</v>
      </c>
      <c r="Q124" s="698">
        <f>IF(Q119="",0,INDEX(Input_Range,MATCH((C7&amp;B124),Input_Call,0),MATCH(Q119,Input_Header,0)))</f>
        <v>8.7099999999999997E-2</v>
      </c>
      <c r="R124" s="698">
        <f t="shared" si="90"/>
        <v>8.7099999999999997E-2</v>
      </c>
      <c r="T124" s="699">
        <f t="shared" si="91"/>
        <v>0</v>
      </c>
      <c r="U124" s="699">
        <f t="shared" si="91"/>
        <v>0</v>
      </c>
      <c r="V124" s="699">
        <f t="shared" si="91"/>
        <v>0</v>
      </c>
      <c r="W124" s="699">
        <f t="shared" si="91"/>
        <v>0</v>
      </c>
      <c r="X124" s="699">
        <f t="shared" si="91"/>
        <v>0</v>
      </c>
      <c r="Y124" s="699">
        <f t="shared" si="91"/>
        <v>0</v>
      </c>
      <c r="Z124" s="699">
        <f t="shared" si="91"/>
        <v>0</v>
      </c>
      <c r="AA124" s="699">
        <f t="shared" si="91"/>
        <v>0</v>
      </c>
      <c r="AB124" s="699">
        <f t="shared" si="91"/>
        <v>0</v>
      </c>
      <c r="AC124" s="699">
        <f t="shared" si="91"/>
        <v>0</v>
      </c>
      <c r="AD124" s="699">
        <f t="shared" si="91"/>
        <v>0</v>
      </c>
      <c r="AE124" s="699">
        <f t="shared" si="91"/>
        <v>0</v>
      </c>
      <c r="AF124" s="699">
        <f t="shared" si="91"/>
        <v>0</v>
      </c>
      <c r="AG124" s="699">
        <f t="shared" si="91"/>
        <v>0</v>
      </c>
      <c r="AI124" s="698" t="e">
        <f t="shared" si="87"/>
        <v>#DIV/0!</v>
      </c>
      <c r="AJ124" s="698"/>
      <c r="AK124" s="698"/>
      <c r="AL124" s="4" t="str">
        <f>$A124&amp;$C7&amp;InputSheet!C$45&amp;InputSheet!D$45</f>
        <v>Option Year 9ISG&amp;AContr/Govt</v>
      </c>
      <c r="AM124" s="700" t="e">
        <f t="shared" si="88"/>
        <v>#DIV/0!</v>
      </c>
      <c r="AP124" s="387" t="e">
        <f t="shared" si="55"/>
        <v>#DIV/0!</v>
      </c>
    </row>
    <row r="125" spans="1:42" outlineLevel="1">
      <c r="A125" s="6" t="str">
        <f t="shared" si="89"/>
        <v>Option Year 9</v>
      </c>
      <c r="B125" s="6" t="str">
        <f t="shared" si="85"/>
        <v>TBD1</v>
      </c>
      <c r="E125" s="21">
        <f>IF(E119="",0,INDEX(Input_Range,MATCH((C7&amp;B125),Input_Call,0),MATCH(E119,Input_Header,0)))</f>
        <v>0</v>
      </c>
      <c r="F125" s="21">
        <f>IF(F119="",0,INDEX(Input_Range,MATCH((C7&amp;B125),Input_Call,0),MATCH(F119,Input_Header,0)))</f>
        <v>0</v>
      </c>
      <c r="G125" s="21">
        <f>IF(G119="",0,INDEX(Input_Range,MATCH((C7&amp;B125),Input_Call,0),MATCH(G119,Input_Header,0)))</f>
        <v>0</v>
      </c>
      <c r="H125" s="21">
        <f>IF(H119="",0,INDEX(Input_Range,MATCH((C7&amp;B125),Input_Call,0),MATCH(H119,Input_Header,0)))</f>
        <v>0</v>
      </c>
      <c r="I125" s="21">
        <f>IF(I119="",0,INDEX(Input_Range,MATCH((C7&amp;B125),Input_Call,0),MATCH(I119,Input_Header,0)))</f>
        <v>0</v>
      </c>
      <c r="J125" s="21">
        <f>IF(J119="",0,INDEX(Input_Range,MATCH((C7&amp;B125),Input_Call,0),MATCH(J119,Input_Header,0)))</f>
        <v>0</v>
      </c>
      <c r="K125" s="21">
        <f>IF(K119="",0,INDEX(Input_Range,MATCH((C7&amp;B125),Input_Call,0),MATCH(K119,Input_Header,0)))</f>
        <v>0</v>
      </c>
      <c r="L125" s="21">
        <f>IF(L119="",0,INDEX(Input_Range,MATCH((C7&amp;B125),Input_Call,0),MATCH(L119,Input_Header,0)))</f>
        <v>0</v>
      </c>
      <c r="M125" s="21">
        <f>IF(M119="",0,INDEX(Input_Range,MATCH((C7&amp;B125),Input_Call,0),MATCH(M119,Input_Header,0)))</f>
        <v>0</v>
      </c>
      <c r="N125" s="21">
        <f>IF(N119="",0,INDEX(Input_Range,MATCH((C7&amp;B125),Input_Call,0),MATCH(N119,Input_Header,0)))</f>
        <v>0</v>
      </c>
      <c r="O125" s="21">
        <f>IF(O119="",0,INDEX(Input_Range,MATCH((C7&amp;B125),Input_Call,0),MATCH(O119,Input_Header,0)))</f>
        <v>0</v>
      </c>
      <c r="P125" s="21">
        <f>IF(P119="",0,INDEX(Input_Range,MATCH((C7&amp;B125),Input_Call,0),MATCH(P119,Input_Header,0)))</f>
        <v>0</v>
      </c>
      <c r="Q125" s="21">
        <f>IF(Q119="",0,INDEX(Input_Range,MATCH((C7&amp;B125),Input_Call,0),MATCH(Q119,Input_Header,0)))</f>
        <v>0</v>
      </c>
      <c r="R125" s="698">
        <f t="shared" si="90"/>
        <v>0</v>
      </c>
      <c r="T125" s="699">
        <f t="shared" si="91"/>
        <v>0</v>
      </c>
      <c r="U125" s="699">
        <f t="shared" si="91"/>
        <v>0</v>
      </c>
      <c r="V125" s="699">
        <f t="shared" si="91"/>
        <v>0</v>
      </c>
      <c r="W125" s="699">
        <f t="shared" si="91"/>
        <v>0</v>
      </c>
      <c r="X125" s="699">
        <f t="shared" si="91"/>
        <v>0</v>
      </c>
      <c r="Y125" s="699">
        <f t="shared" si="91"/>
        <v>0</v>
      </c>
      <c r="Z125" s="699">
        <f t="shared" si="91"/>
        <v>0</v>
      </c>
      <c r="AA125" s="699">
        <f t="shared" si="91"/>
        <v>0</v>
      </c>
      <c r="AB125" s="699">
        <f t="shared" si="91"/>
        <v>0</v>
      </c>
      <c r="AC125" s="699">
        <f t="shared" si="91"/>
        <v>0</v>
      </c>
      <c r="AD125" s="699">
        <f t="shared" si="91"/>
        <v>0</v>
      </c>
      <c r="AE125" s="699">
        <f t="shared" si="91"/>
        <v>0</v>
      </c>
      <c r="AF125" s="699">
        <f t="shared" si="91"/>
        <v>0</v>
      </c>
      <c r="AG125" s="699">
        <f t="shared" si="91"/>
        <v>0</v>
      </c>
      <c r="AI125" s="698" t="e">
        <f t="shared" si="87"/>
        <v>#DIV/0!</v>
      </c>
      <c r="AJ125" s="21"/>
      <c r="AK125" s="21"/>
      <c r="AL125" s="4" t="str">
        <f>$A125&amp;$C7&amp;InputSheet!C$46&amp;InputSheet!D$46</f>
        <v>Option Year 9ISTBD1Contr/Govt</v>
      </c>
      <c r="AM125" s="700" t="e">
        <f t="shared" si="88"/>
        <v>#DIV/0!</v>
      </c>
      <c r="AP125" s="387" t="e">
        <f t="shared" si="55"/>
        <v>#DIV/0!</v>
      </c>
    </row>
    <row r="126" spans="1:42" outlineLevel="1">
      <c r="A126" s="6" t="str">
        <f t="shared" si="89"/>
        <v>Option Year 9</v>
      </c>
      <c r="B126" s="6" t="str">
        <f t="shared" si="85"/>
        <v>TBD2</v>
      </c>
      <c r="E126" s="21">
        <f>IF(E119="",0,INDEX(Input_Range,MATCH((C7&amp;B126),Input_Call,0),MATCH(E119,Input_Header,0)))</f>
        <v>0</v>
      </c>
      <c r="F126" s="21">
        <f>IF(F119="",0,INDEX(Input_Range,MATCH((C7&amp;B126),Input_Call,0),MATCH(F119,Input_Header,0)))</f>
        <v>0</v>
      </c>
      <c r="G126" s="21">
        <f>IF(G119="",0,INDEX(Input_Range,MATCH((C7&amp;B126),Input_Call,0),MATCH(G119,Input_Header,0)))</f>
        <v>0</v>
      </c>
      <c r="H126" s="21">
        <f>IF(H119="",0,INDEX(Input_Range,MATCH((C7&amp;B126),Input_Call,0),MATCH(H119,Input_Header,0)))</f>
        <v>0</v>
      </c>
      <c r="I126" s="21">
        <f>IF(I119="",0,INDEX(Input_Range,MATCH((C7&amp;B126),Input_Call,0),MATCH(I119,Input_Header,0)))</f>
        <v>0</v>
      </c>
      <c r="J126" s="21">
        <f>IF(J119="",0,INDEX(Input_Range,MATCH((C7&amp;B126),Input_Call,0),MATCH(J119,Input_Header,0)))</f>
        <v>0</v>
      </c>
      <c r="K126" s="21">
        <f>IF(K119="",0,INDEX(Input_Range,MATCH((C7&amp;B126),Input_Call,0),MATCH(K119,Input_Header,0)))</f>
        <v>0</v>
      </c>
      <c r="L126" s="21">
        <f>IF(L119="",0,INDEX(Input_Range,MATCH((C7&amp;B126),Input_Call,0),MATCH(L119,Input_Header,0)))</f>
        <v>0</v>
      </c>
      <c r="M126" s="21">
        <f>IF(M119="",0,INDEX(Input_Range,MATCH((C7&amp;B126),Input_Call,0),MATCH(M119,Input_Header,0)))</f>
        <v>0</v>
      </c>
      <c r="N126" s="21">
        <f>IF(N119="",0,INDEX(Input_Range,MATCH((C7&amp;B126),Input_Call,0),MATCH(N119,Input_Header,0)))</f>
        <v>0</v>
      </c>
      <c r="O126" s="21">
        <f>IF(O119="",0,INDEX(Input_Range,MATCH((C7&amp;B126),Input_Call,0),MATCH(O119,Input_Header,0)))</f>
        <v>0</v>
      </c>
      <c r="P126" s="21">
        <f>IF(P119="",0,INDEX(Input_Range,MATCH((C7&amp;B126),Input_Call,0),MATCH(P119,Input_Header,0)))</f>
        <v>0</v>
      </c>
      <c r="Q126" s="21">
        <f>IF(Q119="",0,INDEX(Input_Range,MATCH((C7&amp;B126),Input_Call,0),MATCH(Q119,Input_Header,0)))</f>
        <v>0</v>
      </c>
      <c r="R126" s="698">
        <f t="shared" si="90"/>
        <v>0</v>
      </c>
      <c r="T126" s="699">
        <f t="shared" si="91"/>
        <v>0</v>
      </c>
      <c r="U126" s="699">
        <f t="shared" si="91"/>
        <v>0</v>
      </c>
      <c r="V126" s="699">
        <f t="shared" si="91"/>
        <v>0</v>
      </c>
      <c r="W126" s="699">
        <f t="shared" si="91"/>
        <v>0</v>
      </c>
      <c r="X126" s="699">
        <f t="shared" si="91"/>
        <v>0</v>
      </c>
      <c r="Y126" s="699">
        <f t="shared" si="91"/>
        <v>0</v>
      </c>
      <c r="Z126" s="699">
        <f t="shared" si="91"/>
        <v>0</v>
      </c>
      <c r="AA126" s="699">
        <f t="shared" si="91"/>
        <v>0</v>
      </c>
      <c r="AB126" s="699">
        <f t="shared" si="91"/>
        <v>0</v>
      </c>
      <c r="AC126" s="699">
        <f t="shared" si="91"/>
        <v>0</v>
      </c>
      <c r="AD126" s="699">
        <f t="shared" si="91"/>
        <v>0</v>
      </c>
      <c r="AE126" s="699">
        <f t="shared" si="91"/>
        <v>0</v>
      </c>
      <c r="AF126" s="699">
        <f t="shared" si="91"/>
        <v>0</v>
      </c>
      <c r="AG126" s="699">
        <f t="shared" si="91"/>
        <v>0</v>
      </c>
      <c r="AI126" s="698" t="e">
        <f t="shared" si="87"/>
        <v>#DIV/0!</v>
      </c>
      <c r="AJ126" s="21"/>
      <c r="AK126" s="21"/>
      <c r="AL126" s="4" t="str">
        <f>$A126&amp;$C7&amp;InputSheet!C$47&amp;InputSheet!D$47</f>
        <v>Option Year 9ISTBD2Contr/Govt</v>
      </c>
      <c r="AM126" s="700" t="e">
        <f t="shared" si="88"/>
        <v>#DIV/0!</v>
      </c>
      <c r="AP126" s="387" t="e">
        <f t="shared" si="55"/>
        <v>#DIV/0!</v>
      </c>
    </row>
    <row r="127" spans="1:42" outlineLevel="1">
      <c r="A127" s="6" t="str">
        <f t="shared" si="89"/>
        <v>Option Year 9</v>
      </c>
      <c r="B127" s="6" t="str">
        <f t="shared" si="85"/>
        <v>TBD3</v>
      </c>
      <c r="E127" s="21">
        <f>IF(E119="",0,INDEX(Input_Range,MATCH((C7&amp;B127),Input_Call,0),MATCH(E119,Input_Header,0)))</f>
        <v>0</v>
      </c>
      <c r="F127" s="21">
        <f>IF(F119="",0,INDEX(Input_Range,MATCH((C7&amp;B127),Input_Call,0),MATCH(F119,Input_Header,0)))</f>
        <v>0</v>
      </c>
      <c r="G127" s="21">
        <f>IF(G119="",0,INDEX(Input_Range,MATCH((C7&amp;B127),Input_Call,0),MATCH(G119,Input_Header,0)))</f>
        <v>0</v>
      </c>
      <c r="H127" s="21">
        <f>IF(H119="",0,INDEX(Input_Range,MATCH((C7&amp;B127),Input_Call,0),MATCH(H119,Input_Header,0)))</f>
        <v>0</v>
      </c>
      <c r="I127" s="21">
        <f>IF(I119="",0,INDEX(Input_Range,MATCH((C7&amp;B127),Input_Call,0),MATCH(I119,Input_Header,0)))</f>
        <v>0</v>
      </c>
      <c r="J127" s="21">
        <f>IF(J119="",0,INDEX(Input_Range,MATCH((C7&amp;B127),Input_Call,0),MATCH(J119,Input_Header,0)))</f>
        <v>0</v>
      </c>
      <c r="K127" s="21">
        <f>IF(K119="",0,INDEX(Input_Range,MATCH((C7&amp;B127),Input_Call,0),MATCH(K119,Input_Header,0)))</f>
        <v>0</v>
      </c>
      <c r="L127" s="21">
        <f>IF(L119="",0,INDEX(Input_Range,MATCH((C7&amp;B127),Input_Call,0),MATCH(L119,Input_Header,0)))</f>
        <v>0</v>
      </c>
      <c r="M127" s="21">
        <f>IF(M119="",0,INDEX(Input_Range,MATCH((C7&amp;B127),Input_Call,0),MATCH(M119,Input_Header,0)))</f>
        <v>0</v>
      </c>
      <c r="N127" s="21">
        <f>IF(N119="",0,INDEX(Input_Range,MATCH((C7&amp;B127),Input_Call,0),MATCH(N119,Input_Header,0)))</f>
        <v>0</v>
      </c>
      <c r="O127" s="21">
        <f>IF(O119="",0,INDEX(Input_Range,MATCH((C7&amp;B127),Input_Call,0),MATCH(O119,Input_Header,0)))</f>
        <v>0</v>
      </c>
      <c r="P127" s="21">
        <f>IF(P119="",0,INDEX(Input_Range,MATCH((C7&amp;B127),Input_Call,0),MATCH(P119,Input_Header,0)))</f>
        <v>0</v>
      </c>
      <c r="Q127" s="21">
        <f>IF(Q119="",0,INDEX(Input_Range,MATCH((C7&amp;B127),Input_Call,0),MATCH(Q119,Input_Header,0)))</f>
        <v>0</v>
      </c>
      <c r="R127" s="698">
        <f t="shared" si="90"/>
        <v>0</v>
      </c>
      <c r="T127" s="699">
        <f t="shared" si="91"/>
        <v>0</v>
      </c>
      <c r="U127" s="699">
        <f t="shared" si="91"/>
        <v>0</v>
      </c>
      <c r="V127" s="699">
        <f t="shared" si="91"/>
        <v>0</v>
      </c>
      <c r="W127" s="699">
        <f t="shared" si="91"/>
        <v>0</v>
      </c>
      <c r="X127" s="699">
        <f t="shared" si="91"/>
        <v>0</v>
      </c>
      <c r="Y127" s="699">
        <f t="shared" si="91"/>
        <v>0</v>
      </c>
      <c r="Z127" s="699">
        <f t="shared" si="91"/>
        <v>0</v>
      </c>
      <c r="AA127" s="699">
        <f t="shared" si="91"/>
        <v>0</v>
      </c>
      <c r="AB127" s="699">
        <f t="shared" si="91"/>
        <v>0</v>
      </c>
      <c r="AC127" s="699">
        <f t="shared" si="91"/>
        <v>0</v>
      </c>
      <c r="AD127" s="699">
        <f t="shared" si="91"/>
        <v>0</v>
      </c>
      <c r="AE127" s="699">
        <f t="shared" si="91"/>
        <v>0</v>
      </c>
      <c r="AF127" s="699">
        <f t="shared" si="91"/>
        <v>0</v>
      </c>
      <c r="AG127" s="699">
        <f t="shared" si="91"/>
        <v>0</v>
      </c>
      <c r="AI127" s="698" t="e">
        <f t="shared" si="87"/>
        <v>#DIV/0!</v>
      </c>
      <c r="AJ127" s="21"/>
      <c r="AK127" s="21"/>
      <c r="AL127" s="4" t="str">
        <f>$A127&amp;$C7&amp;InputSheet!C$48&amp;InputSheet!D$48</f>
        <v>Option Year 9ISTBD3Contr/Govt</v>
      </c>
      <c r="AM127" s="700" t="e">
        <f t="shared" si="88"/>
        <v>#DIV/0!</v>
      </c>
      <c r="AP127" s="387" t="e">
        <f t="shared" si="55"/>
        <v>#DIV/0!</v>
      </c>
    </row>
    <row r="128" spans="1:42">
      <c r="E128" s="698"/>
      <c r="F128" s="698"/>
      <c r="G128" s="698"/>
      <c r="H128" s="698"/>
      <c r="I128" s="698"/>
      <c r="J128" s="698"/>
      <c r="K128" s="698"/>
      <c r="L128" s="698"/>
      <c r="M128" s="698"/>
      <c r="N128" s="698"/>
      <c r="O128" s="698"/>
      <c r="P128" s="698"/>
      <c r="Q128" s="698"/>
      <c r="R128" s="698"/>
      <c r="AI128" s="21"/>
      <c r="AJ128" s="21"/>
      <c r="AK128" s="21"/>
      <c r="AP128" s="387" t="str">
        <f t="shared" si="55"/>
        <v>1</v>
      </c>
    </row>
    <row r="129" spans="1:42">
      <c r="A129" s="530" t="str">
        <f>B129</f>
        <v>Option Year 10</v>
      </c>
      <c r="B129" s="691" t="str">
        <f>InputSheet!$C$32</f>
        <v>Option Year 10</v>
      </c>
      <c r="AP129" s="387" t="str">
        <f t="shared" si="55"/>
        <v>1</v>
      </c>
    </row>
    <row r="130" spans="1:42">
      <c r="B130" s="314" t="s">
        <v>587</v>
      </c>
      <c r="C130" s="692" t="s">
        <v>588</v>
      </c>
      <c r="E130" s="1216" t="str">
        <f>"Indirect Rates - "&amp;C$7</f>
        <v>Indirect Rates - IS</v>
      </c>
      <c r="F130" s="1216"/>
      <c r="G130" s="1216"/>
      <c r="H130" s="1216"/>
      <c r="I130" s="1216"/>
      <c r="J130" s="1216"/>
      <c r="K130" s="1216"/>
      <c r="L130" s="1216"/>
      <c r="M130" s="1216"/>
      <c r="N130" s="1216"/>
      <c r="O130" s="1216"/>
      <c r="P130" s="1216"/>
      <c r="Q130" s="1216"/>
      <c r="R130" s="1216"/>
      <c r="S130" s="844"/>
      <c r="T130" s="1217" t="s">
        <v>794</v>
      </c>
      <c r="U130" s="1217"/>
      <c r="V130" s="1217"/>
      <c r="W130" s="1217"/>
      <c r="X130" s="1217"/>
      <c r="Y130" s="1217"/>
      <c r="Z130" s="1217"/>
      <c r="AA130" s="1217"/>
      <c r="AB130" s="1217"/>
      <c r="AC130" s="1217"/>
      <c r="AD130" s="1217"/>
      <c r="AE130" s="1217"/>
      <c r="AF130" s="1217"/>
      <c r="AG130" s="1217"/>
      <c r="AI130" s="692" t="s">
        <v>615</v>
      </c>
      <c r="AJ130" s="50"/>
      <c r="AK130" s="50"/>
      <c r="AP130" s="387" t="str">
        <f t="shared" si="55"/>
        <v>1</v>
      </c>
    </row>
    <row r="131" spans="1:42">
      <c r="B131" s="693">
        <f>VLOOKUP(A129,InputSheet!$C$8:$E$37,2,FALSE)</f>
        <v>1827</v>
      </c>
      <c r="C131" s="694">
        <f>VLOOKUP(A129,InputSheet!$C$8:$E$37,3,FALSE)</f>
        <v>2191</v>
      </c>
      <c r="E131" s="695">
        <f t="shared" ref="E131:R131" si="92">E119</f>
        <v>2009</v>
      </c>
      <c r="F131" s="695">
        <f t="shared" si="92"/>
        <v>2010</v>
      </c>
      <c r="G131" s="695">
        <f t="shared" si="92"/>
        <v>2011</v>
      </c>
      <c r="H131" s="695">
        <f t="shared" si="92"/>
        <v>2012</v>
      </c>
      <c r="I131" s="695">
        <f t="shared" si="92"/>
        <v>2013</v>
      </c>
      <c r="J131" s="695">
        <f t="shared" si="92"/>
        <v>2014</v>
      </c>
      <c r="K131" s="695">
        <f t="shared" si="92"/>
        <v>2015</v>
      </c>
      <c r="L131" s="695">
        <f t="shared" si="92"/>
        <v>2016</v>
      </c>
      <c r="M131" s="695">
        <f t="shared" si="92"/>
        <v>2017</v>
      </c>
      <c r="N131" s="695">
        <f t="shared" si="92"/>
        <v>2018</v>
      </c>
      <c r="O131" s="695">
        <f t="shared" si="92"/>
        <v>2019</v>
      </c>
      <c r="P131" s="695">
        <f t="shared" si="92"/>
        <v>2020</v>
      </c>
      <c r="Q131" s="695">
        <f t="shared" si="92"/>
        <v>2021</v>
      </c>
      <c r="R131" s="695">
        <f t="shared" si="92"/>
        <v>2022</v>
      </c>
      <c r="S131" s="680"/>
      <c r="T131" s="695">
        <f t="shared" ref="T131:AG131" si="93">T119</f>
        <v>2009</v>
      </c>
      <c r="U131" s="695">
        <f t="shared" si="93"/>
        <v>2010</v>
      </c>
      <c r="V131" s="695">
        <f t="shared" si="93"/>
        <v>2011</v>
      </c>
      <c r="W131" s="695">
        <f t="shared" si="93"/>
        <v>2012</v>
      </c>
      <c r="X131" s="695">
        <f t="shared" si="93"/>
        <v>2013</v>
      </c>
      <c r="Y131" s="695">
        <f t="shared" si="93"/>
        <v>2014</v>
      </c>
      <c r="Z131" s="695">
        <f t="shared" si="93"/>
        <v>2015</v>
      </c>
      <c r="AA131" s="695">
        <f t="shared" si="93"/>
        <v>2016</v>
      </c>
      <c r="AB131" s="695">
        <f t="shared" si="93"/>
        <v>2017</v>
      </c>
      <c r="AC131" s="695">
        <f t="shared" si="93"/>
        <v>2018</v>
      </c>
      <c r="AD131" s="695">
        <f t="shared" si="93"/>
        <v>2019</v>
      </c>
      <c r="AE131" s="695">
        <f t="shared" si="93"/>
        <v>2020</v>
      </c>
      <c r="AF131" s="695">
        <f t="shared" si="93"/>
        <v>2021</v>
      </c>
      <c r="AG131" s="695">
        <f t="shared" si="93"/>
        <v>2022</v>
      </c>
      <c r="AI131" s="696" t="str">
        <f>B129</f>
        <v>Option Year 10</v>
      </c>
      <c r="AJ131" s="28"/>
      <c r="AK131" s="28"/>
      <c r="AP131" s="387" t="str">
        <f t="shared" si="55"/>
        <v>1</v>
      </c>
    </row>
    <row r="132" spans="1:42">
      <c r="A132" s="6" t="str">
        <f>A129</f>
        <v>Option Year 10</v>
      </c>
      <c r="B132" s="6" t="str">
        <f t="shared" ref="B132:B139" si="94">B120</f>
        <v>PRB</v>
      </c>
      <c r="E132" s="698">
        <f>IF(E131="",0,INDEX(Input_Range,MATCH((C7&amp;B132),Input_Call,0),MATCH(E131,Input_Header,0)))</f>
        <v>0.31240000000000001</v>
      </c>
      <c r="F132" s="698">
        <f>IF(F131="",0,INDEX(Input_Range,MATCH((C7&amp;B132),Input_Call,0),MATCH(F131,Input_Header,0)))</f>
        <v>0.31240000000000001</v>
      </c>
      <c r="G132" s="698">
        <f>IF(G131="",0,INDEX(Input_Range,MATCH((C7&amp;B132),Input_Call,0),MATCH(G131,Input_Header,0)))</f>
        <v>0.31240000000000001</v>
      </c>
      <c r="H132" s="698">
        <f>IF(H131="",0,INDEX(Input_Range,MATCH((C7&amp;B132),Input_Call,0),MATCH(H131,Input_Header,0)))</f>
        <v>0.31240000000000001</v>
      </c>
      <c r="I132" s="698">
        <f>IF(I131="",0,INDEX(Input_Range,MATCH((C7&amp;B132),Input_Call,0),MATCH(I131,Input_Header,0)))</f>
        <v>0.31240000000000001</v>
      </c>
      <c r="J132" s="698">
        <f>IF(J131="",0,INDEX(Input_Range,MATCH((C7&amp;B132),Input_Call,0),MATCH(J131,Input_Header,0)))</f>
        <v>0.31240000000000001</v>
      </c>
      <c r="K132" s="698">
        <f>IF(K131="",0,INDEX(Input_Range,MATCH((C7&amp;B132),Input_Call,0),MATCH(K131,Input_Header,0)))</f>
        <v>0.31240000000000001</v>
      </c>
      <c r="L132" s="698">
        <f>IF(L131="",0,INDEX(Input_Range,MATCH((C7&amp;B132),Input_Call,0),MATCH(L131,Input_Header,0)))</f>
        <v>0.31240000000000001</v>
      </c>
      <c r="M132" s="698">
        <f>IF(M131="",0,INDEX(Input_Range,MATCH((C7&amp;B132),Input_Call,0),MATCH(M131,Input_Header,0)))</f>
        <v>0.31240000000000001</v>
      </c>
      <c r="N132" s="698">
        <f>IF(N131="",0,INDEX(Input_Range,MATCH((C7&amp;B132),Input_Call,0),MATCH(N131,Input_Header,0)))</f>
        <v>0.31240000000000001</v>
      </c>
      <c r="O132" s="698">
        <f>IF(O131="",0,INDEX(Input_Range,MATCH((C7&amp;B132),Input_Call,0),MATCH(O131,Input_Header,0)))</f>
        <v>0.31240000000000001</v>
      </c>
      <c r="P132" s="698">
        <f>IF(P131="",0,INDEX(Input_Range,MATCH((C7&amp;B132),Input_Call,0),MATCH(P131,Input_Header,0)))</f>
        <v>0.31240000000000001</v>
      </c>
      <c r="Q132" s="698">
        <f>IF(Q131="",0,INDEX(Input_Range,MATCH((C7&amp;B132),Input_Call,0),MATCH(Q131,Input_Header,0)))</f>
        <v>0.31240000000000001</v>
      </c>
      <c r="R132" s="698">
        <f>Q132</f>
        <v>0.31240000000000001</v>
      </c>
      <c r="T132" s="699">
        <f t="shared" ref="T132:AG132" si="95">ROUND((MAX(0,(MIN($C131,DATE(T131,12,31))-MAX($B131,DATE(T131,1,1))+1)))/30.41667,0)</f>
        <v>0</v>
      </c>
      <c r="U132" s="699">
        <f t="shared" si="95"/>
        <v>0</v>
      </c>
      <c r="V132" s="699">
        <f t="shared" si="95"/>
        <v>0</v>
      </c>
      <c r="W132" s="699">
        <f t="shared" si="95"/>
        <v>0</v>
      </c>
      <c r="X132" s="699">
        <f t="shared" si="95"/>
        <v>0</v>
      </c>
      <c r="Y132" s="699">
        <f t="shared" si="95"/>
        <v>0</v>
      </c>
      <c r="Z132" s="699">
        <f t="shared" si="95"/>
        <v>0</v>
      </c>
      <c r="AA132" s="699">
        <f t="shared" si="95"/>
        <v>0</v>
      </c>
      <c r="AB132" s="699">
        <f t="shared" si="95"/>
        <v>0</v>
      </c>
      <c r="AC132" s="699">
        <f t="shared" si="95"/>
        <v>0</v>
      </c>
      <c r="AD132" s="699">
        <f t="shared" si="95"/>
        <v>0</v>
      </c>
      <c r="AE132" s="699">
        <f t="shared" si="95"/>
        <v>0</v>
      </c>
      <c r="AF132" s="699">
        <f t="shared" si="95"/>
        <v>0</v>
      </c>
      <c r="AG132" s="699">
        <f t="shared" si="95"/>
        <v>0</v>
      </c>
      <c r="AI132" s="698" t="e">
        <f t="shared" ref="AI132:AI139" si="96">ROUND(SUMPRODUCT(E132:R132,T132:AG132)/SUM(T132:AG132),4)</f>
        <v>#DIV/0!</v>
      </c>
      <c r="AJ132" s="698"/>
      <c r="AK132" s="698"/>
      <c r="AL132" s="4" t="str">
        <f>$A132&amp;$C7&amp;InputSheet!C$41&amp;InputSheet!D$41</f>
        <v>Option Year 10ISPRBContr/Govt</v>
      </c>
      <c r="AM132" s="700" t="e">
        <f t="shared" ref="AM132:AM139" si="97">AI132</f>
        <v>#DIV/0!</v>
      </c>
      <c r="AP132" s="387" t="e">
        <f t="shared" si="55"/>
        <v>#DIV/0!</v>
      </c>
    </row>
    <row r="133" spans="1:42">
      <c r="A133" s="6" t="str">
        <f t="shared" ref="A133:A139" si="98">A132</f>
        <v>Option Year 10</v>
      </c>
      <c r="B133" s="6" t="str">
        <f t="shared" si="94"/>
        <v>Overhead - Offsite</v>
      </c>
      <c r="E133" s="698">
        <f>IF(E131="",0,INDEX(Input_Range,MATCH((C7&amp;B133),Input_Call,0),MATCH(E131,Input_Header,0)))</f>
        <v>0.1988</v>
      </c>
      <c r="F133" s="698">
        <f>IF(F131="",0,INDEX(Input_Range,MATCH((C7&amp;B133),Input_Call,0),MATCH(F131,Input_Header,0)))</f>
        <v>0.1988</v>
      </c>
      <c r="G133" s="698">
        <f>IF(G131="",0,INDEX(Input_Range,MATCH((C7&amp;B133),Input_Call,0),MATCH(G131,Input_Header,0)))</f>
        <v>0.1988</v>
      </c>
      <c r="H133" s="698">
        <f>IF(H131="",0,INDEX(Input_Range,MATCH((C7&amp;B133),Input_Call,0),MATCH(H131,Input_Header,0)))</f>
        <v>0.1988</v>
      </c>
      <c r="I133" s="698">
        <f>IF(I131="",0,INDEX(Input_Range,MATCH((C7&amp;B133),Input_Call,0),MATCH(I131,Input_Header,0)))</f>
        <v>0.1988</v>
      </c>
      <c r="J133" s="698">
        <f>IF(J131="",0,INDEX(Input_Range,MATCH((C7&amp;B133),Input_Call,0),MATCH(J131,Input_Header,0)))</f>
        <v>0.1988</v>
      </c>
      <c r="K133" s="698">
        <f>IF(K131="",0,INDEX(Input_Range,MATCH((C7&amp;B133),Input_Call,0),MATCH(K131,Input_Header,0)))</f>
        <v>0.1988</v>
      </c>
      <c r="L133" s="698">
        <f>IF(L131="",0,INDEX(Input_Range,MATCH((C7&amp;B133),Input_Call,0),MATCH(L131,Input_Header,0)))</f>
        <v>0.1988</v>
      </c>
      <c r="M133" s="698">
        <f>IF(M131="",0,INDEX(Input_Range,MATCH((C7&amp;B133),Input_Call,0),MATCH(M131,Input_Header,0)))</f>
        <v>0.1988</v>
      </c>
      <c r="N133" s="698">
        <f>IF(N131="",0,INDEX(Input_Range,MATCH((C7&amp;B133),Input_Call,0),MATCH(N131,Input_Header,0)))</f>
        <v>0.1988</v>
      </c>
      <c r="O133" s="698">
        <f>IF(O131="",0,INDEX(Input_Range,MATCH((C7&amp;B133),Input_Call,0),MATCH(O131,Input_Header,0)))</f>
        <v>0.1988</v>
      </c>
      <c r="P133" s="698">
        <f>IF(P131="",0,INDEX(Input_Range,MATCH((C7&amp;B133),Input_Call,0),MATCH(P131,Input_Header,0)))</f>
        <v>0.1988</v>
      </c>
      <c r="Q133" s="698">
        <f>IF(Q131="",0,INDEX(Input_Range,MATCH((C7&amp;B133),Input_Call,0),MATCH(Q131,Input_Header,0)))</f>
        <v>0.1988</v>
      </c>
      <c r="R133" s="698">
        <f t="shared" ref="R133:R139" si="99">Q133</f>
        <v>0.1988</v>
      </c>
      <c r="T133" s="699">
        <f t="shared" ref="T133:AG139" si="100">T132</f>
        <v>0</v>
      </c>
      <c r="U133" s="699">
        <f t="shared" si="100"/>
        <v>0</v>
      </c>
      <c r="V133" s="699">
        <f t="shared" si="100"/>
        <v>0</v>
      </c>
      <c r="W133" s="699">
        <f t="shared" si="100"/>
        <v>0</v>
      </c>
      <c r="X133" s="699">
        <f t="shared" si="100"/>
        <v>0</v>
      </c>
      <c r="Y133" s="699">
        <f t="shared" si="100"/>
        <v>0</v>
      </c>
      <c r="Z133" s="699">
        <f t="shared" si="100"/>
        <v>0</v>
      </c>
      <c r="AA133" s="699">
        <f t="shared" si="100"/>
        <v>0</v>
      </c>
      <c r="AB133" s="699">
        <f t="shared" si="100"/>
        <v>0</v>
      </c>
      <c r="AC133" s="699">
        <f t="shared" si="100"/>
        <v>0</v>
      </c>
      <c r="AD133" s="699">
        <f t="shared" si="100"/>
        <v>0</v>
      </c>
      <c r="AE133" s="699">
        <f t="shared" si="100"/>
        <v>0</v>
      </c>
      <c r="AF133" s="699">
        <f t="shared" si="100"/>
        <v>0</v>
      </c>
      <c r="AG133" s="699">
        <f t="shared" si="100"/>
        <v>0</v>
      </c>
      <c r="AI133" s="698" t="e">
        <f t="shared" si="96"/>
        <v>#DIV/0!</v>
      </c>
      <c r="AJ133" s="698"/>
      <c r="AK133" s="698"/>
      <c r="AL133" s="4" t="str">
        <f>$A133&amp;$C7&amp;InputSheet!C$42&amp;InputSheet!D$42</f>
        <v>Option Year 10ISOverheadContr</v>
      </c>
      <c r="AM133" s="700" t="e">
        <f t="shared" si="97"/>
        <v>#DIV/0!</v>
      </c>
      <c r="AP133" s="387" t="e">
        <f t="shared" si="55"/>
        <v>#DIV/0!</v>
      </c>
    </row>
    <row r="134" spans="1:42">
      <c r="A134" s="6" t="str">
        <f t="shared" si="98"/>
        <v>Option Year 10</v>
      </c>
      <c r="B134" s="6" t="str">
        <f t="shared" si="94"/>
        <v>Overhead - Onsite</v>
      </c>
      <c r="E134" s="698">
        <f>IF(E131="",0,INDEX(Input_Range,MATCH((C7&amp;B134),Input_Call,0),MATCH(E131,Input_Header,0)))</f>
        <v>2.23E-2</v>
      </c>
      <c r="F134" s="698">
        <f>IF(F131="",0,INDEX(Input_Range,MATCH((C7&amp;B134),Input_Call,0),MATCH(F131,Input_Header,0)))</f>
        <v>2.23E-2</v>
      </c>
      <c r="G134" s="698">
        <f>IF(G131="",0,INDEX(Input_Range,MATCH((C7&amp;B134),Input_Call,0),MATCH(G131,Input_Header,0)))</f>
        <v>2.23E-2</v>
      </c>
      <c r="H134" s="698">
        <f>IF(H131="",0,INDEX(Input_Range,MATCH((C7&amp;B134),Input_Call,0),MATCH(H131,Input_Header,0)))</f>
        <v>2.23E-2</v>
      </c>
      <c r="I134" s="698">
        <f>IF(I131="",0,INDEX(Input_Range,MATCH((C7&amp;B134),Input_Call,0),MATCH(I131,Input_Header,0)))</f>
        <v>2.23E-2</v>
      </c>
      <c r="J134" s="698">
        <f>IF(J131="",0,INDEX(Input_Range,MATCH((C7&amp;B134),Input_Call,0),MATCH(J131,Input_Header,0)))</f>
        <v>2.23E-2</v>
      </c>
      <c r="K134" s="698">
        <f>IF(K131="",0,INDEX(Input_Range,MATCH((C7&amp;B134),Input_Call,0),MATCH(K131,Input_Header,0)))</f>
        <v>2.23E-2</v>
      </c>
      <c r="L134" s="698">
        <f>IF(L131="",0,INDEX(Input_Range,MATCH((C7&amp;B134),Input_Call,0),MATCH(L131,Input_Header,0)))</f>
        <v>2.23E-2</v>
      </c>
      <c r="M134" s="698">
        <f>IF(M131="",0,INDEX(Input_Range,MATCH((C7&amp;B134),Input_Call,0),MATCH(M131,Input_Header,0)))</f>
        <v>2.23E-2</v>
      </c>
      <c r="N134" s="698">
        <f>IF(N131="",0,INDEX(Input_Range,MATCH((C7&amp;B134),Input_Call,0),MATCH(N131,Input_Header,0)))</f>
        <v>2.23E-2</v>
      </c>
      <c r="O134" s="698">
        <f>IF(O131="",0,INDEX(Input_Range,MATCH((C7&amp;B134),Input_Call,0),MATCH(O131,Input_Header,0)))</f>
        <v>2.23E-2</v>
      </c>
      <c r="P134" s="698">
        <f>IF(P131="",0,INDEX(Input_Range,MATCH((C7&amp;B134),Input_Call,0),MATCH(P131,Input_Header,0)))</f>
        <v>2.23E-2</v>
      </c>
      <c r="Q134" s="698">
        <f>IF(Q131="",0,INDEX(Input_Range,MATCH((C7&amp;B134),Input_Call,0),MATCH(Q131,Input_Header,0)))</f>
        <v>2.23E-2</v>
      </c>
      <c r="R134" s="698">
        <f t="shared" si="99"/>
        <v>2.23E-2</v>
      </c>
      <c r="T134" s="699">
        <f t="shared" si="100"/>
        <v>0</v>
      </c>
      <c r="U134" s="699">
        <f t="shared" si="100"/>
        <v>0</v>
      </c>
      <c r="V134" s="699">
        <f t="shared" si="100"/>
        <v>0</v>
      </c>
      <c r="W134" s="699">
        <f t="shared" si="100"/>
        <v>0</v>
      </c>
      <c r="X134" s="699">
        <f t="shared" si="100"/>
        <v>0</v>
      </c>
      <c r="Y134" s="699">
        <f t="shared" si="100"/>
        <v>0</v>
      </c>
      <c r="Z134" s="699">
        <f t="shared" si="100"/>
        <v>0</v>
      </c>
      <c r="AA134" s="699">
        <f t="shared" si="100"/>
        <v>0</v>
      </c>
      <c r="AB134" s="699">
        <f t="shared" si="100"/>
        <v>0</v>
      </c>
      <c r="AC134" s="699">
        <f t="shared" si="100"/>
        <v>0</v>
      </c>
      <c r="AD134" s="699">
        <f t="shared" si="100"/>
        <v>0</v>
      </c>
      <c r="AE134" s="699">
        <f t="shared" si="100"/>
        <v>0</v>
      </c>
      <c r="AF134" s="699">
        <f t="shared" si="100"/>
        <v>0</v>
      </c>
      <c r="AG134" s="699">
        <f t="shared" si="100"/>
        <v>0</v>
      </c>
      <c r="AI134" s="698" t="e">
        <f t="shared" si="96"/>
        <v>#DIV/0!</v>
      </c>
      <c r="AJ134" s="698"/>
      <c r="AK134" s="698"/>
      <c r="AL134" s="4" t="str">
        <f>$A134&amp;$C7&amp;InputSheet!C$43&amp;InputSheet!D$43</f>
        <v>Option Year 10ISOverheadGovt</v>
      </c>
      <c r="AM134" s="700" t="e">
        <f t="shared" si="97"/>
        <v>#DIV/0!</v>
      </c>
      <c r="AP134" s="387" t="e">
        <f t="shared" si="55"/>
        <v>#DIV/0!</v>
      </c>
    </row>
    <row r="135" spans="1:42">
      <c r="A135" s="6" t="str">
        <f t="shared" si="98"/>
        <v>Option Year 10</v>
      </c>
      <c r="B135" s="6" t="str">
        <f t="shared" si="94"/>
        <v>Material Handling</v>
      </c>
      <c r="E135" s="698">
        <f>IF(E131="",0,INDEX(Input_Range,MATCH((C7&amp;B135),Input_Call,0),MATCH(E131,Input_Header,0)))</f>
        <v>3.1699999999999999E-2</v>
      </c>
      <c r="F135" s="698">
        <f>IF(F131="",0,INDEX(Input_Range,MATCH((C7&amp;B135),Input_Call,0),MATCH(F131,Input_Header,0)))</f>
        <v>3.0700000000000002E-2</v>
      </c>
      <c r="G135" s="698">
        <f>IF(G131="",0,INDEX(Input_Range,MATCH((C7&amp;B135),Input_Call,0),MATCH(G131,Input_Header,0)))</f>
        <v>2.9700000000000001E-2</v>
      </c>
      <c r="H135" s="698">
        <f>IF(H131="",0,INDEX(Input_Range,MATCH((C7&amp;B135),Input_Call,0),MATCH(H131,Input_Header,0)))</f>
        <v>2.8799999999999999E-2</v>
      </c>
      <c r="I135" s="698">
        <f>IF(I131="",0,INDEX(Input_Range,MATCH((C7&amp;B135),Input_Call,0),MATCH(I131,Input_Header,0)))</f>
        <v>2.8000000000000001E-2</v>
      </c>
      <c r="J135" s="698">
        <f>IF(J131="",0,INDEX(Input_Range,MATCH((C7&amp;B135),Input_Call,0),MATCH(J131,Input_Header,0)))</f>
        <v>2.8000000000000001E-2</v>
      </c>
      <c r="K135" s="698">
        <f>IF(K131="",0,INDEX(Input_Range,MATCH((C7&amp;B135),Input_Call,0),MATCH(K131,Input_Header,0)))</f>
        <v>2.8000000000000001E-2</v>
      </c>
      <c r="L135" s="698">
        <f>IF(L131="",0,INDEX(Input_Range,MATCH((C7&amp;B135),Input_Call,0),MATCH(L131,Input_Header,0)))</f>
        <v>2.8000000000000001E-2</v>
      </c>
      <c r="M135" s="698">
        <f>IF(M131="",0,INDEX(Input_Range,MATCH((C7&amp;B135),Input_Call,0),MATCH(M131,Input_Header,0)))</f>
        <v>2.8000000000000001E-2</v>
      </c>
      <c r="N135" s="698">
        <f>IF(N131="",0,INDEX(Input_Range,MATCH((C7&amp;B135),Input_Call,0),MATCH(N131,Input_Header,0)))</f>
        <v>2.8000000000000001E-2</v>
      </c>
      <c r="O135" s="698">
        <f>IF(O131="",0,INDEX(Input_Range,MATCH((C7&amp;B135),Input_Call,0),MATCH(O131,Input_Header,0)))</f>
        <v>2.8000000000000001E-2</v>
      </c>
      <c r="P135" s="698">
        <f>IF(P131="",0,INDEX(Input_Range,MATCH((C7&amp;B135),Input_Call,0),MATCH(P131,Input_Header,0)))</f>
        <v>2.8000000000000001E-2</v>
      </c>
      <c r="Q135" s="698">
        <f>IF(Q131="",0,INDEX(Input_Range,MATCH((C7&amp;B135),Input_Call,0),MATCH(Q131,Input_Header,0)))</f>
        <v>2.8000000000000001E-2</v>
      </c>
      <c r="R135" s="698">
        <f t="shared" si="99"/>
        <v>2.8000000000000001E-2</v>
      </c>
      <c r="T135" s="699">
        <f t="shared" si="100"/>
        <v>0</v>
      </c>
      <c r="U135" s="699">
        <f t="shared" si="100"/>
        <v>0</v>
      </c>
      <c r="V135" s="699">
        <f t="shared" si="100"/>
        <v>0</v>
      </c>
      <c r="W135" s="699">
        <f t="shared" si="100"/>
        <v>0</v>
      </c>
      <c r="X135" s="699">
        <f t="shared" si="100"/>
        <v>0</v>
      </c>
      <c r="Y135" s="699">
        <f t="shared" si="100"/>
        <v>0</v>
      </c>
      <c r="Z135" s="699">
        <f t="shared" si="100"/>
        <v>0</v>
      </c>
      <c r="AA135" s="699">
        <f t="shared" si="100"/>
        <v>0</v>
      </c>
      <c r="AB135" s="699">
        <f t="shared" si="100"/>
        <v>0</v>
      </c>
      <c r="AC135" s="699">
        <f t="shared" si="100"/>
        <v>0</v>
      </c>
      <c r="AD135" s="699">
        <f t="shared" si="100"/>
        <v>0</v>
      </c>
      <c r="AE135" s="699">
        <f t="shared" si="100"/>
        <v>0</v>
      </c>
      <c r="AF135" s="699">
        <f t="shared" si="100"/>
        <v>0</v>
      </c>
      <c r="AG135" s="699">
        <f t="shared" si="100"/>
        <v>0</v>
      </c>
      <c r="AI135" s="698" t="e">
        <f t="shared" si="96"/>
        <v>#DIV/0!</v>
      </c>
      <c r="AJ135" s="698"/>
      <c r="AK135" s="698"/>
      <c r="AL135" s="4" t="str">
        <f>$A135&amp;$C7&amp;InputSheet!C$44&amp;InputSheet!D$44</f>
        <v>Option Year 10ISMHContr/Govt</v>
      </c>
      <c r="AM135" s="700" t="e">
        <f t="shared" si="97"/>
        <v>#DIV/0!</v>
      </c>
      <c r="AP135" s="387" t="e">
        <f t="shared" si="55"/>
        <v>#DIV/0!</v>
      </c>
    </row>
    <row r="136" spans="1:42">
      <c r="A136" s="6" t="str">
        <f t="shared" si="98"/>
        <v>Option Year 10</v>
      </c>
      <c r="B136" s="6" t="str">
        <f t="shared" si="94"/>
        <v>G&amp;A</v>
      </c>
      <c r="E136" s="698">
        <f>IF(E131="",0,INDEX(Input_Range,MATCH((C7&amp;B136),Input_Call,0),MATCH(E131,Input_Header,0)))</f>
        <v>9.7500000000000003E-2</v>
      </c>
      <c r="F136" s="698">
        <f>IF(F131="",0,INDEX(Input_Range,MATCH((C7&amp;B136),Input_Call,0),MATCH(F131,Input_Header,0)))</f>
        <v>9.4700000000000006E-2</v>
      </c>
      <c r="G136" s="698">
        <f>IF(G131="",0,INDEX(Input_Range,MATCH((C7&amp;B136),Input_Call,0),MATCH(G131,Input_Header,0)))</f>
        <v>9.1999999999999998E-2</v>
      </c>
      <c r="H136" s="698">
        <f>IF(H131="",0,INDEX(Input_Range,MATCH((C7&amp;B136),Input_Call,0),MATCH(H131,Input_Header,0)))</f>
        <v>8.9499999999999996E-2</v>
      </c>
      <c r="I136" s="698">
        <f>IF(I131="",0,INDEX(Input_Range,MATCH((C7&amp;B136),Input_Call,0),MATCH(I131,Input_Header,0)))</f>
        <v>8.7099999999999997E-2</v>
      </c>
      <c r="J136" s="698">
        <f>IF(J131="",0,INDEX(Input_Range,MATCH((C7&amp;B136),Input_Call,0),MATCH(J131,Input_Header,0)))</f>
        <v>8.7099999999999997E-2</v>
      </c>
      <c r="K136" s="698">
        <f>IF(K131="",0,INDEX(Input_Range,MATCH((C7&amp;B136),Input_Call,0),MATCH(K131,Input_Header,0)))</f>
        <v>8.7099999999999997E-2</v>
      </c>
      <c r="L136" s="698">
        <f>IF(L131="",0,INDEX(Input_Range,MATCH((C7&amp;B136),Input_Call,0),MATCH(L131,Input_Header,0)))</f>
        <v>8.7099999999999997E-2</v>
      </c>
      <c r="M136" s="698">
        <f>IF(M131="",0,INDEX(Input_Range,MATCH((C7&amp;B136),Input_Call,0),MATCH(M131,Input_Header,0)))</f>
        <v>8.7099999999999997E-2</v>
      </c>
      <c r="N136" s="698">
        <f>IF(N131="",0,INDEX(Input_Range,MATCH((C7&amp;B136),Input_Call,0),MATCH(N131,Input_Header,0)))</f>
        <v>8.7099999999999997E-2</v>
      </c>
      <c r="O136" s="698">
        <f>IF(O131="",0,INDEX(Input_Range,MATCH((C7&amp;B136),Input_Call,0),MATCH(O131,Input_Header,0)))</f>
        <v>8.7099999999999997E-2</v>
      </c>
      <c r="P136" s="698">
        <f>IF(P131="",0,INDEX(Input_Range,MATCH((C7&amp;B136),Input_Call,0),MATCH(P131,Input_Header,0)))</f>
        <v>8.7099999999999997E-2</v>
      </c>
      <c r="Q136" s="698">
        <f>IF(Q131="",0,INDEX(Input_Range,MATCH((C7&amp;B136),Input_Call,0),MATCH(Q131,Input_Header,0)))</f>
        <v>8.7099999999999997E-2</v>
      </c>
      <c r="R136" s="698">
        <f t="shared" si="99"/>
        <v>8.7099999999999997E-2</v>
      </c>
      <c r="T136" s="699">
        <f t="shared" si="100"/>
        <v>0</v>
      </c>
      <c r="U136" s="699">
        <f t="shared" si="100"/>
        <v>0</v>
      </c>
      <c r="V136" s="699">
        <f t="shared" si="100"/>
        <v>0</v>
      </c>
      <c r="W136" s="699">
        <f t="shared" si="100"/>
        <v>0</v>
      </c>
      <c r="X136" s="699">
        <f t="shared" si="100"/>
        <v>0</v>
      </c>
      <c r="Y136" s="699">
        <f t="shared" si="100"/>
        <v>0</v>
      </c>
      <c r="Z136" s="699">
        <f t="shared" si="100"/>
        <v>0</v>
      </c>
      <c r="AA136" s="699">
        <f t="shared" si="100"/>
        <v>0</v>
      </c>
      <c r="AB136" s="699">
        <f t="shared" si="100"/>
        <v>0</v>
      </c>
      <c r="AC136" s="699">
        <f t="shared" si="100"/>
        <v>0</v>
      </c>
      <c r="AD136" s="699">
        <f t="shared" si="100"/>
        <v>0</v>
      </c>
      <c r="AE136" s="699">
        <f t="shared" si="100"/>
        <v>0</v>
      </c>
      <c r="AF136" s="699">
        <f t="shared" si="100"/>
        <v>0</v>
      </c>
      <c r="AG136" s="699">
        <f t="shared" si="100"/>
        <v>0</v>
      </c>
      <c r="AI136" s="698" t="e">
        <f t="shared" si="96"/>
        <v>#DIV/0!</v>
      </c>
      <c r="AJ136" s="698"/>
      <c r="AK136" s="698"/>
      <c r="AL136" s="4" t="str">
        <f>$A136&amp;$C7&amp;InputSheet!C$45&amp;InputSheet!D$45</f>
        <v>Option Year 10ISG&amp;AContr/Govt</v>
      </c>
      <c r="AM136" s="700" t="e">
        <f t="shared" si="97"/>
        <v>#DIV/0!</v>
      </c>
      <c r="AP136" s="387" t="e">
        <f t="shared" si="55"/>
        <v>#DIV/0!</v>
      </c>
    </row>
    <row r="137" spans="1:42" outlineLevel="1">
      <c r="A137" s="6" t="str">
        <f t="shared" si="98"/>
        <v>Option Year 10</v>
      </c>
      <c r="B137" s="6" t="str">
        <f t="shared" si="94"/>
        <v>TBD1</v>
      </c>
      <c r="E137" s="21">
        <f>IF(E131="",0,INDEX(Input_Range,MATCH((C7&amp;B137),Input_Call,0),MATCH(E131,Input_Header,0)))</f>
        <v>0</v>
      </c>
      <c r="F137" s="21">
        <f>IF(F131="",0,INDEX(Input_Range,MATCH((C7&amp;B137),Input_Call,0),MATCH(F131,Input_Header,0)))</f>
        <v>0</v>
      </c>
      <c r="G137" s="21">
        <f>IF(G131="",0,INDEX(Input_Range,MATCH((C7&amp;B137),Input_Call,0),MATCH(G131,Input_Header,0)))</f>
        <v>0</v>
      </c>
      <c r="H137" s="21">
        <f>IF(H131="",0,INDEX(Input_Range,MATCH((C7&amp;B137),Input_Call,0),MATCH(H131,Input_Header,0)))</f>
        <v>0</v>
      </c>
      <c r="I137" s="21">
        <f>IF(I131="",0,INDEX(Input_Range,MATCH((C7&amp;B137),Input_Call,0),MATCH(I131,Input_Header,0)))</f>
        <v>0</v>
      </c>
      <c r="J137" s="21">
        <f>IF(J131="",0,INDEX(Input_Range,MATCH((C7&amp;B137),Input_Call,0),MATCH(J131,Input_Header,0)))</f>
        <v>0</v>
      </c>
      <c r="K137" s="21">
        <f>IF(K131="",0,INDEX(Input_Range,MATCH((C7&amp;B137),Input_Call,0),MATCH(K131,Input_Header,0)))</f>
        <v>0</v>
      </c>
      <c r="L137" s="21">
        <f>IF(L131="",0,INDEX(Input_Range,MATCH((C7&amp;B137),Input_Call,0),MATCH(L131,Input_Header,0)))</f>
        <v>0</v>
      </c>
      <c r="M137" s="21">
        <f>IF(M131="",0,INDEX(Input_Range,MATCH((C7&amp;B137),Input_Call,0),MATCH(M131,Input_Header,0)))</f>
        <v>0</v>
      </c>
      <c r="N137" s="21">
        <f>IF(N131="",0,INDEX(Input_Range,MATCH((C7&amp;B137),Input_Call,0),MATCH(N131,Input_Header,0)))</f>
        <v>0</v>
      </c>
      <c r="O137" s="21">
        <f>IF(O131="",0,INDEX(Input_Range,MATCH((C7&amp;B137),Input_Call,0),MATCH(O131,Input_Header,0)))</f>
        <v>0</v>
      </c>
      <c r="P137" s="21">
        <f>IF(P131="",0,INDEX(Input_Range,MATCH((C7&amp;B137),Input_Call,0),MATCH(P131,Input_Header,0)))</f>
        <v>0</v>
      </c>
      <c r="Q137" s="21">
        <f>IF(Q131="",0,INDEX(Input_Range,MATCH((C7&amp;B137),Input_Call,0),MATCH(Q131,Input_Header,0)))</f>
        <v>0</v>
      </c>
      <c r="R137" s="698">
        <f t="shared" si="99"/>
        <v>0</v>
      </c>
      <c r="T137" s="699">
        <f t="shared" si="100"/>
        <v>0</v>
      </c>
      <c r="U137" s="699">
        <f t="shared" si="100"/>
        <v>0</v>
      </c>
      <c r="V137" s="699">
        <f t="shared" si="100"/>
        <v>0</v>
      </c>
      <c r="W137" s="699">
        <f t="shared" si="100"/>
        <v>0</v>
      </c>
      <c r="X137" s="699">
        <f t="shared" si="100"/>
        <v>0</v>
      </c>
      <c r="Y137" s="699">
        <f t="shared" si="100"/>
        <v>0</v>
      </c>
      <c r="Z137" s="699">
        <f t="shared" si="100"/>
        <v>0</v>
      </c>
      <c r="AA137" s="699">
        <f t="shared" si="100"/>
        <v>0</v>
      </c>
      <c r="AB137" s="699">
        <f t="shared" si="100"/>
        <v>0</v>
      </c>
      <c r="AC137" s="699">
        <f t="shared" si="100"/>
        <v>0</v>
      </c>
      <c r="AD137" s="699">
        <f t="shared" si="100"/>
        <v>0</v>
      </c>
      <c r="AE137" s="699">
        <f t="shared" si="100"/>
        <v>0</v>
      </c>
      <c r="AF137" s="699">
        <f t="shared" si="100"/>
        <v>0</v>
      </c>
      <c r="AG137" s="699">
        <f t="shared" si="100"/>
        <v>0</v>
      </c>
      <c r="AI137" s="698" t="e">
        <f t="shared" si="96"/>
        <v>#DIV/0!</v>
      </c>
      <c r="AJ137" s="21"/>
      <c r="AK137" s="21"/>
      <c r="AL137" s="4" t="str">
        <f>$A137&amp;$C7&amp;InputSheet!C$46&amp;InputSheet!D$46</f>
        <v>Option Year 10ISTBD1Contr/Govt</v>
      </c>
      <c r="AM137" s="700" t="e">
        <f t="shared" si="97"/>
        <v>#DIV/0!</v>
      </c>
      <c r="AP137" s="387" t="e">
        <f t="shared" si="55"/>
        <v>#DIV/0!</v>
      </c>
    </row>
    <row r="138" spans="1:42" outlineLevel="1">
      <c r="A138" s="6" t="str">
        <f t="shared" si="98"/>
        <v>Option Year 10</v>
      </c>
      <c r="B138" s="6" t="str">
        <f t="shared" si="94"/>
        <v>TBD2</v>
      </c>
      <c r="E138" s="21">
        <f>IF(E131="",0,INDEX(Input_Range,MATCH((C7&amp;B138),Input_Call,0),MATCH(E131,Input_Header,0)))</f>
        <v>0</v>
      </c>
      <c r="F138" s="21">
        <f>IF(F131="",0,INDEX(Input_Range,MATCH((C7&amp;B138),Input_Call,0),MATCH(F131,Input_Header,0)))</f>
        <v>0</v>
      </c>
      <c r="G138" s="21">
        <f>IF(G131="",0,INDEX(Input_Range,MATCH((C7&amp;B138),Input_Call,0),MATCH(G131,Input_Header,0)))</f>
        <v>0</v>
      </c>
      <c r="H138" s="21">
        <f>IF(H131="",0,INDEX(Input_Range,MATCH((C7&amp;B138),Input_Call,0),MATCH(H131,Input_Header,0)))</f>
        <v>0</v>
      </c>
      <c r="I138" s="21">
        <f>IF(I131="",0,INDEX(Input_Range,MATCH((C7&amp;B138),Input_Call,0),MATCH(I131,Input_Header,0)))</f>
        <v>0</v>
      </c>
      <c r="J138" s="21">
        <f>IF(J131="",0,INDEX(Input_Range,MATCH((C7&amp;B138),Input_Call,0),MATCH(J131,Input_Header,0)))</f>
        <v>0</v>
      </c>
      <c r="K138" s="21">
        <f>IF(K131="",0,INDEX(Input_Range,MATCH((C7&amp;B138),Input_Call,0),MATCH(K131,Input_Header,0)))</f>
        <v>0</v>
      </c>
      <c r="L138" s="21">
        <f>IF(L131="",0,INDEX(Input_Range,MATCH((C7&amp;B138),Input_Call,0),MATCH(L131,Input_Header,0)))</f>
        <v>0</v>
      </c>
      <c r="M138" s="21">
        <f>IF(M131="",0,INDEX(Input_Range,MATCH((C7&amp;B138),Input_Call,0),MATCH(M131,Input_Header,0)))</f>
        <v>0</v>
      </c>
      <c r="N138" s="21">
        <f>IF(N131="",0,INDEX(Input_Range,MATCH((C7&amp;B138),Input_Call,0),MATCH(N131,Input_Header,0)))</f>
        <v>0</v>
      </c>
      <c r="O138" s="21">
        <f>IF(O131="",0,INDEX(Input_Range,MATCH((C7&amp;B138),Input_Call,0),MATCH(O131,Input_Header,0)))</f>
        <v>0</v>
      </c>
      <c r="P138" s="21">
        <f>IF(P131="",0,INDEX(Input_Range,MATCH((C7&amp;B138),Input_Call,0),MATCH(P131,Input_Header,0)))</f>
        <v>0</v>
      </c>
      <c r="Q138" s="21">
        <f>IF(Q131="",0,INDEX(Input_Range,MATCH((C7&amp;B138),Input_Call,0),MATCH(Q131,Input_Header,0)))</f>
        <v>0</v>
      </c>
      <c r="R138" s="698">
        <f t="shared" si="99"/>
        <v>0</v>
      </c>
      <c r="T138" s="699">
        <f t="shared" si="100"/>
        <v>0</v>
      </c>
      <c r="U138" s="699">
        <f t="shared" si="100"/>
        <v>0</v>
      </c>
      <c r="V138" s="699">
        <f t="shared" si="100"/>
        <v>0</v>
      </c>
      <c r="W138" s="699">
        <f t="shared" si="100"/>
        <v>0</v>
      </c>
      <c r="X138" s="699">
        <f t="shared" si="100"/>
        <v>0</v>
      </c>
      <c r="Y138" s="699">
        <f t="shared" si="100"/>
        <v>0</v>
      </c>
      <c r="Z138" s="699">
        <f t="shared" si="100"/>
        <v>0</v>
      </c>
      <c r="AA138" s="699">
        <f t="shared" si="100"/>
        <v>0</v>
      </c>
      <c r="AB138" s="699">
        <f t="shared" si="100"/>
        <v>0</v>
      </c>
      <c r="AC138" s="699">
        <f t="shared" si="100"/>
        <v>0</v>
      </c>
      <c r="AD138" s="699">
        <f t="shared" si="100"/>
        <v>0</v>
      </c>
      <c r="AE138" s="699">
        <f t="shared" si="100"/>
        <v>0</v>
      </c>
      <c r="AF138" s="699">
        <f t="shared" si="100"/>
        <v>0</v>
      </c>
      <c r="AG138" s="699">
        <f t="shared" si="100"/>
        <v>0</v>
      </c>
      <c r="AI138" s="698" t="e">
        <f t="shared" si="96"/>
        <v>#DIV/0!</v>
      </c>
      <c r="AJ138" s="21"/>
      <c r="AK138" s="21"/>
      <c r="AL138" s="4" t="str">
        <f>$A138&amp;$C7&amp;InputSheet!C$47&amp;InputSheet!D$47</f>
        <v>Option Year 10ISTBD2Contr/Govt</v>
      </c>
      <c r="AM138" s="700" t="e">
        <f t="shared" si="97"/>
        <v>#DIV/0!</v>
      </c>
      <c r="AP138" s="387" t="e">
        <f t="shared" si="55"/>
        <v>#DIV/0!</v>
      </c>
    </row>
    <row r="139" spans="1:42" outlineLevel="1">
      <c r="A139" s="6" t="str">
        <f t="shared" si="98"/>
        <v>Option Year 10</v>
      </c>
      <c r="B139" s="6" t="str">
        <f t="shared" si="94"/>
        <v>TBD3</v>
      </c>
      <c r="E139" s="21">
        <f>IF(E131="",0,INDEX(Input_Range,MATCH((C7&amp;B139),Input_Call,0),MATCH(E131,Input_Header,0)))</f>
        <v>0</v>
      </c>
      <c r="F139" s="21">
        <f>IF(F131="",0,INDEX(Input_Range,MATCH((C7&amp;B139),Input_Call,0),MATCH(F131,Input_Header,0)))</f>
        <v>0</v>
      </c>
      <c r="G139" s="21">
        <f>IF(G131="",0,INDEX(Input_Range,MATCH((C7&amp;B139),Input_Call,0),MATCH(G131,Input_Header,0)))</f>
        <v>0</v>
      </c>
      <c r="H139" s="21">
        <f>IF(H131="",0,INDEX(Input_Range,MATCH((C7&amp;B139),Input_Call,0),MATCH(H131,Input_Header,0)))</f>
        <v>0</v>
      </c>
      <c r="I139" s="21">
        <f>IF(I131="",0,INDEX(Input_Range,MATCH((C7&amp;B139),Input_Call,0),MATCH(I131,Input_Header,0)))</f>
        <v>0</v>
      </c>
      <c r="J139" s="21">
        <f>IF(J131="",0,INDEX(Input_Range,MATCH((C7&amp;B139),Input_Call,0),MATCH(J131,Input_Header,0)))</f>
        <v>0</v>
      </c>
      <c r="K139" s="21">
        <f>IF(K131="",0,INDEX(Input_Range,MATCH((C7&amp;B139),Input_Call,0),MATCH(K131,Input_Header,0)))</f>
        <v>0</v>
      </c>
      <c r="L139" s="21">
        <f>IF(L131="",0,INDEX(Input_Range,MATCH((C7&amp;B139),Input_Call,0),MATCH(L131,Input_Header,0)))</f>
        <v>0</v>
      </c>
      <c r="M139" s="21">
        <f>IF(M131="",0,INDEX(Input_Range,MATCH((C7&amp;B139),Input_Call,0),MATCH(M131,Input_Header,0)))</f>
        <v>0</v>
      </c>
      <c r="N139" s="21">
        <f>IF(N131="",0,INDEX(Input_Range,MATCH((C7&amp;B139),Input_Call,0),MATCH(N131,Input_Header,0)))</f>
        <v>0</v>
      </c>
      <c r="O139" s="21">
        <f>IF(O131="",0,INDEX(Input_Range,MATCH((C7&amp;B139),Input_Call,0),MATCH(O131,Input_Header,0)))</f>
        <v>0</v>
      </c>
      <c r="P139" s="21">
        <f>IF(P131="",0,INDEX(Input_Range,MATCH((C7&amp;B139),Input_Call,0),MATCH(P131,Input_Header,0)))</f>
        <v>0</v>
      </c>
      <c r="Q139" s="21">
        <f>IF(Q131="",0,INDEX(Input_Range,MATCH((C7&amp;B139),Input_Call,0),MATCH(Q131,Input_Header,0)))</f>
        <v>0</v>
      </c>
      <c r="R139" s="698">
        <f t="shared" si="99"/>
        <v>0</v>
      </c>
      <c r="T139" s="699">
        <f t="shared" si="100"/>
        <v>0</v>
      </c>
      <c r="U139" s="699">
        <f t="shared" si="100"/>
        <v>0</v>
      </c>
      <c r="V139" s="699">
        <f t="shared" si="100"/>
        <v>0</v>
      </c>
      <c r="W139" s="699">
        <f t="shared" si="100"/>
        <v>0</v>
      </c>
      <c r="X139" s="699">
        <f t="shared" si="100"/>
        <v>0</v>
      </c>
      <c r="Y139" s="699">
        <f t="shared" si="100"/>
        <v>0</v>
      </c>
      <c r="Z139" s="699">
        <f t="shared" si="100"/>
        <v>0</v>
      </c>
      <c r="AA139" s="699">
        <f t="shared" si="100"/>
        <v>0</v>
      </c>
      <c r="AB139" s="699">
        <f t="shared" si="100"/>
        <v>0</v>
      </c>
      <c r="AC139" s="699">
        <f t="shared" si="100"/>
        <v>0</v>
      </c>
      <c r="AD139" s="699">
        <f t="shared" si="100"/>
        <v>0</v>
      </c>
      <c r="AE139" s="699">
        <f t="shared" si="100"/>
        <v>0</v>
      </c>
      <c r="AF139" s="699">
        <f t="shared" si="100"/>
        <v>0</v>
      </c>
      <c r="AG139" s="699">
        <f t="shared" si="100"/>
        <v>0</v>
      </c>
      <c r="AI139" s="698" t="e">
        <f t="shared" si="96"/>
        <v>#DIV/0!</v>
      </c>
      <c r="AJ139" s="21"/>
      <c r="AK139" s="21"/>
      <c r="AL139" s="4" t="str">
        <f>$A139&amp;$C7&amp;InputSheet!C$48&amp;InputSheet!D$48</f>
        <v>Option Year 10ISTBD3Contr/Govt</v>
      </c>
      <c r="AM139" s="700" t="e">
        <f t="shared" si="97"/>
        <v>#DIV/0!</v>
      </c>
      <c r="AP139" s="387" t="e">
        <f t="shared" si="55"/>
        <v>#DIV/0!</v>
      </c>
    </row>
    <row r="140" spans="1:42">
      <c r="E140" s="698"/>
      <c r="F140" s="698"/>
      <c r="G140" s="698"/>
      <c r="H140" s="698"/>
      <c r="I140" s="698"/>
      <c r="J140" s="698"/>
      <c r="K140" s="698"/>
      <c r="L140" s="698"/>
      <c r="M140" s="698"/>
      <c r="N140" s="698"/>
      <c r="O140" s="698"/>
      <c r="P140" s="698"/>
      <c r="Q140" s="698"/>
      <c r="R140" s="698"/>
      <c r="AI140" s="21"/>
      <c r="AJ140" s="21"/>
      <c r="AK140" s="21"/>
      <c r="AP140" s="387" t="str">
        <f t="shared" ref="AP140:AP203" si="101">IF(AM140="","1",(IF((VLOOKUP(B140,$AO$2:$AP$9,2,FALSE))="","0","1")))</f>
        <v>1</v>
      </c>
    </row>
    <row r="141" spans="1:42">
      <c r="A141" s="530" t="str">
        <f>B141</f>
        <v>Option Year 11</v>
      </c>
      <c r="B141" s="691" t="str">
        <f>InputSheet!$C$33</f>
        <v>Option Year 11</v>
      </c>
      <c r="AP141" s="387" t="str">
        <f t="shared" si="101"/>
        <v>1</v>
      </c>
    </row>
    <row r="142" spans="1:42">
      <c r="B142" s="314" t="s">
        <v>587</v>
      </c>
      <c r="C142" s="692" t="s">
        <v>588</v>
      </c>
      <c r="E142" s="1216" t="str">
        <f>"Indirect Rates - "&amp;C$7</f>
        <v>Indirect Rates - IS</v>
      </c>
      <c r="F142" s="1216"/>
      <c r="G142" s="1216"/>
      <c r="H142" s="1216"/>
      <c r="I142" s="1216"/>
      <c r="J142" s="1216"/>
      <c r="K142" s="1216"/>
      <c r="L142" s="1216"/>
      <c r="M142" s="1216"/>
      <c r="N142" s="1216"/>
      <c r="O142" s="1216"/>
      <c r="P142" s="1216"/>
      <c r="Q142" s="1216"/>
      <c r="R142" s="1216"/>
      <c r="S142" s="844"/>
      <c r="T142" s="1217" t="s">
        <v>794</v>
      </c>
      <c r="U142" s="1217"/>
      <c r="V142" s="1217"/>
      <c r="W142" s="1217"/>
      <c r="X142" s="1217"/>
      <c r="Y142" s="1217"/>
      <c r="Z142" s="1217"/>
      <c r="AA142" s="1217"/>
      <c r="AB142" s="1217"/>
      <c r="AC142" s="1217"/>
      <c r="AD142" s="1217"/>
      <c r="AE142" s="1217"/>
      <c r="AF142" s="1217"/>
      <c r="AG142" s="1217"/>
      <c r="AI142" s="692" t="s">
        <v>615</v>
      </c>
      <c r="AJ142" s="50"/>
      <c r="AK142" s="50"/>
      <c r="AP142" s="387" t="str">
        <f t="shared" si="101"/>
        <v>1</v>
      </c>
    </row>
    <row r="143" spans="1:42">
      <c r="B143" s="693">
        <f>VLOOKUP(A141,InputSheet!$C$8:$E$37,2,FALSE)</f>
        <v>2192</v>
      </c>
      <c r="C143" s="694">
        <f>VLOOKUP(A141,InputSheet!$C$8:$E$37,3,FALSE)</f>
        <v>2557</v>
      </c>
      <c r="E143" s="695">
        <f t="shared" ref="E143:R143" si="102">E131</f>
        <v>2009</v>
      </c>
      <c r="F143" s="695">
        <f t="shared" si="102"/>
        <v>2010</v>
      </c>
      <c r="G143" s="695">
        <f t="shared" si="102"/>
        <v>2011</v>
      </c>
      <c r="H143" s="695">
        <f t="shared" si="102"/>
        <v>2012</v>
      </c>
      <c r="I143" s="695">
        <f t="shared" si="102"/>
        <v>2013</v>
      </c>
      <c r="J143" s="695">
        <f t="shared" si="102"/>
        <v>2014</v>
      </c>
      <c r="K143" s="695">
        <f t="shared" si="102"/>
        <v>2015</v>
      </c>
      <c r="L143" s="695">
        <f t="shared" si="102"/>
        <v>2016</v>
      </c>
      <c r="M143" s="695">
        <f t="shared" si="102"/>
        <v>2017</v>
      </c>
      <c r="N143" s="695">
        <f t="shared" si="102"/>
        <v>2018</v>
      </c>
      <c r="O143" s="695">
        <f t="shared" si="102"/>
        <v>2019</v>
      </c>
      <c r="P143" s="695">
        <f t="shared" si="102"/>
        <v>2020</v>
      </c>
      <c r="Q143" s="695">
        <f t="shared" si="102"/>
        <v>2021</v>
      </c>
      <c r="R143" s="695">
        <f t="shared" si="102"/>
        <v>2022</v>
      </c>
      <c r="S143" s="680"/>
      <c r="T143" s="695">
        <f t="shared" ref="T143:AG143" si="103">T131</f>
        <v>2009</v>
      </c>
      <c r="U143" s="695">
        <f t="shared" si="103"/>
        <v>2010</v>
      </c>
      <c r="V143" s="695">
        <f t="shared" si="103"/>
        <v>2011</v>
      </c>
      <c r="W143" s="695">
        <f t="shared" si="103"/>
        <v>2012</v>
      </c>
      <c r="X143" s="695">
        <f t="shared" si="103"/>
        <v>2013</v>
      </c>
      <c r="Y143" s="695">
        <f t="shared" si="103"/>
        <v>2014</v>
      </c>
      <c r="Z143" s="695">
        <f t="shared" si="103"/>
        <v>2015</v>
      </c>
      <c r="AA143" s="695">
        <f t="shared" si="103"/>
        <v>2016</v>
      </c>
      <c r="AB143" s="695">
        <f t="shared" si="103"/>
        <v>2017</v>
      </c>
      <c r="AC143" s="695">
        <f t="shared" si="103"/>
        <v>2018</v>
      </c>
      <c r="AD143" s="695">
        <f t="shared" si="103"/>
        <v>2019</v>
      </c>
      <c r="AE143" s="695">
        <f t="shared" si="103"/>
        <v>2020</v>
      </c>
      <c r="AF143" s="695">
        <f t="shared" si="103"/>
        <v>2021</v>
      </c>
      <c r="AG143" s="695">
        <f t="shared" si="103"/>
        <v>2022</v>
      </c>
      <c r="AI143" s="696" t="str">
        <f>B141</f>
        <v>Option Year 11</v>
      </c>
      <c r="AJ143" s="28"/>
      <c r="AK143" s="28"/>
      <c r="AP143" s="387" t="str">
        <f t="shared" si="101"/>
        <v>1</v>
      </c>
    </row>
    <row r="144" spans="1:42">
      <c r="A144" s="6" t="str">
        <f>A141</f>
        <v>Option Year 11</v>
      </c>
      <c r="B144" s="6" t="str">
        <f t="shared" ref="B144:B151" si="104">B132</f>
        <v>PRB</v>
      </c>
      <c r="E144" s="698">
        <f>IF(E143="",0,INDEX(Input_Range,MATCH((C7&amp;B144),Input_Call,0),MATCH(E143,Input_Header,0)))</f>
        <v>0.31240000000000001</v>
      </c>
      <c r="F144" s="698">
        <f>IF(F143="",0,INDEX(Input_Range,MATCH((C7&amp;B144),Input_Call,0),MATCH(F143,Input_Header,0)))</f>
        <v>0.31240000000000001</v>
      </c>
      <c r="G144" s="698">
        <f>IF(G143="",0,INDEX(Input_Range,MATCH((C7&amp;B144),Input_Call,0),MATCH(G143,Input_Header,0)))</f>
        <v>0.31240000000000001</v>
      </c>
      <c r="H144" s="698">
        <f>IF(H143="",0,INDEX(Input_Range,MATCH((C7&amp;B144),Input_Call,0),MATCH(H143,Input_Header,0)))</f>
        <v>0.31240000000000001</v>
      </c>
      <c r="I144" s="698">
        <f>IF(I143="",0,INDEX(Input_Range,MATCH((C7&amp;B144),Input_Call,0),MATCH(I143,Input_Header,0)))</f>
        <v>0.31240000000000001</v>
      </c>
      <c r="J144" s="698">
        <f>IF(J143="",0,INDEX(Input_Range,MATCH((C7&amp;B144),Input_Call,0),MATCH(J143,Input_Header,0)))</f>
        <v>0.31240000000000001</v>
      </c>
      <c r="K144" s="698">
        <f>IF(K143="",0,INDEX(Input_Range,MATCH((C7&amp;B144),Input_Call,0),MATCH(K143,Input_Header,0)))</f>
        <v>0.31240000000000001</v>
      </c>
      <c r="L144" s="698">
        <f>IF(L143="",0,INDEX(Input_Range,MATCH((C7&amp;B144),Input_Call,0),MATCH(L143,Input_Header,0)))</f>
        <v>0.31240000000000001</v>
      </c>
      <c r="M144" s="698">
        <f>IF(M143="",0,INDEX(Input_Range,MATCH((C7&amp;B144),Input_Call,0),MATCH(M143,Input_Header,0)))</f>
        <v>0.31240000000000001</v>
      </c>
      <c r="N144" s="698">
        <f>IF(N143="",0,INDEX(Input_Range,MATCH((C7&amp;B144),Input_Call,0),MATCH(N143,Input_Header,0)))</f>
        <v>0.31240000000000001</v>
      </c>
      <c r="O144" s="698">
        <f>IF(O143="",0,INDEX(Input_Range,MATCH((C7&amp;B144),Input_Call,0),MATCH(O143,Input_Header,0)))</f>
        <v>0.31240000000000001</v>
      </c>
      <c r="P144" s="698">
        <f>IF(P143="",0,INDEX(Input_Range,MATCH((C7&amp;B144),Input_Call,0),MATCH(P143,Input_Header,0)))</f>
        <v>0.31240000000000001</v>
      </c>
      <c r="Q144" s="698">
        <f>IF(Q143="",0,INDEX(Input_Range,MATCH((C7&amp;B144),Input_Call,0),MATCH(Q143,Input_Header,0)))</f>
        <v>0.31240000000000001</v>
      </c>
      <c r="R144" s="698">
        <f>Q144</f>
        <v>0.31240000000000001</v>
      </c>
      <c r="T144" s="699">
        <f t="shared" ref="T144:AG144" si="105">ROUND((MAX(0,(MIN($C143,DATE(T143,12,31))-MAX($B143,DATE(T143,1,1))+1)))/30.41667,0)</f>
        <v>0</v>
      </c>
      <c r="U144" s="699">
        <f t="shared" si="105"/>
        <v>0</v>
      </c>
      <c r="V144" s="699">
        <f t="shared" si="105"/>
        <v>0</v>
      </c>
      <c r="W144" s="699">
        <f t="shared" si="105"/>
        <v>0</v>
      </c>
      <c r="X144" s="699">
        <f t="shared" si="105"/>
        <v>0</v>
      </c>
      <c r="Y144" s="699">
        <f t="shared" si="105"/>
        <v>0</v>
      </c>
      <c r="Z144" s="699">
        <f t="shared" si="105"/>
        <v>0</v>
      </c>
      <c r="AA144" s="699">
        <f t="shared" si="105"/>
        <v>0</v>
      </c>
      <c r="AB144" s="699">
        <f t="shared" si="105"/>
        <v>0</v>
      </c>
      <c r="AC144" s="699">
        <f t="shared" si="105"/>
        <v>0</v>
      </c>
      <c r="AD144" s="699">
        <f t="shared" si="105"/>
        <v>0</v>
      </c>
      <c r="AE144" s="699">
        <f t="shared" si="105"/>
        <v>0</v>
      </c>
      <c r="AF144" s="699">
        <f t="shared" si="105"/>
        <v>0</v>
      </c>
      <c r="AG144" s="699">
        <f t="shared" si="105"/>
        <v>0</v>
      </c>
      <c r="AI144" s="698" t="e">
        <f t="shared" ref="AI144:AI151" si="106">ROUND(SUMPRODUCT(E144:R144,T144:AG144)/SUM(T144:AG144),4)</f>
        <v>#DIV/0!</v>
      </c>
      <c r="AJ144" s="698"/>
      <c r="AK144" s="698"/>
      <c r="AL144" s="4" t="str">
        <f>$A144&amp;$C7&amp;InputSheet!C$41&amp;InputSheet!D$41</f>
        <v>Option Year 11ISPRBContr/Govt</v>
      </c>
      <c r="AM144" s="700" t="e">
        <f t="shared" ref="AM144:AM151" si="107">AI144</f>
        <v>#DIV/0!</v>
      </c>
      <c r="AP144" s="387" t="e">
        <f t="shared" si="101"/>
        <v>#DIV/0!</v>
      </c>
    </row>
    <row r="145" spans="1:42">
      <c r="A145" s="6" t="str">
        <f t="shared" ref="A145:A151" si="108">A144</f>
        <v>Option Year 11</v>
      </c>
      <c r="B145" s="6" t="str">
        <f t="shared" si="104"/>
        <v>Overhead - Offsite</v>
      </c>
      <c r="E145" s="698">
        <f>IF(E143="",0,INDEX(Input_Range,MATCH((C7&amp;B145),Input_Call,0),MATCH(E143,Input_Header,0)))</f>
        <v>0.1988</v>
      </c>
      <c r="F145" s="698">
        <f>IF(F143="",0,INDEX(Input_Range,MATCH((C7&amp;B145),Input_Call,0),MATCH(F143,Input_Header,0)))</f>
        <v>0.1988</v>
      </c>
      <c r="G145" s="698">
        <f>IF(G143="",0,INDEX(Input_Range,MATCH((C7&amp;B145),Input_Call,0),MATCH(G143,Input_Header,0)))</f>
        <v>0.1988</v>
      </c>
      <c r="H145" s="698">
        <f>IF(H143="",0,INDEX(Input_Range,MATCH((C7&amp;B145),Input_Call,0),MATCH(H143,Input_Header,0)))</f>
        <v>0.1988</v>
      </c>
      <c r="I145" s="698">
        <f>IF(I143="",0,INDEX(Input_Range,MATCH((C7&amp;B145),Input_Call,0),MATCH(I143,Input_Header,0)))</f>
        <v>0.1988</v>
      </c>
      <c r="J145" s="698">
        <f>IF(J143="",0,INDEX(Input_Range,MATCH((C7&amp;B145),Input_Call,0),MATCH(J143,Input_Header,0)))</f>
        <v>0.1988</v>
      </c>
      <c r="K145" s="698">
        <f>IF(K143="",0,INDEX(Input_Range,MATCH((C7&amp;B145),Input_Call,0),MATCH(K143,Input_Header,0)))</f>
        <v>0.1988</v>
      </c>
      <c r="L145" s="698">
        <f>IF(L143="",0,INDEX(Input_Range,MATCH((C7&amp;B145),Input_Call,0),MATCH(L143,Input_Header,0)))</f>
        <v>0.1988</v>
      </c>
      <c r="M145" s="698">
        <f>IF(M143="",0,INDEX(Input_Range,MATCH((C7&amp;B145),Input_Call,0),MATCH(M143,Input_Header,0)))</f>
        <v>0.1988</v>
      </c>
      <c r="N145" s="698">
        <f>IF(N143="",0,INDEX(Input_Range,MATCH((C7&amp;B145),Input_Call,0),MATCH(N143,Input_Header,0)))</f>
        <v>0.1988</v>
      </c>
      <c r="O145" s="698">
        <f>IF(O143="",0,INDEX(Input_Range,MATCH((C7&amp;B145),Input_Call,0),MATCH(O143,Input_Header,0)))</f>
        <v>0.1988</v>
      </c>
      <c r="P145" s="698">
        <f>IF(P143="",0,INDEX(Input_Range,MATCH((C7&amp;B145),Input_Call,0),MATCH(P143,Input_Header,0)))</f>
        <v>0.1988</v>
      </c>
      <c r="Q145" s="698">
        <f>IF(Q143="",0,INDEX(Input_Range,MATCH((C7&amp;B145),Input_Call,0),MATCH(Q143,Input_Header,0)))</f>
        <v>0.1988</v>
      </c>
      <c r="R145" s="698">
        <f t="shared" ref="R145:R151" si="109">Q145</f>
        <v>0.1988</v>
      </c>
      <c r="T145" s="699">
        <f t="shared" ref="T145:AG151" si="110">T144</f>
        <v>0</v>
      </c>
      <c r="U145" s="699">
        <f t="shared" si="110"/>
        <v>0</v>
      </c>
      <c r="V145" s="699">
        <f t="shared" si="110"/>
        <v>0</v>
      </c>
      <c r="W145" s="699">
        <f t="shared" si="110"/>
        <v>0</v>
      </c>
      <c r="X145" s="699">
        <f t="shared" si="110"/>
        <v>0</v>
      </c>
      <c r="Y145" s="699">
        <f t="shared" si="110"/>
        <v>0</v>
      </c>
      <c r="Z145" s="699">
        <f t="shared" si="110"/>
        <v>0</v>
      </c>
      <c r="AA145" s="699">
        <f t="shared" si="110"/>
        <v>0</v>
      </c>
      <c r="AB145" s="699">
        <f t="shared" si="110"/>
        <v>0</v>
      </c>
      <c r="AC145" s="699">
        <f t="shared" si="110"/>
        <v>0</v>
      </c>
      <c r="AD145" s="699">
        <f t="shared" si="110"/>
        <v>0</v>
      </c>
      <c r="AE145" s="699">
        <f t="shared" si="110"/>
        <v>0</v>
      </c>
      <c r="AF145" s="699">
        <f t="shared" si="110"/>
        <v>0</v>
      </c>
      <c r="AG145" s="699">
        <f t="shared" si="110"/>
        <v>0</v>
      </c>
      <c r="AI145" s="698" t="e">
        <f t="shared" si="106"/>
        <v>#DIV/0!</v>
      </c>
      <c r="AJ145" s="698"/>
      <c r="AK145" s="698"/>
      <c r="AL145" s="4" t="str">
        <f>$A145&amp;$C7&amp;InputSheet!C$42&amp;InputSheet!D$42</f>
        <v>Option Year 11ISOverheadContr</v>
      </c>
      <c r="AM145" s="700" t="e">
        <f t="shared" si="107"/>
        <v>#DIV/0!</v>
      </c>
      <c r="AP145" s="387" t="e">
        <f t="shared" si="101"/>
        <v>#DIV/0!</v>
      </c>
    </row>
    <row r="146" spans="1:42">
      <c r="A146" s="6" t="str">
        <f t="shared" si="108"/>
        <v>Option Year 11</v>
      </c>
      <c r="B146" s="6" t="str">
        <f t="shared" si="104"/>
        <v>Overhead - Onsite</v>
      </c>
      <c r="E146" s="698">
        <f>IF(E143="",0,INDEX(Input_Range,MATCH((C7&amp;B146),Input_Call,0),MATCH(E143,Input_Header,0)))</f>
        <v>2.23E-2</v>
      </c>
      <c r="F146" s="698">
        <f>IF(F143="",0,INDEX(Input_Range,MATCH((C7&amp;B146),Input_Call,0),MATCH(F143,Input_Header,0)))</f>
        <v>2.23E-2</v>
      </c>
      <c r="G146" s="698">
        <f>IF(G143="",0,INDEX(Input_Range,MATCH((C7&amp;B146),Input_Call,0),MATCH(G143,Input_Header,0)))</f>
        <v>2.23E-2</v>
      </c>
      <c r="H146" s="698">
        <f>IF(H143="",0,INDEX(Input_Range,MATCH((C7&amp;B146),Input_Call,0),MATCH(H143,Input_Header,0)))</f>
        <v>2.23E-2</v>
      </c>
      <c r="I146" s="698">
        <f>IF(I143="",0,INDEX(Input_Range,MATCH((C7&amp;B146),Input_Call,0),MATCH(I143,Input_Header,0)))</f>
        <v>2.23E-2</v>
      </c>
      <c r="J146" s="698">
        <f>IF(J143="",0,INDEX(Input_Range,MATCH((C7&amp;B146),Input_Call,0),MATCH(J143,Input_Header,0)))</f>
        <v>2.23E-2</v>
      </c>
      <c r="K146" s="698">
        <f>IF(K143="",0,INDEX(Input_Range,MATCH((C7&amp;B146),Input_Call,0),MATCH(K143,Input_Header,0)))</f>
        <v>2.23E-2</v>
      </c>
      <c r="L146" s="698">
        <f>IF(L143="",0,INDEX(Input_Range,MATCH((C7&amp;B146),Input_Call,0),MATCH(L143,Input_Header,0)))</f>
        <v>2.23E-2</v>
      </c>
      <c r="M146" s="698">
        <f>IF(M143="",0,INDEX(Input_Range,MATCH((C7&amp;B146),Input_Call,0),MATCH(M143,Input_Header,0)))</f>
        <v>2.23E-2</v>
      </c>
      <c r="N146" s="698">
        <f>IF(N143="",0,INDEX(Input_Range,MATCH((C7&amp;B146),Input_Call,0),MATCH(N143,Input_Header,0)))</f>
        <v>2.23E-2</v>
      </c>
      <c r="O146" s="698">
        <f>IF(O143="",0,INDEX(Input_Range,MATCH((C7&amp;B146),Input_Call,0),MATCH(O143,Input_Header,0)))</f>
        <v>2.23E-2</v>
      </c>
      <c r="P146" s="698">
        <f>IF(P143="",0,INDEX(Input_Range,MATCH((C7&amp;B146),Input_Call,0),MATCH(P143,Input_Header,0)))</f>
        <v>2.23E-2</v>
      </c>
      <c r="Q146" s="698">
        <f>IF(Q143="",0,INDEX(Input_Range,MATCH((C7&amp;B146),Input_Call,0),MATCH(Q143,Input_Header,0)))</f>
        <v>2.23E-2</v>
      </c>
      <c r="R146" s="698">
        <f t="shared" si="109"/>
        <v>2.23E-2</v>
      </c>
      <c r="T146" s="699">
        <f t="shared" si="110"/>
        <v>0</v>
      </c>
      <c r="U146" s="699">
        <f t="shared" si="110"/>
        <v>0</v>
      </c>
      <c r="V146" s="699">
        <f t="shared" si="110"/>
        <v>0</v>
      </c>
      <c r="W146" s="699">
        <f t="shared" si="110"/>
        <v>0</v>
      </c>
      <c r="X146" s="699">
        <f t="shared" si="110"/>
        <v>0</v>
      </c>
      <c r="Y146" s="699">
        <f t="shared" si="110"/>
        <v>0</v>
      </c>
      <c r="Z146" s="699">
        <f t="shared" si="110"/>
        <v>0</v>
      </c>
      <c r="AA146" s="699">
        <f t="shared" si="110"/>
        <v>0</v>
      </c>
      <c r="AB146" s="699">
        <f t="shared" si="110"/>
        <v>0</v>
      </c>
      <c r="AC146" s="699">
        <f t="shared" si="110"/>
        <v>0</v>
      </c>
      <c r="AD146" s="699">
        <f t="shared" si="110"/>
        <v>0</v>
      </c>
      <c r="AE146" s="699">
        <f t="shared" si="110"/>
        <v>0</v>
      </c>
      <c r="AF146" s="699">
        <f t="shared" si="110"/>
        <v>0</v>
      </c>
      <c r="AG146" s="699">
        <f t="shared" si="110"/>
        <v>0</v>
      </c>
      <c r="AI146" s="698" t="e">
        <f t="shared" si="106"/>
        <v>#DIV/0!</v>
      </c>
      <c r="AJ146" s="698"/>
      <c r="AK146" s="698"/>
      <c r="AL146" s="4" t="str">
        <f>$A146&amp;$C7&amp;InputSheet!C$43&amp;InputSheet!D$43</f>
        <v>Option Year 11ISOverheadGovt</v>
      </c>
      <c r="AM146" s="700" t="e">
        <f t="shared" si="107"/>
        <v>#DIV/0!</v>
      </c>
      <c r="AP146" s="387" t="e">
        <f t="shared" si="101"/>
        <v>#DIV/0!</v>
      </c>
    </row>
    <row r="147" spans="1:42">
      <c r="A147" s="6" t="str">
        <f t="shared" si="108"/>
        <v>Option Year 11</v>
      </c>
      <c r="B147" s="6" t="str">
        <f t="shared" si="104"/>
        <v>Material Handling</v>
      </c>
      <c r="E147" s="698">
        <f>IF(E143="",0,INDEX(Input_Range,MATCH((C7&amp;B147),Input_Call,0),MATCH(E143,Input_Header,0)))</f>
        <v>3.1699999999999999E-2</v>
      </c>
      <c r="F147" s="698">
        <f>IF(F143="",0,INDEX(Input_Range,MATCH((C7&amp;B147),Input_Call,0),MATCH(F143,Input_Header,0)))</f>
        <v>3.0700000000000002E-2</v>
      </c>
      <c r="G147" s="698">
        <f>IF(G143="",0,INDEX(Input_Range,MATCH((C7&amp;B147),Input_Call,0),MATCH(G143,Input_Header,0)))</f>
        <v>2.9700000000000001E-2</v>
      </c>
      <c r="H147" s="698">
        <f>IF(H143="",0,INDEX(Input_Range,MATCH((C7&amp;B147),Input_Call,0),MATCH(H143,Input_Header,0)))</f>
        <v>2.8799999999999999E-2</v>
      </c>
      <c r="I147" s="698">
        <f>IF(I143="",0,INDEX(Input_Range,MATCH((C7&amp;B147),Input_Call,0),MATCH(I143,Input_Header,0)))</f>
        <v>2.8000000000000001E-2</v>
      </c>
      <c r="J147" s="698">
        <f>IF(J143="",0,INDEX(Input_Range,MATCH((C7&amp;B147),Input_Call,0),MATCH(J143,Input_Header,0)))</f>
        <v>2.8000000000000001E-2</v>
      </c>
      <c r="K147" s="698">
        <f>IF(K143="",0,INDEX(Input_Range,MATCH((C7&amp;B147),Input_Call,0),MATCH(K143,Input_Header,0)))</f>
        <v>2.8000000000000001E-2</v>
      </c>
      <c r="L147" s="698">
        <f>IF(L143="",0,INDEX(Input_Range,MATCH((C7&amp;B147),Input_Call,0),MATCH(L143,Input_Header,0)))</f>
        <v>2.8000000000000001E-2</v>
      </c>
      <c r="M147" s="698">
        <f>IF(M143="",0,INDEX(Input_Range,MATCH((C7&amp;B147),Input_Call,0),MATCH(M143,Input_Header,0)))</f>
        <v>2.8000000000000001E-2</v>
      </c>
      <c r="N147" s="698">
        <f>IF(N143="",0,INDEX(Input_Range,MATCH((C7&amp;B147),Input_Call,0),MATCH(N143,Input_Header,0)))</f>
        <v>2.8000000000000001E-2</v>
      </c>
      <c r="O147" s="698">
        <f>IF(O143="",0,INDEX(Input_Range,MATCH((C7&amp;B147),Input_Call,0),MATCH(O143,Input_Header,0)))</f>
        <v>2.8000000000000001E-2</v>
      </c>
      <c r="P147" s="698">
        <f>IF(P143="",0,INDEX(Input_Range,MATCH((C7&amp;B147),Input_Call,0),MATCH(P143,Input_Header,0)))</f>
        <v>2.8000000000000001E-2</v>
      </c>
      <c r="Q147" s="698">
        <f>IF(Q143="",0,INDEX(Input_Range,MATCH((C7&amp;B147),Input_Call,0),MATCH(Q143,Input_Header,0)))</f>
        <v>2.8000000000000001E-2</v>
      </c>
      <c r="R147" s="698">
        <f t="shared" si="109"/>
        <v>2.8000000000000001E-2</v>
      </c>
      <c r="T147" s="699">
        <f t="shared" si="110"/>
        <v>0</v>
      </c>
      <c r="U147" s="699">
        <f t="shared" si="110"/>
        <v>0</v>
      </c>
      <c r="V147" s="699">
        <f t="shared" si="110"/>
        <v>0</v>
      </c>
      <c r="W147" s="699">
        <f t="shared" si="110"/>
        <v>0</v>
      </c>
      <c r="X147" s="699">
        <f t="shared" si="110"/>
        <v>0</v>
      </c>
      <c r="Y147" s="699">
        <f t="shared" si="110"/>
        <v>0</v>
      </c>
      <c r="Z147" s="699">
        <f t="shared" si="110"/>
        <v>0</v>
      </c>
      <c r="AA147" s="699">
        <f t="shared" si="110"/>
        <v>0</v>
      </c>
      <c r="AB147" s="699">
        <f t="shared" si="110"/>
        <v>0</v>
      </c>
      <c r="AC147" s="699">
        <f t="shared" si="110"/>
        <v>0</v>
      </c>
      <c r="AD147" s="699">
        <f t="shared" si="110"/>
        <v>0</v>
      </c>
      <c r="AE147" s="699">
        <f t="shared" si="110"/>
        <v>0</v>
      </c>
      <c r="AF147" s="699">
        <f t="shared" si="110"/>
        <v>0</v>
      </c>
      <c r="AG147" s="699">
        <f t="shared" si="110"/>
        <v>0</v>
      </c>
      <c r="AI147" s="698" t="e">
        <f t="shared" si="106"/>
        <v>#DIV/0!</v>
      </c>
      <c r="AJ147" s="698"/>
      <c r="AK147" s="698"/>
      <c r="AL147" s="4" t="str">
        <f>$A147&amp;$C7&amp;InputSheet!C$44&amp;InputSheet!D$44</f>
        <v>Option Year 11ISMHContr/Govt</v>
      </c>
      <c r="AM147" s="700" t="e">
        <f t="shared" si="107"/>
        <v>#DIV/0!</v>
      </c>
      <c r="AP147" s="387" t="e">
        <f t="shared" si="101"/>
        <v>#DIV/0!</v>
      </c>
    </row>
    <row r="148" spans="1:42">
      <c r="A148" s="6" t="str">
        <f t="shared" si="108"/>
        <v>Option Year 11</v>
      </c>
      <c r="B148" s="6" t="str">
        <f t="shared" si="104"/>
        <v>G&amp;A</v>
      </c>
      <c r="E148" s="698">
        <f>IF(E143="",0,INDEX(Input_Range,MATCH((C7&amp;B148),Input_Call,0),MATCH(E143,Input_Header,0)))</f>
        <v>9.7500000000000003E-2</v>
      </c>
      <c r="F148" s="698">
        <f>IF(F143="",0,INDEX(Input_Range,MATCH((C7&amp;B148),Input_Call,0),MATCH(F143,Input_Header,0)))</f>
        <v>9.4700000000000006E-2</v>
      </c>
      <c r="G148" s="698">
        <f>IF(G143="",0,INDEX(Input_Range,MATCH((C7&amp;B148),Input_Call,0),MATCH(G143,Input_Header,0)))</f>
        <v>9.1999999999999998E-2</v>
      </c>
      <c r="H148" s="698">
        <f>IF(H143="",0,INDEX(Input_Range,MATCH((C7&amp;B148),Input_Call,0),MATCH(H143,Input_Header,0)))</f>
        <v>8.9499999999999996E-2</v>
      </c>
      <c r="I148" s="698">
        <f>IF(I143="",0,INDEX(Input_Range,MATCH((C7&amp;B148),Input_Call,0),MATCH(I143,Input_Header,0)))</f>
        <v>8.7099999999999997E-2</v>
      </c>
      <c r="J148" s="698">
        <f>IF(J143="",0,INDEX(Input_Range,MATCH((C7&amp;B148),Input_Call,0),MATCH(J143,Input_Header,0)))</f>
        <v>8.7099999999999997E-2</v>
      </c>
      <c r="K148" s="698">
        <f>IF(K143="",0,INDEX(Input_Range,MATCH((C7&amp;B148),Input_Call,0),MATCH(K143,Input_Header,0)))</f>
        <v>8.7099999999999997E-2</v>
      </c>
      <c r="L148" s="698">
        <f>IF(L143="",0,INDEX(Input_Range,MATCH((C7&amp;B148),Input_Call,0),MATCH(L143,Input_Header,0)))</f>
        <v>8.7099999999999997E-2</v>
      </c>
      <c r="M148" s="698">
        <f>IF(M143="",0,INDEX(Input_Range,MATCH((C7&amp;B148),Input_Call,0),MATCH(M143,Input_Header,0)))</f>
        <v>8.7099999999999997E-2</v>
      </c>
      <c r="N148" s="698">
        <f>IF(N143="",0,INDEX(Input_Range,MATCH((C7&amp;B148),Input_Call,0),MATCH(N143,Input_Header,0)))</f>
        <v>8.7099999999999997E-2</v>
      </c>
      <c r="O148" s="698">
        <f>IF(O143="",0,INDEX(Input_Range,MATCH((C7&amp;B148),Input_Call,0),MATCH(O143,Input_Header,0)))</f>
        <v>8.7099999999999997E-2</v>
      </c>
      <c r="P148" s="698">
        <f>IF(P143="",0,INDEX(Input_Range,MATCH((C7&amp;B148),Input_Call,0),MATCH(P143,Input_Header,0)))</f>
        <v>8.7099999999999997E-2</v>
      </c>
      <c r="Q148" s="698">
        <f>IF(Q143="",0,INDEX(Input_Range,MATCH((C7&amp;B148),Input_Call,0),MATCH(Q143,Input_Header,0)))</f>
        <v>8.7099999999999997E-2</v>
      </c>
      <c r="R148" s="698">
        <f t="shared" si="109"/>
        <v>8.7099999999999997E-2</v>
      </c>
      <c r="T148" s="699">
        <f t="shared" si="110"/>
        <v>0</v>
      </c>
      <c r="U148" s="699">
        <f t="shared" si="110"/>
        <v>0</v>
      </c>
      <c r="V148" s="699">
        <f t="shared" si="110"/>
        <v>0</v>
      </c>
      <c r="W148" s="699">
        <f t="shared" si="110"/>
        <v>0</v>
      </c>
      <c r="X148" s="699">
        <f t="shared" si="110"/>
        <v>0</v>
      </c>
      <c r="Y148" s="699">
        <f t="shared" si="110"/>
        <v>0</v>
      </c>
      <c r="Z148" s="699">
        <f t="shared" si="110"/>
        <v>0</v>
      </c>
      <c r="AA148" s="699">
        <f t="shared" si="110"/>
        <v>0</v>
      </c>
      <c r="AB148" s="699">
        <f t="shared" si="110"/>
        <v>0</v>
      </c>
      <c r="AC148" s="699">
        <f t="shared" si="110"/>
        <v>0</v>
      </c>
      <c r="AD148" s="699">
        <f t="shared" si="110"/>
        <v>0</v>
      </c>
      <c r="AE148" s="699">
        <f t="shared" si="110"/>
        <v>0</v>
      </c>
      <c r="AF148" s="699">
        <f t="shared" si="110"/>
        <v>0</v>
      </c>
      <c r="AG148" s="699">
        <f t="shared" si="110"/>
        <v>0</v>
      </c>
      <c r="AI148" s="698" t="e">
        <f t="shared" si="106"/>
        <v>#DIV/0!</v>
      </c>
      <c r="AJ148" s="698"/>
      <c r="AK148" s="698"/>
      <c r="AL148" s="4" t="str">
        <f>$A148&amp;$C7&amp;InputSheet!C$45&amp;InputSheet!D$45</f>
        <v>Option Year 11ISG&amp;AContr/Govt</v>
      </c>
      <c r="AM148" s="700" t="e">
        <f t="shared" si="107"/>
        <v>#DIV/0!</v>
      </c>
      <c r="AP148" s="387" t="e">
        <f t="shared" si="101"/>
        <v>#DIV/0!</v>
      </c>
    </row>
    <row r="149" spans="1:42" outlineLevel="1">
      <c r="A149" s="6" t="str">
        <f t="shared" si="108"/>
        <v>Option Year 11</v>
      </c>
      <c r="B149" s="6" t="str">
        <f t="shared" si="104"/>
        <v>TBD1</v>
      </c>
      <c r="E149" s="21">
        <f>IF(E143="",0,INDEX(Input_Range,MATCH((C7&amp;B149),Input_Call,0),MATCH(E143,Input_Header,0)))</f>
        <v>0</v>
      </c>
      <c r="F149" s="21">
        <f>IF(F143="",0,INDEX(Input_Range,MATCH((C7&amp;B149),Input_Call,0),MATCH(F143,Input_Header,0)))</f>
        <v>0</v>
      </c>
      <c r="G149" s="21">
        <f>IF(G143="",0,INDEX(Input_Range,MATCH((C7&amp;B149),Input_Call,0),MATCH(G143,Input_Header,0)))</f>
        <v>0</v>
      </c>
      <c r="H149" s="21">
        <f>IF(H143="",0,INDEX(Input_Range,MATCH((C7&amp;B149),Input_Call,0),MATCH(H143,Input_Header,0)))</f>
        <v>0</v>
      </c>
      <c r="I149" s="21">
        <f>IF(I143="",0,INDEX(Input_Range,MATCH((C7&amp;B149),Input_Call,0),MATCH(I143,Input_Header,0)))</f>
        <v>0</v>
      </c>
      <c r="J149" s="21">
        <f>IF(J143="",0,INDEX(Input_Range,MATCH((C7&amp;B149),Input_Call,0),MATCH(J143,Input_Header,0)))</f>
        <v>0</v>
      </c>
      <c r="K149" s="21">
        <f>IF(K143="",0,INDEX(Input_Range,MATCH((C7&amp;B149),Input_Call,0),MATCH(K143,Input_Header,0)))</f>
        <v>0</v>
      </c>
      <c r="L149" s="21">
        <f>IF(L143="",0,INDEX(Input_Range,MATCH((C7&amp;B149),Input_Call,0),MATCH(L143,Input_Header,0)))</f>
        <v>0</v>
      </c>
      <c r="M149" s="21">
        <f>IF(M143="",0,INDEX(Input_Range,MATCH((C7&amp;B149),Input_Call,0),MATCH(M143,Input_Header,0)))</f>
        <v>0</v>
      </c>
      <c r="N149" s="21">
        <f>IF(N143="",0,INDEX(Input_Range,MATCH((C7&amp;B149),Input_Call,0),MATCH(N143,Input_Header,0)))</f>
        <v>0</v>
      </c>
      <c r="O149" s="21">
        <f>IF(O143="",0,INDEX(Input_Range,MATCH((C7&amp;B149),Input_Call,0),MATCH(O143,Input_Header,0)))</f>
        <v>0</v>
      </c>
      <c r="P149" s="21">
        <f>IF(P143="",0,INDEX(Input_Range,MATCH((C7&amp;B149),Input_Call,0),MATCH(P143,Input_Header,0)))</f>
        <v>0</v>
      </c>
      <c r="Q149" s="21">
        <f>IF(Q143="",0,INDEX(Input_Range,MATCH((C7&amp;B149),Input_Call,0),MATCH(Q143,Input_Header,0)))</f>
        <v>0</v>
      </c>
      <c r="R149" s="698">
        <f t="shared" si="109"/>
        <v>0</v>
      </c>
      <c r="T149" s="699">
        <f t="shared" si="110"/>
        <v>0</v>
      </c>
      <c r="U149" s="699">
        <f t="shared" si="110"/>
        <v>0</v>
      </c>
      <c r="V149" s="699">
        <f t="shared" si="110"/>
        <v>0</v>
      </c>
      <c r="W149" s="699">
        <f t="shared" si="110"/>
        <v>0</v>
      </c>
      <c r="X149" s="699">
        <f t="shared" si="110"/>
        <v>0</v>
      </c>
      <c r="Y149" s="699">
        <f t="shared" si="110"/>
        <v>0</v>
      </c>
      <c r="Z149" s="699">
        <f t="shared" si="110"/>
        <v>0</v>
      </c>
      <c r="AA149" s="699">
        <f t="shared" si="110"/>
        <v>0</v>
      </c>
      <c r="AB149" s="699">
        <f t="shared" si="110"/>
        <v>0</v>
      </c>
      <c r="AC149" s="699">
        <f t="shared" si="110"/>
        <v>0</v>
      </c>
      <c r="AD149" s="699">
        <f t="shared" si="110"/>
        <v>0</v>
      </c>
      <c r="AE149" s="699">
        <f t="shared" si="110"/>
        <v>0</v>
      </c>
      <c r="AF149" s="699">
        <f t="shared" si="110"/>
        <v>0</v>
      </c>
      <c r="AG149" s="699">
        <f t="shared" si="110"/>
        <v>0</v>
      </c>
      <c r="AI149" s="698" t="e">
        <f t="shared" si="106"/>
        <v>#DIV/0!</v>
      </c>
      <c r="AJ149" s="21"/>
      <c r="AK149" s="21"/>
      <c r="AL149" s="4" t="str">
        <f>$A149&amp;$C7&amp;InputSheet!C$46&amp;InputSheet!D$46</f>
        <v>Option Year 11ISTBD1Contr/Govt</v>
      </c>
      <c r="AM149" s="700" t="e">
        <f t="shared" si="107"/>
        <v>#DIV/0!</v>
      </c>
      <c r="AP149" s="387" t="e">
        <f t="shared" si="101"/>
        <v>#DIV/0!</v>
      </c>
    </row>
    <row r="150" spans="1:42" outlineLevel="1">
      <c r="A150" s="6" t="str">
        <f t="shared" si="108"/>
        <v>Option Year 11</v>
      </c>
      <c r="B150" s="6" t="str">
        <f t="shared" si="104"/>
        <v>TBD2</v>
      </c>
      <c r="E150" s="21">
        <f>IF(E143="",0,INDEX(Input_Range,MATCH((C7&amp;B150),Input_Call,0),MATCH(E143,Input_Header,0)))</f>
        <v>0</v>
      </c>
      <c r="F150" s="21">
        <f>IF(F143="",0,INDEX(Input_Range,MATCH((C7&amp;B150),Input_Call,0),MATCH(F143,Input_Header,0)))</f>
        <v>0</v>
      </c>
      <c r="G150" s="21">
        <f>IF(G143="",0,INDEX(Input_Range,MATCH((C7&amp;B150),Input_Call,0),MATCH(G143,Input_Header,0)))</f>
        <v>0</v>
      </c>
      <c r="H150" s="21">
        <f>IF(H143="",0,INDEX(Input_Range,MATCH((C7&amp;B150),Input_Call,0),MATCH(H143,Input_Header,0)))</f>
        <v>0</v>
      </c>
      <c r="I150" s="21">
        <f>IF(I143="",0,INDEX(Input_Range,MATCH((C7&amp;B150),Input_Call,0),MATCH(I143,Input_Header,0)))</f>
        <v>0</v>
      </c>
      <c r="J150" s="21">
        <f>IF(J143="",0,INDEX(Input_Range,MATCH((C7&amp;B150),Input_Call,0),MATCH(J143,Input_Header,0)))</f>
        <v>0</v>
      </c>
      <c r="K150" s="21">
        <f>IF(K143="",0,INDEX(Input_Range,MATCH((C7&amp;B150),Input_Call,0),MATCH(K143,Input_Header,0)))</f>
        <v>0</v>
      </c>
      <c r="L150" s="21">
        <f>IF(L143="",0,INDEX(Input_Range,MATCH((C7&amp;B150),Input_Call,0),MATCH(L143,Input_Header,0)))</f>
        <v>0</v>
      </c>
      <c r="M150" s="21">
        <f>IF(M143="",0,INDEX(Input_Range,MATCH((C7&amp;B150),Input_Call,0),MATCH(M143,Input_Header,0)))</f>
        <v>0</v>
      </c>
      <c r="N150" s="21">
        <f>IF(N143="",0,INDEX(Input_Range,MATCH((C7&amp;B150),Input_Call,0),MATCH(N143,Input_Header,0)))</f>
        <v>0</v>
      </c>
      <c r="O150" s="21">
        <f>IF(O143="",0,INDEX(Input_Range,MATCH((C7&amp;B150),Input_Call,0),MATCH(O143,Input_Header,0)))</f>
        <v>0</v>
      </c>
      <c r="P150" s="21">
        <f>IF(P143="",0,INDEX(Input_Range,MATCH((C7&amp;B150),Input_Call,0),MATCH(P143,Input_Header,0)))</f>
        <v>0</v>
      </c>
      <c r="Q150" s="21">
        <f>IF(Q143="",0,INDEX(Input_Range,MATCH((C7&amp;B150),Input_Call,0),MATCH(Q143,Input_Header,0)))</f>
        <v>0</v>
      </c>
      <c r="R150" s="698">
        <f t="shared" si="109"/>
        <v>0</v>
      </c>
      <c r="T150" s="699">
        <f t="shared" si="110"/>
        <v>0</v>
      </c>
      <c r="U150" s="699">
        <f t="shared" si="110"/>
        <v>0</v>
      </c>
      <c r="V150" s="699">
        <f t="shared" si="110"/>
        <v>0</v>
      </c>
      <c r="W150" s="699">
        <f t="shared" si="110"/>
        <v>0</v>
      </c>
      <c r="X150" s="699">
        <f t="shared" si="110"/>
        <v>0</v>
      </c>
      <c r="Y150" s="699">
        <f t="shared" si="110"/>
        <v>0</v>
      </c>
      <c r="Z150" s="699">
        <f t="shared" si="110"/>
        <v>0</v>
      </c>
      <c r="AA150" s="699">
        <f t="shared" si="110"/>
        <v>0</v>
      </c>
      <c r="AB150" s="699">
        <f t="shared" si="110"/>
        <v>0</v>
      </c>
      <c r="AC150" s="699">
        <f t="shared" si="110"/>
        <v>0</v>
      </c>
      <c r="AD150" s="699">
        <f t="shared" si="110"/>
        <v>0</v>
      </c>
      <c r="AE150" s="699">
        <f t="shared" si="110"/>
        <v>0</v>
      </c>
      <c r="AF150" s="699">
        <f t="shared" si="110"/>
        <v>0</v>
      </c>
      <c r="AG150" s="699">
        <f t="shared" si="110"/>
        <v>0</v>
      </c>
      <c r="AI150" s="698" t="e">
        <f t="shared" si="106"/>
        <v>#DIV/0!</v>
      </c>
      <c r="AJ150" s="21"/>
      <c r="AK150" s="21"/>
      <c r="AL150" s="4" t="str">
        <f>$A150&amp;$C7&amp;InputSheet!C$47&amp;InputSheet!D$47</f>
        <v>Option Year 11ISTBD2Contr/Govt</v>
      </c>
      <c r="AM150" s="700" t="e">
        <f t="shared" si="107"/>
        <v>#DIV/0!</v>
      </c>
      <c r="AP150" s="387" t="e">
        <f t="shared" si="101"/>
        <v>#DIV/0!</v>
      </c>
    </row>
    <row r="151" spans="1:42" outlineLevel="1">
      <c r="A151" s="6" t="str">
        <f t="shared" si="108"/>
        <v>Option Year 11</v>
      </c>
      <c r="B151" s="6" t="str">
        <f t="shared" si="104"/>
        <v>TBD3</v>
      </c>
      <c r="E151" s="21">
        <f>IF(E143="",0,INDEX(Input_Range,MATCH((C7&amp;B151),Input_Call,0),MATCH(E143,Input_Header,0)))</f>
        <v>0</v>
      </c>
      <c r="F151" s="21">
        <f>IF(F143="",0,INDEX(Input_Range,MATCH((C7&amp;B151),Input_Call,0),MATCH(F143,Input_Header,0)))</f>
        <v>0</v>
      </c>
      <c r="G151" s="21">
        <f>IF(G143="",0,INDEX(Input_Range,MATCH((C7&amp;B151),Input_Call,0),MATCH(G143,Input_Header,0)))</f>
        <v>0</v>
      </c>
      <c r="H151" s="21">
        <f>IF(H143="",0,INDEX(Input_Range,MATCH((C7&amp;B151),Input_Call,0),MATCH(H143,Input_Header,0)))</f>
        <v>0</v>
      </c>
      <c r="I151" s="21">
        <f>IF(I143="",0,INDEX(Input_Range,MATCH((C7&amp;B151),Input_Call,0),MATCH(I143,Input_Header,0)))</f>
        <v>0</v>
      </c>
      <c r="J151" s="21">
        <f>IF(J143="",0,INDEX(Input_Range,MATCH((C7&amp;B151),Input_Call,0),MATCH(J143,Input_Header,0)))</f>
        <v>0</v>
      </c>
      <c r="K151" s="21">
        <f>IF(K143="",0,INDEX(Input_Range,MATCH((C7&amp;B151),Input_Call,0),MATCH(K143,Input_Header,0)))</f>
        <v>0</v>
      </c>
      <c r="L151" s="21">
        <f>IF(L143="",0,INDEX(Input_Range,MATCH((C7&amp;B151),Input_Call,0),MATCH(L143,Input_Header,0)))</f>
        <v>0</v>
      </c>
      <c r="M151" s="21">
        <f>IF(M143="",0,INDEX(Input_Range,MATCH((C7&amp;B151),Input_Call,0),MATCH(M143,Input_Header,0)))</f>
        <v>0</v>
      </c>
      <c r="N151" s="21">
        <f>IF(N143="",0,INDEX(Input_Range,MATCH((C7&amp;B151),Input_Call,0),MATCH(N143,Input_Header,0)))</f>
        <v>0</v>
      </c>
      <c r="O151" s="21">
        <f>IF(O143="",0,INDEX(Input_Range,MATCH((C7&amp;B151),Input_Call,0),MATCH(O143,Input_Header,0)))</f>
        <v>0</v>
      </c>
      <c r="P151" s="21">
        <f>IF(P143="",0,INDEX(Input_Range,MATCH((C7&amp;B151),Input_Call,0),MATCH(P143,Input_Header,0)))</f>
        <v>0</v>
      </c>
      <c r="Q151" s="21">
        <f>IF(Q143="",0,INDEX(Input_Range,MATCH((C7&amp;B151),Input_Call,0),MATCH(Q143,Input_Header,0)))</f>
        <v>0</v>
      </c>
      <c r="R151" s="698">
        <f t="shared" si="109"/>
        <v>0</v>
      </c>
      <c r="T151" s="699">
        <f t="shared" si="110"/>
        <v>0</v>
      </c>
      <c r="U151" s="699">
        <f t="shared" si="110"/>
        <v>0</v>
      </c>
      <c r="V151" s="699">
        <f t="shared" si="110"/>
        <v>0</v>
      </c>
      <c r="W151" s="699">
        <f t="shared" si="110"/>
        <v>0</v>
      </c>
      <c r="X151" s="699">
        <f t="shared" si="110"/>
        <v>0</v>
      </c>
      <c r="Y151" s="699">
        <f t="shared" si="110"/>
        <v>0</v>
      </c>
      <c r="Z151" s="699">
        <f t="shared" si="110"/>
        <v>0</v>
      </c>
      <c r="AA151" s="699">
        <f t="shared" si="110"/>
        <v>0</v>
      </c>
      <c r="AB151" s="699">
        <f t="shared" si="110"/>
        <v>0</v>
      </c>
      <c r="AC151" s="699">
        <f t="shared" si="110"/>
        <v>0</v>
      </c>
      <c r="AD151" s="699">
        <f t="shared" si="110"/>
        <v>0</v>
      </c>
      <c r="AE151" s="699">
        <f t="shared" si="110"/>
        <v>0</v>
      </c>
      <c r="AF151" s="699">
        <f t="shared" si="110"/>
        <v>0</v>
      </c>
      <c r="AG151" s="699">
        <f t="shared" si="110"/>
        <v>0</v>
      </c>
      <c r="AI151" s="698" t="e">
        <f t="shared" si="106"/>
        <v>#DIV/0!</v>
      </c>
      <c r="AJ151" s="21"/>
      <c r="AK151" s="21"/>
      <c r="AL151" s="4" t="str">
        <f>$A151&amp;$C7&amp;InputSheet!C$48&amp;InputSheet!D$48</f>
        <v>Option Year 11ISTBD3Contr/Govt</v>
      </c>
      <c r="AM151" s="700" t="e">
        <f t="shared" si="107"/>
        <v>#DIV/0!</v>
      </c>
      <c r="AP151" s="387" t="e">
        <f t="shared" si="101"/>
        <v>#DIV/0!</v>
      </c>
    </row>
    <row r="152" spans="1:42">
      <c r="E152" s="698"/>
      <c r="F152" s="698"/>
      <c r="G152" s="698"/>
      <c r="H152" s="698"/>
      <c r="I152" s="698"/>
      <c r="J152" s="698"/>
      <c r="K152" s="698"/>
      <c r="L152" s="698"/>
      <c r="M152" s="698"/>
      <c r="N152" s="698"/>
      <c r="O152" s="698"/>
      <c r="P152" s="698"/>
      <c r="Q152" s="698"/>
      <c r="R152" s="698"/>
      <c r="AI152" s="21"/>
      <c r="AJ152" s="21"/>
      <c r="AK152" s="21"/>
      <c r="AP152" s="387" t="str">
        <f t="shared" si="101"/>
        <v>1</v>
      </c>
    </row>
    <row r="153" spans="1:42">
      <c r="A153" s="530" t="str">
        <f>B153</f>
        <v>Option Year 12</v>
      </c>
      <c r="B153" s="691" t="str">
        <f>InputSheet!$C$34</f>
        <v>Option Year 12</v>
      </c>
      <c r="AP153" s="387" t="str">
        <f t="shared" si="101"/>
        <v>1</v>
      </c>
    </row>
    <row r="154" spans="1:42">
      <c r="B154" s="314" t="s">
        <v>587</v>
      </c>
      <c r="C154" s="692" t="s">
        <v>588</v>
      </c>
      <c r="E154" s="1216" t="str">
        <f>"Indirect Rates - "&amp;C$7</f>
        <v>Indirect Rates - IS</v>
      </c>
      <c r="F154" s="1216"/>
      <c r="G154" s="1216"/>
      <c r="H154" s="1216"/>
      <c r="I154" s="1216"/>
      <c r="J154" s="1216"/>
      <c r="K154" s="1216"/>
      <c r="L154" s="1216"/>
      <c r="M154" s="1216"/>
      <c r="N154" s="1216"/>
      <c r="O154" s="1216"/>
      <c r="P154" s="1216"/>
      <c r="Q154" s="1216"/>
      <c r="R154" s="1216"/>
      <c r="S154" s="844"/>
      <c r="T154" s="1217" t="s">
        <v>794</v>
      </c>
      <c r="U154" s="1217"/>
      <c r="V154" s="1217"/>
      <c r="W154" s="1217"/>
      <c r="X154" s="1217"/>
      <c r="Y154" s="1217"/>
      <c r="Z154" s="1217"/>
      <c r="AA154" s="1217"/>
      <c r="AB154" s="1217"/>
      <c r="AC154" s="1217"/>
      <c r="AD154" s="1217"/>
      <c r="AE154" s="1217"/>
      <c r="AF154" s="1217"/>
      <c r="AG154" s="1217"/>
      <c r="AI154" s="692" t="s">
        <v>615</v>
      </c>
      <c r="AJ154" s="50"/>
      <c r="AK154" s="50"/>
      <c r="AP154" s="387" t="str">
        <f t="shared" si="101"/>
        <v>1</v>
      </c>
    </row>
    <row r="155" spans="1:42">
      <c r="B155" s="693">
        <f>VLOOKUP(A153,InputSheet!$C$8:$E$37,2,FALSE)</f>
        <v>2558</v>
      </c>
      <c r="C155" s="694">
        <f>VLOOKUP(A153,InputSheet!$C$8:$E$37,3,FALSE)</f>
        <v>2922</v>
      </c>
      <c r="E155" s="695">
        <f t="shared" ref="E155:R155" si="111">E143</f>
        <v>2009</v>
      </c>
      <c r="F155" s="695">
        <f t="shared" si="111"/>
        <v>2010</v>
      </c>
      <c r="G155" s="695">
        <f t="shared" si="111"/>
        <v>2011</v>
      </c>
      <c r="H155" s="695">
        <f t="shared" si="111"/>
        <v>2012</v>
      </c>
      <c r="I155" s="695">
        <f t="shared" si="111"/>
        <v>2013</v>
      </c>
      <c r="J155" s="695">
        <f t="shared" si="111"/>
        <v>2014</v>
      </c>
      <c r="K155" s="695">
        <f t="shared" si="111"/>
        <v>2015</v>
      </c>
      <c r="L155" s="695">
        <f t="shared" si="111"/>
        <v>2016</v>
      </c>
      <c r="M155" s="695">
        <f t="shared" si="111"/>
        <v>2017</v>
      </c>
      <c r="N155" s="695">
        <f t="shared" si="111"/>
        <v>2018</v>
      </c>
      <c r="O155" s="695">
        <f t="shared" si="111"/>
        <v>2019</v>
      </c>
      <c r="P155" s="695">
        <f t="shared" si="111"/>
        <v>2020</v>
      </c>
      <c r="Q155" s="695">
        <f t="shared" si="111"/>
        <v>2021</v>
      </c>
      <c r="R155" s="695">
        <f t="shared" si="111"/>
        <v>2022</v>
      </c>
      <c r="S155" s="680"/>
      <c r="T155" s="695">
        <f t="shared" ref="T155:AG155" si="112">T143</f>
        <v>2009</v>
      </c>
      <c r="U155" s="695">
        <f t="shared" si="112"/>
        <v>2010</v>
      </c>
      <c r="V155" s="695">
        <f t="shared" si="112"/>
        <v>2011</v>
      </c>
      <c r="W155" s="695">
        <f t="shared" si="112"/>
        <v>2012</v>
      </c>
      <c r="X155" s="695">
        <f t="shared" si="112"/>
        <v>2013</v>
      </c>
      <c r="Y155" s="695">
        <f t="shared" si="112"/>
        <v>2014</v>
      </c>
      <c r="Z155" s="695">
        <f t="shared" si="112"/>
        <v>2015</v>
      </c>
      <c r="AA155" s="695">
        <f t="shared" si="112"/>
        <v>2016</v>
      </c>
      <c r="AB155" s="695">
        <f t="shared" si="112"/>
        <v>2017</v>
      </c>
      <c r="AC155" s="695">
        <f t="shared" si="112"/>
        <v>2018</v>
      </c>
      <c r="AD155" s="695">
        <f t="shared" si="112"/>
        <v>2019</v>
      </c>
      <c r="AE155" s="695">
        <f t="shared" si="112"/>
        <v>2020</v>
      </c>
      <c r="AF155" s="695">
        <f t="shared" si="112"/>
        <v>2021</v>
      </c>
      <c r="AG155" s="695">
        <f t="shared" si="112"/>
        <v>2022</v>
      </c>
      <c r="AI155" s="696" t="str">
        <f>B153</f>
        <v>Option Year 12</v>
      </c>
      <c r="AJ155" s="28"/>
      <c r="AK155" s="28"/>
      <c r="AP155" s="387" t="str">
        <f t="shared" si="101"/>
        <v>1</v>
      </c>
    </row>
    <row r="156" spans="1:42">
      <c r="A156" s="6" t="str">
        <f>A153</f>
        <v>Option Year 12</v>
      </c>
      <c r="B156" s="6" t="str">
        <f t="shared" ref="B156:B163" si="113">B144</f>
        <v>PRB</v>
      </c>
      <c r="E156" s="698">
        <f>IF(E155="",0,INDEX(Input_Range,MATCH((C7&amp;B156),Input_Call,0),MATCH(E155,Input_Header,0)))</f>
        <v>0.31240000000000001</v>
      </c>
      <c r="F156" s="698">
        <f>IF(F155="",0,INDEX(Input_Range,MATCH((C7&amp;B156),Input_Call,0),MATCH(F155,Input_Header,0)))</f>
        <v>0.31240000000000001</v>
      </c>
      <c r="G156" s="698">
        <f>IF(G155="",0,INDEX(Input_Range,MATCH((C7&amp;B156),Input_Call,0),MATCH(G155,Input_Header,0)))</f>
        <v>0.31240000000000001</v>
      </c>
      <c r="H156" s="698">
        <f>IF(H155="",0,INDEX(Input_Range,MATCH((C7&amp;B156),Input_Call,0),MATCH(H155,Input_Header,0)))</f>
        <v>0.31240000000000001</v>
      </c>
      <c r="I156" s="698">
        <f>IF(I155="",0,INDEX(Input_Range,MATCH((C7&amp;B156),Input_Call,0),MATCH(I155,Input_Header,0)))</f>
        <v>0.31240000000000001</v>
      </c>
      <c r="J156" s="698">
        <f>IF(J155="",0,INDEX(Input_Range,MATCH((C7&amp;B156),Input_Call,0),MATCH(J155,Input_Header,0)))</f>
        <v>0.31240000000000001</v>
      </c>
      <c r="K156" s="698">
        <f>IF(K155="",0,INDEX(Input_Range,MATCH((C7&amp;B156),Input_Call,0),MATCH(K155,Input_Header,0)))</f>
        <v>0.31240000000000001</v>
      </c>
      <c r="L156" s="698">
        <f>IF(L155="",0,INDEX(Input_Range,MATCH((C7&amp;B156),Input_Call,0),MATCH(L155,Input_Header,0)))</f>
        <v>0.31240000000000001</v>
      </c>
      <c r="M156" s="698">
        <f>IF(M155="",0,INDEX(Input_Range,MATCH((C7&amp;B156),Input_Call,0),MATCH(M155,Input_Header,0)))</f>
        <v>0.31240000000000001</v>
      </c>
      <c r="N156" s="698">
        <f>IF(N155="",0,INDEX(Input_Range,MATCH((C7&amp;B156),Input_Call,0),MATCH(N155,Input_Header,0)))</f>
        <v>0.31240000000000001</v>
      </c>
      <c r="O156" s="698">
        <f>IF(O155="",0,INDEX(Input_Range,MATCH((C7&amp;B156),Input_Call,0),MATCH(O155,Input_Header,0)))</f>
        <v>0.31240000000000001</v>
      </c>
      <c r="P156" s="698">
        <f>IF(P155="",0,INDEX(Input_Range,MATCH((C7&amp;B156),Input_Call,0),MATCH(P155,Input_Header,0)))</f>
        <v>0.31240000000000001</v>
      </c>
      <c r="Q156" s="698">
        <f>IF(Q155="",0,INDEX(Input_Range,MATCH((C7&amp;B156),Input_Call,0),MATCH(Q155,Input_Header,0)))</f>
        <v>0.31240000000000001</v>
      </c>
      <c r="R156" s="698">
        <f>Q156</f>
        <v>0.31240000000000001</v>
      </c>
      <c r="T156" s="699">
        <f t="shared" ref="T156:AG156" si="114">ROUND((MAX(0,(MIN($C155,DATE(T155,12,31))-MAX($B155,DATE(T155,1,1))+1)))/30.41667,0)</f>
        <v>0</v>
      </c>
      <c r="U156" s="699">
        <f t="shared" si="114"/>
        <v>0</v>
      </c>
      <c r="V156" s="699">
        <f t="shared" si="114"/>
        <v>0</v>
      </c>
      <c r="W156" s="699">
        <f t="shared" si="114"/>
        <v>0</v>
      </c>
      <c r="X156" s="699">
        <f t="shared" si="114"/>
        <v>0</v>
      </c>
      <c r="Y156" s="699">
        <f t="shared" si="114"/>
        <v>0</v>
      </c>
      <c r="Z156" s="699">
        <f t="shared" si="114"/>
        <v>0</v>
      </c>
      <c r="AA156" s="699">
        <f t="shared" si="114"/>
        <v>0</v>
      </c>
      <c r="AB156" s="699">
        <f t="shared" si="114"/>
        <v>0</v>
      </c>
      <c r="AC156" s="699">
        <f t="shared" si="114"/>
        <v>0</v>
      </c>
      <c r="AD156" s="699">
        <f t="shared" si="114"/>
        <v>0</v>
      </c>
      <c r="AE156" s="699">
        <f t="shared" si="114"/>
        <v>0</v>
      </c>
      <c r="AF156" s="699">
        <f t="shared" si="114"/>
        <v>0</v>
      </c>
      <c r="AG156" s="699">
        <f t="shared" si="114"/>
        <v>0</v>
      </c>
      <c r="AI156" s="698" t="e">
        <f t="shared" ref="AI156:AI163" si="115">ROUND(SUMPRODUCT(E156:R156,T156:AG156)/SUM(T156:AG156),4)</f>
        <v>#DIV/0!</v>
      </c>
      <c r="AJ156" s="698"/>
      <c r="AK156" s="698"/>
      <c r="AL156" s="4" t="str">
        <f>$A156&amp;$C7&amp;InputSheet!C$41&amp;InputSheet!D$41</f>
        <v>Option Year 12ISPRBContr/Govt</v>
      </c>
      <c r="AM156" s="700" t="e">
        <f t="shared" ref="AM156:AM163" si="116">AI156</f>
        <v>#DIV/0!</v>
      </c>
      <c r="AP156" s="387" t="e">
        <f t="shared" si="101"/>
        <v>#DIV/0!</v>
      </c>
    </row>
    <row r="157" spans="1:42">
      <c r="A157" s="6" t="str">
        <f t="shared" ref="A157:A163" si="117">A156</f>
        <v>Option Year 12</v>
      </c>
      <c r="B157" s="6" t="str">
        <f t="shared" si="113"/>
        <v>Overhead - Offsite</v>
      </c>
      <c r="E157" s="698">
        <f>IF(E155="",0,INDEX(Input_Range,MATCH((C7&amp;B157),Input_Call,0),MATCH(E155,Input_Header,0)))</f>
        <v>0.1988</v>
      </c>
      <c r="F157" s="698">
        <f>IF(F155="",0,INDEX(Input_Range,MATCH((C7&amp;B157),Input_Call,0),MATCH(F155,Input_Header,0)))</f>
        <v>0.1988</v>
      </c>
      <c r="G157" s="698">
        <f>IF(G155="",0,INDEX(Input_Range,MATCH((C7&amp;B157),Input_Call,0),MATCH(G155,Input_Header,0)))</f>
        <v>0.1988</v>
      </c>
      <c r="H157" s="698">
        <f>IF(H155="",0,INDEX(Input_Range,MATCH((C7&amp;B157),Input_Call,0),MATCH(H155,Input_Header,0)))</f>
        <v>0.1988</v>
      </c>
      <c r="I157" s="698">
        <f>IF(I155="",0,INDEX(Input_Range,MATCH((C7&amp;B157),Input_Call,0),MATCH(I155,Input_Header,0)))</f>
        <v>0.1988</v>
      </c>
      <c r="J157" s="698">
        <f>IF(J155="",0,INDEX(Input_Range,MATCH((C7&amp;B157),Input_Call,0),MATCH(J155,Input_Header,0)))</f>
        <v>0.1988</v>
      </c>
      <c r="K157" s="698">
        <f>IF(K155="",0,INDEX(Input_Range,MATCH((C7&amp;B157),Input_Call,0),MATCH(K155,Input_Header,0)))</f>
        <v>0.1988</v>
      </c>
      <c r="L157" s="698">
        <f>IF(L155="",0,INDEX(Input_Range,MATCH((C7&amp;B157),Input_Call,0),MATCH(L155,Input_Header,0)))</f>
        <v>0.1988</v>
      </c>
      <c r="M157" s="698">
        <f>IF(M155="",0,INDEX(Input_Range,MATCH((C7&amp;B157),Input_Call,0),MATCH(M155,Input_Header,0)))</f>
        <v>0.1988</v>
      </c>
      <c r="N157" s="698">
        <f>IF(N155="",0,INDEX(Input_Range,MATCH((C7&amp;B157),Input_Call,0),MATCH(N155,Input_Header,0)))</f>
        <v>0.1988</v>
      </c>
      <c r="O157" s="698">
        <f>IF(O155="",0,INDEX(Input_Range,MATCH((C7&amp;B157),Input_Call,0),MATCH(O155,Input_Header,0)))</f>
        <v>0.1988</v>
      </c>
      <c r="P157" s="698">
        <f>IF(P155="",0,INDEX(Input_Range,MATCH((C7&amp;B157),Input_Call,0),MATCH(P155,Input_Header,0)))</f>
        <v>0.1988</v>
      </c>
      <c r="Q157" s="698">
        <f>IF(Q155="",0,INDEX(Input_Range,MATCH((C7&amp;B157),Input_Call,0),MATCH(Q155,Input_Header,0)))</f>
        <v>0.1988</v>
      </c>
      <c r="R157" s="698">
        <f t="shared" ref="R157:R163" si="118">Q157</f>
        <v>0.1988</v>
      </c>
      <c r="T157" s="699">
        <f t="shared" ref="T157:T163" si="119">T156</f>
        <v>0</v>
      </c>
      <c r="U157" s="699">
        <f t="shared" ref="U157:U163" si="120">U156</f>
        <v>0</v>
      </c>
      <c r="V157" s="699">
        <f t="shared" ref="V157:V163" si="121">V156</f>
        <v>0</v>
      </c>
      <c r="W157" s="699">
        <f t="shared" ref="W157:W163" si="122">W156</f>
        <v>0</v>
      </c>
      <c r="X157" s="699">
        <f t="shared" ref="X157:X163" si="123">X156</f>
        <v>0</v>
      </c>
      <c r="Y157" s="699">
        <f t="shared" ref="Y157:Y163" si="124">Y156</f>
        <v>0</v>
      </c>
      <c r="Z157" s="699">
        <f t="shared" ref="Z157:Z163" si="125">Z156</f>
        <v>0</v>
      </c>
      <c r="AA157" s="699">
        <f t="shared" ref="AA157:AA163" si="126">AA156</f>
        <v>0</v>
      </c>
      <c r="AB157" s="699">
        <f t="shared" ref="AB157:AB163" si="127">AB156</f>
        <v>0</v>
      </c>
      <c r="AC157" s="699">
        <f t="shared" ref="AC157:AC163" si="128">AC156</f>
        <v>0</v>
      </c>
      <c r="AD157" s="699">
        <f t="shared" ref="AD157:AD163" si="129">AD156</f>
        <v>0</v>
      </c>
      <c r="AE157" s="699">
        <f t="shared" ref="AE157:AE163" si="130">AE156</f>
        <v>0</v>
      </c>
      <c r="AF157" s="699">
        <f t="shared" ref="AF157:AF163" si="131">AF156</f>
        <v>0</v>
      </c>
      <c r="AG157" s="699">
        <f t="shared" ref="AG157:AG163" si="132">AG156</f>
        <v>0</v>
      </c>
      <c r="AI157" s="698" t="e">
        <f t="shared" si="115"/>
        <v>#DIV/0!</v>
      </c>
      <c r="AJ157" s="698"/>
      <c r="AK157" s="698"/>
      <c r="AL157" s="4" t="str">
        <f>$A157&amp;$C7&amp;InputSheet!C$42&amp;InputSheet!D$42</f>
        <v>Option Year 12ISOverheadContr</v>
      </c>
      <c r="AM157" s="700" t="e">
        <f t="shared" si="116"/>
        <v>#DIV/0!</v>
      </c>
      <c r="AP157" s="387" t="e">
        <f t="shared" si="101"/>
        <v>#DIV/0!</v>
      </c>
    </row>
    <row r="158" spans="1:42">
      <c r="A158" s="6" t="str">
        <f t="shared" si="117"/>
        <v>Option Year 12</v>
      </c>
      <c r="B158" s="6" t="str">
        <f t="shared" si="113"/>
        <v>Overhead - Onsite</v>
      </c>
      <c r="E158" s="698">
        <f>IF(E155="",0,INDEX(Input_Range,MATCH((C7&amp;B158),Input_Call,0),MATCH(E155,Input_Header,0)))</f>
        <v>2.23E-2</v>
      </c>
      <c r="F158" s="698">
        <f>IF(F155="",0,INDEX(Input_Range,MATCH((C7&amp;B158),Input_Call,0),MATCH(F155,Input_Header,0)))</f>
        <v>2.23E-2</v>
      </c>
      <c r="G158" s="698">
        <f>IF(G155="",0,INDEX(Input_Range,MATCH((C7&amp;B158),Input_Call,0),MATCH(G155,Input_Header,0)))</f>
        <v>2.23E-2</v>
      </c>
      <c r="H158" s="698">
        <f>IF(H155="",0,INDEX(Input_Range,MATCH((C7&amp;B158),Input_Call,0),MATCH(H155,Input_Header,0)))</f>
        <v>2.23E-2</v>
      </c>
      <c r="I158" s="698">
        <f>IF(I155="",0,INDEX(Input_Range,MATCH((C7&amp;B158),Input_Call,0),MATCH(I155,Input_Header,0)))</f>
        <v>2.23E-2</v>
      </c>
      <c r="J158" s="698">
        <f>IF(J155="",0,INDEX(Input_Range,MATCH((C7&amp;B158),Input_Call,0),MATCH(J155,Input_Header,0)))</f>
        <v>2.23E-2</v>
      </c>
      <c r="K158" s="698">
        <f>IF(K155="",0,INDEX(Input_Range,MATCH((C7&amp;B158),Input_Call,0),MATCH(K155,Input_Header,0)))</f>
        <v>2.23E-2</v>
      </c>
      <c r="L158" s="698">
        <f>IF(L155="",0,INDEX(Input_Range,MATCH((C7&amp;B158),Input_Call,0),MATCH(L155,Input_Header,0)))</f>
        <v>2.23E-2</v>
      </c>
      <c r="M158" s="698">
        <f>IF(M155="",0,INDEX(Input_Range,MATCH((C7&amp;B158),Input_Call,0),MATCH(M155,Input_Header,0)))</f>
        <v>2.23E-2</v>
      </c>
      <c r="N158" s="698">
        <f>IF(N155="",0,INDEX(Input_Range,MATCH((C7&amp;B158),Input_Call,0),MATCH(N155,Input_Header,0)))</f>
        <v>2.23E-2</v>
      </c>
      <c r="O158" s="698">
        <f>IF(O155="",0,INDEX(Input_Range,MATCH((C7&amp;B158),Input_Call,0),MATCH(O155,Input_Header,0)))</f>
        <v>2.23E-2</v>
      </c>
      <c r="P158" s="698">
        <f>IF(P155="",0,INDEX(Input_Range,MATCH((C7&amp;B158),Input_Call,0),MATCH(P155,Input_Header,0)))</f>
        <v>2.23E-2</v>
      </c>
      <c r="Q158" s="698">
        <f>IF(Q155="",0,INDEX(Input_Range,MATCH((C7&amp;B158),Input_Call,0),MATCH(Q155,Input_Header,0)))</f>
        <v>2.23E-2</v>
      </c>
      <c r="R158" s="698">
        <f t="shared" si="118"/>
        <v>2.23E-2</v>
      </c>
      <c r="T158" s="699">
        <f t="shared" si="119"/>
        <v>0</v>
      </c>
      <c r="U158" s="699">
        <f t="shared" si="120"/>
        <v>0</v>
      </c>
      <c r="V158" s="699">
        <f t="shared" si="121"/>
        <v>0</v>
      </c>
      <c r="W158" s="699">
        <f t="shared" si="122"/>
        <v>0</v>
      </c>
      <c r="X158" s="699">
        <f t="shared" si="123"/>
        <v>0</v>
      </c>
      <c r="Y158" s="699">
        <f t="shared" si="124"/>
        <v>0</v>
      </c>
      <c r="Z158" s="699">
        <f t="shared" si="125"/>
        <v>0</v>
      </c>
      <c r="AA158" s="699">
        <f t="shared" si="126"/>
        <v>0</v>
      </c>
      <c r="AB158" s="699">
        <f t="shared" si="127"/>
        <v>0</v>
      </c>
      <c r="AC158" s="699">
        <f t="shared" si="128"/>
        <v>0</v>
      </c>
      <c r="AD158" s="699">
        <f t="shared" si="129"/>
        <v>0</v>
      </c>
      <c r="AE158" s="699">
        <f t="shared" si="130"/>
        <v>0</v>
      </c>
      <c r="AF158" s="699">
        <f t="shared" si="131"/>
        <v>0</v>
      </c>
      <c r="AG158" s="699">
        <f t="shared" si="132"/>
        <v>0</v>
      </c>
      <c r="AI158" s="698" t="e">
        <f t="shared" si="115"/>
        <v>#DIV/0!</v>
      </c>
      <c r="AJ158" s="698"/>
      <c r="AK158" s="698"/>
      <c r="AL158" s="4" t="str">
        <f>$A158&amp;$C7&amp;InputSheet!C$43&amp;InputSheet!D$43</f>
        <v>Option Year 12ISOverheadGovt</v>
      </c>
      <c r="AM158" s="700" t="e">
        <f t="shared" si="116"/>
        <v>#DIV/0!</v>
      </c>
      <c r="AP158" s="387" t="e">
        <f t="shared" si="101"/>
        <v>#DIV/0!</v>
      </c>
    </row>
    <row r="159" spans="1:42">
      <c r="A159" s="6" t="str">
        <f t="shared" si="117"/>
        <v>Option Year 12</v>
      </c>
      <c r="B159" s="6" t="str">
        <f t="shared" si="113"/>
        <v>Material Handling</v>
      </c>
      <c r="E159" s="698">
        <f>IF(E155="",0,INDEX(Input_Range,MATCH((C7&amp;B159),Input_Call,0),MATCH(E155,Input_Header,0)))</f>
        <v>3.1699999999999999E-2</v>
      </c>
      <c r="F159" s="698">
        <f>IF(F155="",0,INDEX(Input_Range,MATCH((C7&amp;B159),Input_Call,0),MATCH(F155,Input_Header,0)))</f>
        <v>3.0700000000000002E-2</v>
      </c>
      <c r="G159" s="698">
        <f>IF(G155="",0,INDEX(Input_Range,MATCH((C7&amp;B159),Input_Call,0),MATCH(G155,Input_Header,0)))</f>
        <v>2.9700000000000001E-2</v>
      </c>
      <c r="H159" s="698">
        <f>IF(H155="",0,INDEX(Input_Range,MATCH((C7&amp;B159),Input_Call,0),MATCH(H155,Input_Header,0)))</f>
        <v>2.8799999999999999E-2</v>
      </c>
      <c r="I159" s="698">
        <f>IF(I155="",0,INDEX(Input_Range,MATCH((C7&amp;B159),Input_Call,0),MATCH(I155,Input_Header,0)))</f>
        <v>2.8000000000000001E-2</v>
      </c>
      <c r="J159" s="698">
        <f>IF(J155="",0,INDEX(Input_Range,MATCH((C7&amp;B159),Input_Call,0),MATCH(J155,Input_Header,0)))</f>
        <v>2.8000000000000001E-2</v>
      </c>
      <c r="K159" s="698">
        <f>IF(K155="",0,INDEX(Input_Range,MATCH((C7&amp;B159),Input_Call,0),MATCH(K155,Input_Header,0)))</f>
        <v>2.8000000000000001E-2</v>
      </c>
      <c r="L159" s="698">
        <f>IF(L155="",0,INDEX(Input_Range,MATCH((C7&amp;B159),Input_Call,0),MATCH(L155,Input_Header,0)))</f>
        <v>2.8000000000000001E-2</v>
      </c>
      <c r="M159" s="698">
        <f>IF(M155="",0,INDEX(Input_Range,MATCH((C7&amp;B159),Input_Call,0),MATCH(M155,Input_Header,0)))</f>
        <v>2.8000000000000001E-2</v>
      </c>
      <c r="N159" s="698">
        <f>IF(N155="",0,INDEX(Input_Range,MATCH((C7&amp;B159),Input_Call,0),MATCH(N155,Input_Header,0)))</f>
        <v>2.8000000000000001E-2</v>
      </c>
      <c r="O159" s="698">
        <f>IF(O155="",0,INDEX(Input_Range,MATCH((C7&amp;B159),Input_Call,0),MATCH(O155,Input_Header,0)))</f>
        <v>2.8000000000000001E-2</v>
      </c>
      <c r="P159" s="698">
        <f>IF(P155="",0,INDEX(Input_Range,MATCH((C7&amp;B159),Input_Call,0),MATCH(P155,Input_Header,0)))</f>
        <v>2.8000000000000001E-2</v>
      </c>
      <c r="Q159" s="698">
        <f>IF(Q155="",0,INDEX(Input_Range,MATCH((C7&amp;B159),Input_Call,0),MATCH(Q155,Input_Header,0)))</f>
        <v>2.8000000000000001E-2</v>
      </c>
      <c r="R159" s="698">
        <f t="shared" si="118"/>
        <v>2.8000000000000001E-2</v>
      </c>
      <c r="T159" s="699">
        <f t="shared" si="119"/>
        <v>0</v>
      </c>
      <c r="U159" s="699">
        <f t="shared" si="120"/>
        <v>0</v>
      </c>
      <c r="V159" s="699">
        <f t="shared" si="121"/>
        <v>0</v>
      </c>
      <c r="W159" s="699">
        <f t="shared" si="122"/>
        <v>0</v>
      </c>
      <c r="X159" s="699">
        <f t="shared" si="123"/>
        <v>0</v>
      </c>
      <c r="Y159" s="699">
        <f t="shared" si="124"/>
        <v>0</v>
      </c>
      <c r="Z159" s="699">
        <f t="shared" si="125"/>
        <v>0</v>
      </c>
      <c r="AA159" s="699">
        <f t="shared" si="126"/>
        <v>0</v>
      </c>
      <c r="AB159" s="699">
        <f t="shared" si="127"/>
        <v>0</v>
      </c>
      <c r="AC159" s="699">
        <f t="shared" si="128"/>
        <v>0</v>
      </c>
      <c r="AD159" s="699">
        <f t="shared" si="129"/>
        <v>0</v>
      </c>
      <c r="AE159" s="699">
        <f t="shared" si="130"/>
        <v>0</v>
      </c>
      <c r="AF159" s="699">
        <f t="shared" si="131"/>
        <v>0</v>
      </c>
      <c r="AG159" s="699">
        <f t="shared" si="132"/>
        <v>0</v>
      </c>
      <c r="AI159" s="698" t="e">
        <f t="shared" si="115"/>
        <v>#DIV/0!</v>
      </c>
      <c r="AJ159" s="698"/>
      <c r="AK159" s="698"/>
      <c r="AL159" s="4" t="str">
        <f>$A159&amp;$C7&amp;InputSheet!C$44&amp;InputSheet!D$44</f>
        <v>Option Year 12ISMHContr/Govt</v>
      </c>
      <c r="AM159" s="700" t="e">
        <f t="shared" si="116"/>
        <v>#DIV/0!</v>
      </c>
      <c r="AP159" s="387" t="e">
        <f t="shared" si="101"/>
        <v>#DIV/0!</v>
      </c>
    </row>
    <row r="160" spans="1:42">
      <c r="A160" s="6" t="str">
        <f t="shared" si="117"/>
        <v>Option Year 12</v>
      </c>
      <c r="B160" s="6" t="str">
        <f t="shared" si="113"/>
        <v>G&amp;A</v>
      </c>
      <c r="E160" s="698">
        <f>IF(E155="",0,INDEX(Input_Range,MATCH((C7&amp;B160),Input_Call,0),MATCH(E155,Input_Header,0)))</f>
        <v>9.7500000000000003E-2</v>
      </c>
      <c r="F160" s="698">
        <f>IF(F155="",0,INDEX(Input_Range,MATCH((C7&amp;B160),Input_Call,0),MATCH(F155,Input_Header,0)))</f>
        <v>9.4700000000000006E-2</v>
      </c>
      <c r="G160" s="698">
        <f>IF(G155="",0,INDEX(Input_Range,MATCH((C7&amp;B160),Input_Call,0),MATCH(G155,Input_Header,0)))</f>
        <v>9.1999999999999998E-2</v>
      </c>
      <c r="H160" s="698">
        <f>IF(H155="",0,INDEX(Input_Range,MATCH((C7&amp;B160),Input_Call,0),MATCH(H155,Input_Header,0)))</f>
        <v>8.9499999999999996E-2</v>
      </c>
      <c r="I160" s="698">
        <f>IF(I155="",0,INDEX(Input_Range,MATCH((C7&amp;B160),Input_Call,0),MATCH(I155,Input_Header,0)))</f>
        <v>8.7099999999999997E-2</v>
      </c>
      <c r="J160" s="698">
        <f>IF(J155="",0,INDEX(Input_Range,MATCH((C7&amp;B160),Input_Call,0),MATCH(J155,Input_Header,0)))</f>
        <v>8.7099999999999997E-2</v>
      </c>
      <c r="K160" s="698">
        <f>IF(K155="",0,INDEX(Input_Range,MATCH((C7&amp;B160),Input_Call,0),MATCH(K155,Input_Header,0)))</f>
        <v>8.7099999999999997E-2</v>
      </c>
      <c r="L160" s="698">
        <f>IF(L155="",0,INDEX(Input_Range,MATCH((C7&amp;B160),Input_Call,0),MATCH(L155,Input_Header,0)))</f>
        <v>8.7099999999999997E-2</v>
      </c>
      <c r="M160" s="698">
        <f>IF(M155="",0,INDEX(Input_Range,MATCH((C7&amp;B160),Input_Call,0),MATCH(M155,Input_Header,0)))</f>
        <v>8.7099999999999997E-2</v>
      </c>
      <c r="N160" s="698">
        <f>IF(N155="",0,INDEX(Input_Range,MATCH((C7&amp;B160),Input_Call,0),MATCH(N155,Input_Header,0)))</f>
        <v>8.7099999999999997E-2</v>
      </c>
      <c r="O160" s="698">
        <f>IF(O155="",0,INDEX(Input_Range,MATCH((C7&amp;B160),Input_Call,0),MATCH(O155,Input_Header,0)))</f>
        <v>8.7099999999999997E-2</v>
      </c>
      <c r="P160" s="698">
        <f>IF(P155="",0,INDEX(Input_Range,MATCH((C7&amp;B160),Input_Call,0),MATCH(P155,Input_Header,0)))</f>
        <v>8.7099999999999997E-2</v>
      </c>
      <c r="Q160" s="698">
        <f>IF(Q155="",0,INDEX(Input_Range,MATCH((C7&amp;B160),Input_Call,0),MATCH(Q155,Input_Header,0)))</f>
        <v>8.7099999999999997E-2</v>
      </c>
      <c r="R160" s="698">
        <f t="shared" si="118"/>
        <v>8.7099999999999997E-2</v>
      </c>
      <c r="T160" s="699">
        <f t="shared" si="119"/>
        <v>0</v>
      </c>
      <c r="U160" s="699">
        <f t="shared" si="120"/>
        <v>0</v>
      </c>
      <c r="V160" s="699">
        <f t="shared" si="121"/>
        <v>0</v>
      </c>
      <c r="W160" s="699">
        <f t="shared" si="122"/>
        <v>0</v>
      </c>
      <c r="X160" s="699">
        <f t="shared" si="123"/>
        <v>0</v>
      </c>
      <c r="Y160" s="699">
        <f t="shared" si="124"/>
        <v>0</v>
      </c>
      <c r="Z160" s="699">
        <f t="shared" si="125"/>
        <v>0</v>
      </c>
      <c r="AA160" s="699">
        <f t="shared" si="126"/>
        <v>0</v>
      </c>
      <c r="AB160" s="699">
        <f t="shared" si="127"/>
        <v>0</v>
      </c>
      <c r="AC160" s="699">
        <f t="shared" si="128"/>
        <v>0</v>
      </c>
      <c r="AD160" s="699">
        <f t="shared" si="129"/>
        <v>0</v>
      </c>
      <c r="AE160" s="699">
        <f t="shared" si="130"/>
        <v>0</v>
      </c>
      <c r="AF160" s="699">
        <f t="shared" si="131"/>
        <v>0</v>
      </c>
      <c r="AG160" s="699">
        <f t="shared" si="132"/>
        <v>0</v>
      </c>
      <c r="AI160" s="698" t="e">
        <f t="shared" si="115"/>
        <v>#DIV/0!</v>
      </c>
      <c r="AJ160" s="698"/>
      <c r="AK160" s="698"/>
      <c r="AL160" s="4" t="str">
        <f>$A160&amp;$C7&amp;InputSheet!C$45&amp;InputSheet!D$45</f>
        <v>Option Year 12ISG&amp;AContr/Govt</v>
      </c>
      <c r="AM160" s="700" t="e">
        <f t="shared" si="116"/>
        <v>#DIV/0!</v>
      </c>
      <c r="AP160" s="387" t="e">
        <f t="shared" si="101"/>
        <v>#DIV/0!</v>
      </c>
    </row>
    <row r="161" spans="1:42" outlineLevel="1">
      <c r="A161" s="6" t="str">
        <f t="shared" si="117"/>
        <v>Option Year 12</v>
      </c>
      <c r="B161" s="6" t="str">
        <f t="shared" si="113"/>
        <v>TBD1</v>
      </c>
      <c r="E161" s="21">
        <f>IF(E155="",0,INDEX(Input_Range,MATCH((C7&amp;B161),Input_Call,0),MATCH(E155,Input_Header,0)))</f>
        <v>0</v>
      </c>
      <c r="F161" s="21">
        <f>IF(F155="",0,INDEX(Input_Range,MATCH((C7&amp;B161),Input_Call,0),MATCH(F155,Input_Header,0)))</f>
        <v>0</v>
      </c>
      <c r="G161" s="21">
        <f>IF(G155="",0,INDEX(Input_Range,MATCH((C7&amp;B161),Input_Call,0),MATCH(G155,Input_Header,0)))</f>
        <v>0</v>
      </c>
      <c r="H161" s="21">
        <f>IF(H155="",0,INDEX(Input_Range,MATCH((C7&amp;B161),Input_Call,0),MATCH(H155,Input_Header,0)))</f>
        <v>0</v>
      </c>
      <c r="I161" s="21">
        <f>IF(I155="",0,INDEX(Input_Range,MATCH((C7&amp;B161),Input_Call,0),MATCH(I155,Input_Header,0)))</f>
        <v>0</v>
      </c>
      <c r="J161" s="21">
        <f>IF(J155="",0,INDEX(Input_Range,MATCH((C7&amp;B161),Input_Call,0),MATCH(J155,Input_Header,0)))</f>
        <v>0</v>
      </c>
      <c r="K161" s="21">
        <f>IF(K155="",0,INDEX(Input_Range,MATCH((C7&amp;B161),Input_Call,0),MATCH(K155,Input_Header,0)))</f>
        <v>0</v>
      </c>
      <c r="L161" s="21">
        <f>IF(L155="",0,INDEX(Input_Range,MATCH((C7&amp;B161),Input_Call,0),MATCH(L155,Input_Header,0)))</f>
        <v>0</v>
      </c>
      <c r="M161" s="21">
        <f>IF(M155="",0,INDEX(Input_Range,MATCH((C7&amp;B161),Input_Call,0),MATCH(M155,Input_Header,0)))</f>
        <v>0</v>
      </c>
      <c r="N161" s="21">
        <f>IF(N155="",0,INDEX(Input_Range,MATCH((C7&amp;B161),Input_Call,0),MATCH(N155,Input_Header,0)))</f>
        <v>0</v>
      </c>
      <c r="O161" s="21">
        <f>IF(O155="",0,INDEX(Input_Range,MATCH((C7&amp;B161),Input_Call,0),MATCH(O155,Input_Header,0)))</f>
        <v>0</v>
      </c>
      <c r="P161" s="21">
        <f>IF(P155="",0,INDEX(Input_Range,MATCH((C7&amp;B161),Input_Call,0),MATCH(P155,Input_Header,0)))</f>
        <v>0</v>
      </c>
      <c r="Q161" s="21">
        <f>IF(Q155="",0,INDEX(Input_Range,MATCH((C7&amp;B161),Input_Call,0),MATCH(Q155,Input_Header,0)))</f>
        <v>0</v>
      </c>
      <c r="R161" s="698">
        <f t="shared" si="118"/>
        <v>0</v>
      </c>
      <c r="T161" s="699">
        <f t="shared" si="119"/>
        <v>0</v>
      </c>
      <c r="U161" s="699">
        <f t="shared" si="120"/>
        <v>0</v>
      </c>
      <c r="V161" s="699">
        <f t="shared" si="121"/>
        <v>0</v>
      </c>
      <c r="W161" s="699">
        <f t="shared" si="122"/>
        <v>0</v>
      </c>
      <c r="X161" s="699">
        <f t="shared" si="123"/>
        <v>0</v>
      </c>
      <c r="Y161" s="699">
        <f t="shared" si="124"/>
        <v>0</v>
      </c>
      <c r="Z161" s="699">
        <f t="shared" si="125"/>
        <v>0</v>
      </c>
      <c r="AA161" s="699">
        <f t="shared" si="126"/>
        <v>0</v>
      </c>
      <c r="AB161" s="699">
        <f t="shared" si="127"/>
        <v>0</v>
      </c>
      <c r="AC161" s="699">
        <f t="shared" si="128"/>
        <v>0</v>
      </c>
      <c r="AD161" s="699">
        <f t="shared" si="129"/>
        <v>0</v>
      </c>
      <c r="AE161" s="699">
        <f t="shared" si="130"/>
        <v>0</v>
      </c>
      <c r="AF161" s="699">
        <f t="shared" si="131"/>
        <v>0</v>
      </c>
      <c r="AG161" s="699">
        <f t="shared" si="132"/>
        <v>0</v>
      </c>
      <c r="AI161" s="698" t="e">
        <f t="shared" si="115"/>
        <v>#DIV/0!</v>
      </c>
      <c r="AJ161" s="21"/>
      <c r="AK161" s="21"/>
      <c r="AL161" s="4" t="str">
        <f>$A161&amp;$C7&amp;InputSheet!C$46&amp;InputSheet!D$46</f>
        <v>Option Year 12ISTBD1Contr/Govt</v>
      </c>
      <c r="AM161" s="700" t="e">
        <f t="shared" si="116"/>
        <v>#DIV/0!</v>
      </c>
      <c r="AP161" s="387" t="e">
        <f t="shared" si="101"/>
        <v>#DIV/0!</v>
      </c>
    </row>
    <row r="162" spans="1:42" outlineLevel="1">
      <c r="A162" s="6" t="str">
        <f t="shared" si="117"/>
        <v>Option Year 12</v>
      </c>
      <c r="B162" s="6" t="str">
        <f t="shared" si="113"/>
        <v>TBD2</v>
      </c>
      <c r="E162" s="21">
        <f>IF(E155="",0,INDEX(Input_Range,MATCH((C7&amp;B162),Input_Call,0),MATCH(E155,Input_Header,0)))</f>
        <v>0</v>
      </c>
      <c r="F162" s="21">
        <f>IF(F155="",0,INDEX(Input_Range,MATCH((C7&amp;B162),Input_Call,0),MATCH(F155,Input_Header,0)))</f>
        <v>0</v>
      </c>
      <c r="G162" s="21">
        <f>IF(G155="",0,INDEX(Input_Range,MATCH((C7&amp;B162),Input_Call,0),MATCH(G155,Input_Header,0)))</f>
        <v>0</v>
      </c>
      <c r="H162" s="21">
        <f>IF(H155="",0,INDEX(Input_Range,MATCH((C7&amp;B162),Input_Call,0),MATCH(H155,Input_Header,0)))</f>
        <v>0</v>
      </c>
      <c r="I162" s="21">
        <f>IF(I155="",0,INDEX(Input_Range,MATCH((C7&amp;B162),Input_Call,0),MATCH(I155,Input_Header,0)))</f>
        <v>0</v>
      </c>
      <c r="J162" s="21">
        <f>IF(J155="",0,INDEX(Input_Range,MATCH((C7&amp;B162),Input_Call,0),MATCH(J155,Input_Header,0)))</f>
        <v>0</v>
      </c>
      <c r="K162" s="21">
        <f>IF(K155="",0,INDEX(Input_Range,MATCH((C7&amp;B162),Input_Call,0),MATCH(K155,Input_Header,0)))</f>
        <v>0</v>
      </c>
      <c r="L162" s="21">
        <f>IF(L155="",0,INDEX(Input_Range,MATCH((C7&amp;B162),Input_Call,0),MATCH(L155,Input_Header,0)))</f>
        <v>0</v>
      </c>
      <c r="M162" s="21">
        <f>IF(M155="",0,INDEX(Input_Range,MATCH((C7&amp;B162),Input_Call,0),MATCH(M155,Input_Header,0)))</f>
        <v>0</v>
      </c>
      <c r="N162" s="21">
        <f>IF(N155="",0,INDEX(Input_Range,MATCH((C7&amp;B162),Input_Call,0),MATCH(N155,Input_Header,0)))</f>
        <v>0</v>
      </c>
      <c r="O162" s="21">
        <f>IF(O155="",0,INDEX(Input_Range,MATCH((C7&amp;B162),Input_Call,0),MATCH(O155,Input_Header,0)))</f>
        <v>0</v>
      </c>
      <c r="P162" s="21">
        <f>IF(P155="",0,INDEX(Input_Range,MATCH((C7&amp;B162),Input_Call,0),MATCH(P155,Input_Header,0)))</f>
        <v>0</v>
      </c>
      <c r="Q162" s="21">
        <f>IF(Q155="",0,INDEX(Input_Range,MATCH((C7&amp;B162),Input_Call,0),MATCH(Q155,Input_Header,0)))</f>
        <v>0</v>
      </c>
      <c r="R162" s="698">
        <f t="shared" si="118"/>
        <v>0</v>
      </c>
      <c r="T162" s="699">
        <f t="shared" si="119"/>
        <v>0</v>
      </c>
      <c r="U162" s="699">
        <f t="shared" si="120"/>
        <v>0</v>
      </c>
      <c r="V162" s="699">
        <f t="shared" si="121"/>
        <v>0</v>
      </c>
      <c r="W162" s="699">
        <f t="shared" si="122"/>
        <v>0</v>
      </c>
      <c r="X162" s="699">
        <f t="shared" si="123"/>
        <v>0</v>
      </c>
      <c r="Y162" s="699">
        <f t="shared" si="124"/>
        <v>0</v>
      </c>
      <c r="Z162" s="699">
        <f t="shared" si="125"/>
        <v>0</v>
      </c>
      <c r="AA162" s="699">
        <f t="shared" si="126"/>
        <v>0</v>
      </c>
      <c r="AB162" s="699">
        <f t="shared" si="127"/>
        <v>0</v>
      </c>
      <c r="AC162" s="699">
        <f t="shared" si="128"/>
        <v>0</v>
      </c>
      <c r="AD162" s="699">
        <f t="shared" si="129"/>
        <v>0</v>
      </c>
      <c r="AE162" s="699">
        <f t="shared" si="130"/>
        <v>0</v>
      </c>
      <c r="AF162" s="699">
        <f t="shared" si="131"/>
        <v>0</v>
      </c>
      <c r="AG162" s="699">
        <f t="shared" si="132"/>
        <v>0</v>
      </c>
      <c r="AI162" s="698" t="e">
        <f t="shared" si="115"/>
        <v>#DIV/0!</v>
      </c>
      <c r="AJ162" s="21"/>
      <c r="AK162" s="21"/>
      <c r="AL162" s="4" t="str">
        <f>$A162&amp;$C7&amp;InputSheet!C$47&amp;InputSheet!D$47</f>
        <v>Option Year 12ISTBD2Contr/Govt</v>
      </c>
      <c r="AM162" s="700" t="e">
        <f t="shared" si="116"/>
        <v>#DIV/0!</v>
      </c>
      <c r="AP162" s="387" t="e">
        <f t="shared" si="101"/>
        <v>#DIV/0!</v>
      </c>
    </row>
    <row r="163" spans="1:42" outlineLevel="1">
      <c r="A163" s="6" t="str">
        <f t="shared" si="117"/>
        <v>Option Year 12</v>
      </c>
      <c r="B163" s="6" t="str">
        <f t="shared" si="113"/>
        <v>TBD3</v>
      </c>
      <c r="E163" s="21">
        <f>IF(E155="",0,INDEX(Input_Range,MATCH((C7&amp;B163),Input_Call,0),MATCH(E155,Input_Header,0)))</f>
        <v>0</v>
      </c>
      <c r="F163" s="21">
        <f>IF(F155="",0,INDEX(Input_Range,MATCH((C7&amp;B163),Input_Call,0),MATCH(F155,Input_Header,0)))</f>
        <v>0</v>
      </c>
      <c r="G163" s="21">
        <f>IF(G155="",0,INDEX(Input_Range,MATCH((C7&amp;B163),Input_Call,0),MATCH(G155,Input_Header,0)))</f>
        <v>0</v>
      </c>
      <c r="H163" s="21">
        <f>IF(H155="",0,INDEX(Input_Range,MATCH((C7&amp;B163),Input_Call,0),MATCH(H155,Input_Header,0)))</f>
        <v>0</v>
      </c>
      <c r="I163" s="21">
        <f>IF(I155="",0,INDEX(Input_Range,MATCH((C7&amp;B163),Input_Call,0),MATCH(I155,Input_Header,0)))</f>
        <v>0</v>
      </c>
      <c r="J163" s="21">
        <f>IF(J155="",0,INDEX(Input_Range,MATCH((C7&amp;B163),Input_Call,0),MATCH(J155,Input_Header,0)))</f>
        <v>0</v>
      </c>
      <c r="K163" s="21">
        <f>IF(K155="",0,INDEX(Input_Range,MATCH((C7&amp;B163),Input_Call,0),MATCH(K155,Input_Header,0)))</f>
        <v>0</v>
      </c>
      <c r="L163" s="21">
        <f>IF(L155="",0,INDEX(Input_Range,MATCH((C7&amp;B163),Input_Call,0),MATCH(L155,Input_Header,0)))</f>
        <v>0</v>
      </c>
      <c r="M163" s="21">
        <f>IF(M155="",0,INDEX(Input_Range,MATCH((C7&amp;B163),Input_Call,0),MATCH(M155,Input_Header,0)))</f>
        <v>0</v>
      </c>
      <c r="N163" s="21">
        <f>IF(N155="",0,INDEX(Input_Range,MATCH((C7&amp;B163),Input_Call,0),MATCH(N155,Input_Header,0)))</f>
        <v>0</v>
      </c>
      <c r="O163" s="21">
        <f>IF(O155="",0,INDEX(Input_Range,MATCH((C7&amp;B163),Input_Call,0),MATCH(O155,Input_Header,0)))</f>
        <v>0</v>
      </c>
      <c r="P163" s="21">
        <f>IF(P155="",0,INDEX(Input_Range,MATCH((C7&amp;B163),Input_Call,0),MATCH(P155,Input_Header,0)))</f>
        <v>0</v>
      </c>
      <c r="Q163" s="21">
        <f>IF(Q155="",0,INDEX(Input_Range,MATCH((C7&amp;B163),Input_Call,0),MATCH(Q155,Input_Header,0)))</f>
        <v>0</v>
      </c>
      <c r="R163" s="698">
        <f t="shared" si="118"/>
        <v>0</v>
      </c>
      <c r="T163" s="699">
        <f t="shared" si="119"/>
        <v>0</v>
      </c>
      <c r="U163" s="699">
        <f t="shared" si="120"/>
        <v>0</v>
      </c>
      <c r="V163" s="699">
        <f t="shared" si="121"/>
        <v>0</v>
      </c>
      <c r="W163" s="699">
        <f t="shared" si="122"/>
        <v>0</v>
      </c>
      <c r="X163" s="699">
        <f t="shared" si="123"/>
        <v>0</v>
      </c>
      <c r="Y163" s="699">
        <f t="shared" si="124"/>
        <v>0</v>
      </c>
      <c r="Z163" s="699">
        <f t="shared" si="125"/>
        <v>0</v>
      </c>
      <c r="AA163" s="699">
        <f t="shared" si="126"/>
        <v>0</v>
      </c>
      <c r="AB163" s="699">
        <f t="shared" si="127"/>
        <v>0</v>
      </c>
      <c r="AC163" s="699">
        <f t="shared" si="128"/>
        <v>0</v>
      </c>
      <c r="AD163" s="699">
        <f t="shared" si="129"/>
        <v>0</v>
      </c>
      <c r="AE163" s="699">
        <f t="shared" si="130"/>
        <v>0</v>
      </c>
      <c r="AF163" s="699">
        <f t="shared" si="131"/>
        <v>0</v>
      </c>
      <c r="AG163" s="699">
        <f t="shared" si="132"/>
        <v>0</v>
      </c>
      <c r="AI163" s="698" t="e">
        <f t="shared" si="115"/>
        <v>#DIV/0!</v>
      </c>
      <c r="AJ163" s="21"/>
      <c r="AK163" s="21"/>
      <c r="AL163" s="4" t="str">
        <f>$A163&amp;$C7&amp;InputSheet!C$48&amp;InputSheet!D$48</f>
        <v>Option Year 12ISTBD3Contr/Govt</v>
      </c>
      <c r="AM163" s="700" t="e">
        <f t="shared" si="116"/>
        <v>#DIV/0!</v>
      </c>
      <c r="AP163" s="387" t="e">
        <f t="shared" si="101"/>
        <v>#DIV/0!</v>
      </c>
    </row>
    <row r="164" spans="1:42">
      <c r="E164" s="698"/>
      <c r="F164" s="698"/>
      <c r="G164" s="698"/>
      <c r="H164" s="698"/>
      <c r="I164" s="698"/>
      <c r="J164" s="698"/>
      <c r="K164" s="698"/>
      <c r="L164" s="698"/>
      <c r="M164" s="698"/>
      <c r="N164" s="698"/>
      <c r="O164" s="698"/>
      <c r="P164" s="698"/>
      <c r="Q164" s="698"/>
      <c r="R164" s="698"/>
      <c r="AI164" s="21"/>
      <c r="AJ164" s="21"/>
      <c r="AK164" s="21"/>
      <c r="AP164" s="387" t="str">
        <f t="shared" si="101"/>
        <v>1</v>
      </c>
    </row>
    <row r="165" spans="1:42">
      <c r="A165" s="530" t="str">
        <f>B165</f>
        <v>Option Year 13</v>
      </c>
      <c r="B165" s="691" t="str">
        <f>InputSheet!$C$35</f>
        <v>Option Year 13</v>
      </c>
      <c r="AP165" s="387" t="str">
        <f t="shared" si="101"/>
        <v>1</v>
      </c>
    </row>
    <row r="166" spans="1:42">
      <c r="B166" s="314" t="s">
        <v>587</v>
      </c>
      <c r="C166" s="692" t="s">
        <v>588</v>
      </c>
      <c r="E166" s="1216" t="str">
        <f>"Indirect Rates - "&amp;C$7</f>
        <v>Indirect Rates - IS</v>
      </c>
      <c r="F166" s="1216"/>
      <c r="G166" s="1216"/>
      <c r="H166" s="1216"/>
      <c r="I166" s="1216"/>
      <c r="J166" s="1216"/>
      <c r="K166" s="1216"/>
      <c r="L166" s="1216"/>
      <c r="M166" s="1216"/>
      <c r="N166" s="1216"/>
      <c r="O166" s="1216"/>
      <c r="P166" s="1216"/>
      <c r="Q166" s="1216"/>
      <c r="R166" s="1216"/>
      <c r="S166" s="844"/>
      <c r="T166" s="1217" t="s">
        <v>794</v>
      </c>
      <c r="U166" s="1217"/>
      <c r="V166" s="1217"/>
      <c r="W166" s="1217"/>
      <c r="X166" s="1217"/>
      <c r="Y166" s="1217"/>
      <c r="Z166" s="1217"/>
      <c r="AA166" s="1217"/>
      <c r="AB166" s="1217"/>
      <c r="AC166" s="1217"/>
      <c r="AD166" s="1217"/>
      <c r="AE166" s="1217"/>
      <c r="AF166" s="1217"/>
      <c r="AG166" s="1217"/>
      <c r="AI166" s="692" t="s">
        <v>615</v>
      </c>
      <c r="AJ166" s="50"/>
      <c r="AK166" s="50"/>
      <c r="AP166" s="387" t="str">
        <f t="shared" si="101"/>
        <v>1</v>
      </c>
    </row>
    <row r="167" spans="1:42">
      <c r="B167" s="693">
        <f>VLOOKUP(A165,InputSheet!$C$8:$E$37,2,FALSE)</f>
        <v>2923</v>
      </c>
      <c r="C167" s="694">
        <f>VLOOKUP(A165,InputSheet!$C$8:$E$37,3,FALSE)</f>
        <v>3287</v>
      </c>
      <c r="E167" s="695">
        <f t="shared" ref="E167:R167" si="133">E155</f>
        <v>2009</v>
      </c>
      <c r="F167" s="695">
        <f t="shared" si="133"/>
        <v>2010</v>
      </c>
      <c r="G167" s="695">
        <f t="shared" si="133"/>
        <v>2011</v>
      </c>
      <c r="H167" s="695">
        <f t="shared" si="133"/>
        <v>2012</v>
      </c>
      <c r="I167" s="695">
        <f t="shared" si="133"/>
        <v>2013</v>
      </c>
      <c r="J167" s="695">
        <f t="shared" si="133"/>
        <v>2014</v>
      </c>
      <c r="K167" s="695">
        <f t="shared" si="133"/>
        <v>2015</v>
      </c>
      <c r="L167" s="695">
        <f t="shared" si="133"/>
        <v>2016</v>
      </c>
      <c r="M167" s="695">
        <f t="shared" si="133"/>
        <v>2017</v>
      </c>
      <c r="N167" s="695">
        <f t="shared" si="133"/>
        <v>2018</v>
      </c>
      <c r="O167" s="695">
        <f t="shared" si="133"/>
        <v>2019</v>
      </c>
      <c r="P167" s="695">
        <f t="shared" si="133"/>
        <v>2020</v>
      </c>
      <c r="Q167" s="695">
        <f t="shared" si="133"/>
        <v>2021</v>
      </c>
      <c r="R167" s="695">
        <f t="shared" si="133"/>
        <v>2022</v>
      </c>
      <c r="S167" s="680"/>
      <c r="T167" s="695">
        <f t="shared" ref="T167:AG167" si="134">T155</f>
        <v>2009</v>
      </c>
      <c r="U167" s="695">
        <f t="shared" si="134"/>
        <v>2010</v>
      </c>
      <c r="V167" s="695">
        <f t="shared" si="134"/>
        <v>2011</v>
      </c>
      <c r="W167" s="695">
        <f t="shared" si="134"/>
        <v>2012</v>
      </c>
      <c r="X167" s="695">
        <f t="shared" si="134"/>
        <v>2013</v>
      </c>
      <c r="Y167" s="695">
        <f t="shared" si="134"/>
        <v>2014</v>
      </c>
      <c r="Z167" s="695">
        <f t="shared" si="134"/>
        <v>2015</v>
      </c>
      <c r="AA167" s="695">
        <f t="shared" si="134"/>
        <v>2016</v>
      </c>
      <c r="AB167" s="695">
        <f t="shared" si="134"/>
        <v>2017</v>
      </c>
      <c r="AC167" s="695">
        <f t="shared" si="134"/>
        <v>2018</v>
      </c>
      <c r="AD167" s="695">
        <f t="shared" si="134"/>
        <v>2019</v>
      </c>
      <c r="AE167" s="695">
        <f t="shared" si="134"/>
        <v>2020</v>
      </c>
      <c r="AF167" s="695">
        <f t="shared" si="134"/>
        <v>2021</v>
      </c>
      <c r="AG167" s="695">
        <f t="shared" si="134"/>
        <v>2022</v>
      </c>
      <c r="AI167" s="696" t="str">
        <f>B165</f>
        <v>Option Year 13</v>
      </c>
      <c r="AJ167" s="28"/>
      <c r="AK167" s="28"/>
      <c r="AP167" s="387" t="str">
        <f t="shared" si="101"/>
        <v>1</v>
      </c>
    </row>
    <row r="168" spans="1:42">
      <c r="A168" s="6" t="str">
        <f>A165</f>
        <v>Option Year 13</v>
      </c>
      <c r="B168" s="6" t="str">
        <f t="shared" ref="B168:B175" si="135">B156</f>
        <v>PRB</v>
      </c>
      <c r="E168" s="698">
        <f>IF(E167="",0,INDEX(Input_Range,MATCH((C7&amp;B168),Input_Call,0),MATCH(E167,Input_Header,0)))</f>
        <v>0.31240000000000001</v>
      </c>
      <c r="F168" s="698">
        <f>IF(F167="",0,INDEX(Input_Range,MATCH((C7&amp;B168),Input_Call,0),MATCH(F167,Input_Header,0)))</f>
        <v>0.31240000000000001</v>
      </c>
      <c r="G168" s="698">
        <f>IF(G167="",0,INDEX(Input_Range,MATCH((C7&amp;B168),Input_Call,0),MATCH(G167,Input_Header,0)))</f>
        <v>0.31240000000000001</v>
      </c>
      <c r="H168" s="698">
        <f>IF(H167="",0,INDEX(Input_Range,MATCH((C7&amp;B168),Input_Call,0),MATCH(H167,Input_Header,0)))</f>
        <v>0.31240000000000001</v>
      </c>
      <c r="I168" s="698">
        <f>IF(I167="",0,INDEX(Input_Range,MATCH((C7&amp;B168),Input_Call,0),MATCH(I167,Input_Header,0)))</f>
        <v>0.31240000000000001</v>
      </c>
      <c r="J168" s="698">
        <f>IF(J167="",0,INDEX(Input_Range,MATCH((C7&amp;B168),Input_Call,0),MATCH(J167,Input_Header,0)))</f>
        <v>0.31240000000000001</v>
      </c>
      <c r="K168" s="698">
        <f>IF(K167="",0,INDEX(Input_Range,MATCH((C7&amp;B168),Input_Call,0),MATCH(K167,Input_Header,0)))</f>
        <v>0.31240000000000001</v>
      </c>
      <c r="L168" s="698">
        <f>IF(L167="",0,INDEX(Input_Range,MATCH((C7&amp;B168),Input_Call,0),MATCH(L167,Input_Header,0)))</f>
        <v>0.31240000000000001</v>
      </c>
      <c r="M168" s="698">
        <f>IF(M167="",0,INDEX(Input_Range,MATCH((C7&amp;B168),Input_Call,0),MATCH(M167,Input_Header,0)))</f>
        <v>0.31240000000000001</v>
      </c>
      <c r="N168" s="698">
        <f>IF(N167="",0,INDEX(Input_Range,MATCH((C7&amp;B168),Input_Call,0),MATCH(N167,Input_Header,0)))</f>
        <v>0.31240000000000001</v>
      </c>
      <c r="O168" s="698">
        <f>IF(O167="",0,INDEX(Input_Range,MATCH((C7&amp;B168),Input_Call,0),MATCH(O167,Input_Header,0)))</f>
        <v>0.31240000000000001</v>
      </c>
      <c r="P168" s="698">
        <f>IF(P167="",0,INDEX(Input_Range,MATCH((C7&amp;B168),Input_Call,0),MATCH(P167,Input_Header,0)))</f>
        <v>0.31240000000000001</v>
      </c>
      <c r="Q168" s="698">
        <f>IF(Q167="",0,INDEX(Input_Range,MATCH((C7&amp;B168),Input_Call,0),MATCH(Q167,Input_Header,0)))</f>
        <v>0.31240000000000001</v>
      </c>
      <c r="R168" s="698">
        <f>Q168</f>
        <v>0.31240000000000001</v>
      </c>
      <c r="T168" s="699">
        <f t="shared" ref="T168:AG168" si="136">ROUND((MAX(0,(MIN($C167,DATE(T167,12,31))-MAX($B167,DATE(T167,1,1))+1)))/30.41667,0)</f>
        <v>0</v>
      </c>
      <c r="U168" s="699">
        <f t="shared" si="136"/>
        <v>0</v>
      </c>
      <c r="V168" s="699">
        <f t="shared" si="136"/>
        <v>0</v>
      </c>
      <c r="W168" s="699">
        <f t="shared" si="136"/>
        <v>0</v>
      </c>
      <c r="X168" s="699">
        <f t="shared" si="136"/>
        <v>0</v>
      </c>
      <c r="Y168" s="699">
        <f t="shared" si="136"/>
        <v>0</v>
      </c>
      <c r="Z168" s="699">
        <f t="shared" si="136"/>
        <v>0</v>
      </c>
      <c r="AA168" s="699">
        <f t="shared" si="136"/>
        <v>0</v>
      </c>
      <c r="AB168" s="699">
        <f t="shared" si="136"/>
        <v>0</v>
      </c>
      <c r="AC168" s="699">
        <f t="shared" si="136"/>
        <v>0</v>
      </c>
      <c r="AD168" s="699">
        <f t="shared" si="136"/>
        <v>0</v>
      </c>
      <c r="AE168" s="699">
        <f t="shared" si="136"/>
        <v>0</v>
      </c>
      <c r="AF168" s="699">
        <f t="shared" si="136"/>
        <v>0</v>
      </c>
      <c r="AG168" s="699">
        <f t="shared" si="136"/>
        <v>0</v>
      </c>
      <c r="AI168" s="698" t="e">
        <f t="shared" ref="AI168:AI175" si="137">ROUND(SUMPRODUCT(E168:R168,T168:AG168)/SUM(T168:AG168),4)</f>
        <v>#DIV/0!</v>
      </c>
      <c r="AJ168" s="698"/>
      <c r="AK168" s="698"/>
      <c r="AL168" s="4" t="str">
        <f>$A168&amp;$C7&amp;InputSheet!C$41&amp;InputSheet!D$41</f>
        <v>Option Year 13ISPRBContr/Govt</v>
      </c>
      <c r="AM168" s="700" t="e">
        <f t="shared" ref="AM168:AM175" si="138">AI168</f>
        <v>#DIV/0!</v>
      </c>
      <c r="AP168" s="387" t="e">
        <f t="shared" si="101"/>
        <v>#DIV/0!</v>
      </c>
    </row>
    <row r="169" spans="1:42">
      <c r="A169" s="6" t="str">
        <f t="shared" ref="A169:A175" si="139">A168</f>
        <v>Option Year 13</v>
      </c>
      <c r="B169" s="6" t="str">
        <f t="shared" si="135"/>
        <v>Overhead - Offsite</v>
      </c>
      <c r="E169" s="698">
        <f>IF(E167="",0,INDEX(Input_Range,MATCH((C7&amp;B169),Input_Call,0),MATCH(E167,Input_Header,0)))</f>
        <v>0.1988</v>
      </c>
      <c r="F169" s="698">
        <f>IF(F167="",0,INDEX(Input_Range,MATCH((C7&amp;B169),Input_Call,0),MATCH(F167,Input_Header,0)))</f>
        <v>0.1988</v>
      </c>
      <c r="G169" s="698">
        <f>IF(G167="",0,INDEX(Input_Range,MATCH((C7&amp;B169),Input_Call,0),MATCH(G167,Input_Header,0)))</f>
        <v>0.1988</v>
      </c>
      <c r="H169" s="698">
        <f>IF(H167="",0,INDEX(Input_Range,MATCH((C7&amp;B169),Input_Call,0),MATCH(H167,Input_Header,0)))</f>
        <v>0.1988</v>
      </c>
      <c r="I169" s="698">
        <f>IF(I167="",0,INDEX(Input_Range,MATCH((C7&amp;B169),Input_Call,0),MATCH(I167,Input_Header,0)))</f>
        <v>0.1988</v>
      </c>
      <c r="J169" s="698">
        <f>IF(J167="",0,INDEX(Input_Range,MATCH((C7&amp;B169),Input_Call,0),MATCH(J167,Input_Header,0)))</f>
        <v>0.1988</v>
      </c>
      <c r="K169" s="698">
        <f>IF(K167="",0,INDEX(Input_Range,MATCH((C7&amp;B169),Input_Call,0),MATCH(K167,Input_Header,0)))</f>
        <v>0.1988</v>
      </c>
      <c r="L169" s="698">
        <f>IF(L167="",0,INDEX(Input_Range,MATCH((C7&amp;B169),Input_Call,0),MATCH(L167,Input_Header,0)))</f>
        <v>0.1988</v>
      </c>
      <c r="M169" s="698">
        <f>IF(M167="",0,INDEX(Input_Range,MATCH((C7&amp;B169),Input_Call,0),MATCH(M167,Input_Header,0)))</f>
        <v>0.1988</v>
      </c>
      <c r="N169" s="698">
        <f>IF(N167="",0,INDEX(Input_Range,MATCH((C7&amp;B169),Input_Call,0),MATCH(N167,Input_Header,0)))</f>
        <v>0.1988</v>
      </c>
      <c r="O169" s="698">
        <f>IF(O167="",0,INDEX(Input_Range,MATCH((C7&amp;B169),Input_Call,0),MATCH(O167,Input_Header,0)))</f>
        <v>0.1988</v>
      </c>
      <c r="P169" s="698">
        <f>IF(P167="",0,INDEX(Input_Range,MATCH((C7&amp;B169),Input_Call,0),MATCH(P167,Input_Header,0)))</f>
        <v>0.1988</v>
      </c>
      <c r="Q169" s="698">
        <f>IF(Q167="",0,INDEX(Input_Range,MATCH((C7&amp;B169),Input_Call,0),MATCH(Q167,Input_Header,0)))</f>
        <v>0.1988</v>
      </c>
      <c r="R169" s="698">
        <f t="shared" ref="R169:R175" si="140">Q169</f>
        <v>0.1988</v>
      </c>
      <c r="T169" s="699">
        <f t="shared" ref="T169:T175" si="141">T168</f>
        <v>0</v>
      </c>
      <c r="U169" s="699">
        <f t="shared" ref="U169:U175" si="142">U168</f>
        <v>0</v>
      </c>
      <c r="V169" s="699">
        <f t="shared" ref="V169:V175" si="143">V168</f>
        <v>0</v>
      </c>
      <c r="W169" s="699">
        <f t="shared" ref="W169:W175" si="144">W168</f>
        <v>0</v>
      </c>
      <c r="X169" s="699">
        <f t="shared" ref="X169:X175" si="145">X168</f>
        <v>0</v>
      </c>
      <c r="Y169" s="699">
        <f t="shared" ref="Y169:Y175" si="146">Y168</f>
        <v>0</v>
      </c>
      <c r="Z169" s="699">
        <f t="shared" ref="Z169:Z175" si="147">Z168</f>
        <v>0</v>
      </c>
      <c r="AA169" s="699">
        <f t="shared" ref="AA169:AA175" si="148">AA168</f>
        <v>0</v>
      </c>
      <c r="AB169" s="699">
        <f t="shared" ref="AB169:AB175" si="149">AB168</f>
        <v>0</v>
      </c>
      <c r="AC169" s="699">
        <f t="shared" ref="AC169:AC175" si="150">AC168</f>
        <v>0</v>
      </c>
      <c r="AD169" s="699">
        <f t="shared" ref="AD169:AD175" si="151">AD168</f>
        <v>0</v>
      </c>
      <c r="AE169" s="699">
        <f t="shared" ref="AE169:AE175" si="152">AE168</f>
        <v>0</v>
      </c>
      <c r="AF169" s="699">
        <f t="shared" ref="AF169:AF175" si="153">AF168</f>
        <v>0</v>
      </c>
      <c r="AG169" s="699">
        <f t="shared" ref="AG169:AG175" si="154">AG168</f>
        <v>0</v>
      </c>
      <c r="AI169" s="698" t="e">
        <f t="shared" si="137"/>
        <v>#DIV/0!</v>
      </c>
      <c r="AJ169" s="698"/>
      <c r="AK169" s="698"/>
      <c r="AL169" s="4" t="str">
        <f>$A169&amp;$C7&amp;InputSheet!C$42&amp;InputSheet!D$42</f>
        <v>Option Year 13ISOverheadContr</v>
      </c>
      <c r="AM169" s="700" t="e">
        <f t="shared" si="138"/>
        <v>#DIV/0!</v>
      </c>
      <c r="AP169" s="387" t="e">
        <f t="shared" si="101"/>
        <v>#DIV/0!</v>
      </c>
    </row>
    <row r="170" spans="1:42">
      <c r="A170" s="6" t="str">
        <f t="shared" si="139"/>
        <v>Option Year 13</v>
      </c>
      <c r="B170" s="6" t="str">
        <f t="shared" si="135"/>
        <v>Overhead - Onsite</v>
      </c>
      <c r="E170" s="698">
        <f>IF(E167="",0,INDEX(Input_Range,MATCH((C7&amp;B170),Input_Call,0),MATCH(E167,Input_Header,0)))</f>
        <v>2.23E-2</v>
      </c>
      <c r="F170" s="698">
        <f>IF(F167="",0,INDEX(Input_Range,MATCH((C7&amp;B170),Input_Call,0),MATCH(F167,Input_Header,0)))</f>
        <v>2.23E-2</v>
      </c>
      <c r="G170" s="698">
        <f>IF(G167="",0,INDEX(Input_Range,MATCH((C7&amp;B170),Input_Call,0),MATCH(G167,Input_Header,0)))</f>
        <v>2.23E-2</v>
      </c>
      <c r="H170" s="698">
        <f>IF(H167="",0,INDEX(Input_Range,MATCH((C7&amp;B170),Input_Call,0),MATCH(H167,Input_Header,0)))</f>
        <v>2.23E-2</v>
      </c>
      <c r="I170" s="698">
        <f>IF(I167="",0,INDEX(Input_Range,MATCH((C7&amp;B170),Input_Call,0),MATCH(I167,Input_Header,0)))</f>
        <v>2.23E-2</v>
      </c>
      <c r="J170" s="698">
        <f>IF(J167="",0,INDEX(Input_Range,MATCH((C7&amp;B170),Input_Call,0),MATCH(J167,Input_Header,0)))</f>
        <v>2.23E-2</v>
      </c>
      <c r="K170" s="698">
        <f>IF(K167="",0,INDEX(Input_Range,MATCH((C7&amp;B170),Input_Call,0),MATCH(K167,Input_Header,0)))</f>
        <v>2.23E-2</v>
      </c>
      <c r="L170" s="698">
        <f>IF(L167="",0,INDEX(Input_Range,MATCH((C7&amp;B170),Input_Call,0),MATCH(L167,Input_Header,0)))</f>
        <v>2.23E-2</v>
      </c>
      <c r="M170" s="698">
        <f>IF(M167="",0,INDEX(Input_Range,MATCH((C7&amp;B170),Input_Call,0),MATCH(M167,Input_Header,0)))</f>
        <v>2.23E-2</v>
      </c>
      <c r="N170" s="698">
        <f>IF(N167="",0,INDEX(Input_Range,MATCH((C7&amp;B170),Input_Call,0),MATCH(N167,Input_Header,0)))</f>
        <v>2.23E-2</v>
      </c>
      <c r="O170" s="698">
        <f>IF(O167="",0,INDEX(Input_Range,MATCH((C7&amp;B170),Input_Call,0),MATCH(O167,Input_Header,0)))</f>
        <v>2.23E-2</v>
      </c>
      <c r="P170" s="698">
        <f>IF(P167="",0,INDEX(Input_Range,MATCH((C7&amp;B170),Input_Call,0),MATCH(P167,Input_Header,0)))</f>
        <v>2.23E-2</v>
      </c>
      <c r="Q170" s="698">
        <f>IF(Q167="",0,INDEX(Input_Range,MATCH((C7&amp;B170),Input_Call,0),MATCH(Q167,Input_Header,0)))</f>
        <v>2.23E-2</v>
      </c>
      <c r="R170" s="698">
        <f t="shared" si="140"/>
        <v>2.23E-2</v>
      </c>
      <c r="T170" s="699">
        <f t="shared" si="141"/>
        <v>0</v>
      </c>
      <c r="U170" s="699">
        <f t="shared" si="142"/>
        <v>0</v>
      </c>
      <c r="V170" s="699">
        <f t="shared" si="143"/>
        <v>0</v>
      </c>
      <c r="W170" s="699">
        <f t="shared" si="144"/>
        <v>0</v>
      </c>
      <c r="X170" s="699">
        <f t="shared" si="145"/>
        <v>0</v>
      </c>
      <c r="Y170" s="699">
        <f t="shared" si="146"/>
        <v>0</v>
      </c>
      <c r="Z170" s="699">
        <f t="shared" si="147"/>
        <v>0</v>
      </c>
      <c r="AA170" s="699">
        <f t="shared" si="148"/>
        <v>0</v>
      </c>
      <c r="AB170" s="699">
        <f t="shared" si="149"/>
        <v>0</v>
      </c>
      <c r="AC170" s="699">
        <f t="shared" si="150"/>
        <v>0</v>
      </c>
      <c r="AD170" s="699">
        <f t="shared" si="151"/>
        <v>0</v>
      </c>
      <c r="AE170" s="699">
        <f t="shared" si="152"/>
        <v>0</v>
      </c>
      <c r="AF170" s="699">
        <f t="shared" si="153"/>
        <v>0</v>
      </c>
      <c r="AG170" s="699">
        <f t="shared" si="154"/>
        <v>0</v>
      </c>
      <c r="AI170" s="698" t="e">
        <f t="shared" si="137"/>
        <v>#DIV/0!</v>
      </c>
      <c r="AJ170" s="698"/>
      <c r="AK170" s="698"/>
      <c r="AL170" s="4" t="str">
        <f>$A170&amp;$C7&amp;InputSheet!C$43&amp;InputSheet!D$43</f>
        <v>Option Year 13ISOverheadGovt</v>
      </c>
      <c r="AM170" s="700" t="e">
        <f t="shared" si="138"/>
        <v>#DIV/0!</v>
      </c>
      <c r="AP170" s="387" t="e">
        <f t="shared" si="101"/>
        <v>#DIV/0!</v>
      </c>
    </row>
    <row r="171" spans="1:42">
      <c r="A171" s="6" t="str">
        <f t="shared" si="139"/>
        <v>Option Year 13</v>
      </c>
      <c r="B171" s="6" t="str">
        <f t="shared" si="135"/>
        <v>Material Handling</v>
      </c>
      <c r="E171" s="698">
        <f>IF(E167="",0,INDEX(Input_Range,MATCH((C7&amp;B171),Input_Call,0),MATCH(E167,Input_Header,0)))</f>
        <v>3.1699999999999999E-2</v>
      </c>
      <c r="F171" s="698">
        <f>IF(F167="",0,INDEX(Input_Range,MATCH((C7&amp;B171),Input_Call,0),MATCH(F167,Input_Header,0)))</f>
        <v>3.0700000000000002E-2</v>
      </c>
      <c r="G171" s="698">
        <f>IF(G167="",0,INDEX(Input_Range,MATCH((C7&amp;B171),Input_Call,0),MATCH(G167,Input_Header,0)))</f>
        <v>2.9700000000000001E-2</v>
      </c>
      <c r="H171" s="698">
        <f>IF(H167="",0,INDEX(Input_Range,MATCH((C7&amp;B171),Input_Call,0),MATCH(H167,Input_Header,0)))</f>
        <v>2.8799999999999999E-2</v>
      </c>
      <c r="I171" s="698">
        <f>IF(I167="",0,INDEX(Input_Range,MATCH((C7&amp;B171),Input_Call,0),MATCH(I167,Input_Header,0)))</f>
        <v>2.8000000000000001E-2</v>
      </c>
      <c r="J171" s="698">
        <f>IF(J167="",0,INDEX(Input_Range,MATCH((C7&amp;B171),Input_Call,0),MATCH(J167,Input_Header,0)))</f>
        <v>2.8000000000000001E-2</v>
      </c>
      <c r="K171" s="698">
        <f>IF(K167="",0,INDEX(Input_Range,MATCH((C7&amp;B171),Input_Call,0),MATCH(K167,Input_Header,0)))</f>
        <v>2.8000000000000001E-2</v>
      </c>
      <c r="L171" s="698">
        <f>IF(L167="",0,INDEX(Input_Range,MATCH((C7&amp;B171),Input_Call,0),MATCH(L167,Input_Header,0)))</f>
        <v>2.8000000000000001E-2</v>
      </c>
      <c r="M171" s="698">
        <f>IF(M167="",0,INDEX(Input_Range,MATCH((C7&amp;B171),Input_Call,0),MATCH(M167,Input_Header,0)))</f>
        <v>2.8000000000000001E-2</v>
      </c>
      <c r="N171" s="698">
        <f>IF(N167="",0,INDEX(Input_Range,MATCH((C7&amp;B171),Input_Call,0),MATCH(N167,Input_Header,0)))</f>
        <v>2.8000000000000001E-2</v>
      </c>
      <c r="O171" s="698">
        <f>IF(O167="",0,INDEX(Input_Range,MATCH((C7&amp;B171),Input_Call,0),MATCH(O167,Input_Header,0)))</f>
        <v>2.8000000000000001E-2</v>
      </c>
      <c r="P171" s="698">
        <f>IF(P167="",0,INDEX(Input_Range,MATCH((C7&amp;B171),Input_Call,0),MATCH(P167,Input_Header,0)))</f>
        <v>2.8000000000000001E-2</v>
      </c>
      <c r="Q171" s="698">
        <f>IF(Q167="",0,INDEX(Input_Range,MATCH((C7&amp;B171),Input_Call,0),MATCH(Q167,Input_Header,0)))</f>
        <v>2.8000000000000001E-2</v>
      </c>
      <c r="R171" s="698">
        <f t="shared" si="140"/>
        <v>2.8000000000000001E-2</v>
      </c>
      <c r="T171" s="699">
        <f t="shared" si="141"/>
        <v>0</v>
      </c>
      <c r="U171" s="699">
        <f t="shared" si="142"/>
        <v>0</v>
      </c>
      <c r="V171" s="699">
        <f t="shared" si="143"/>
        <v>0</v>
      </c>
      <c r="W171" s="699">
        <f t="shared" si="144"/>
        <v>0</v>
      </c>
      <c r="X171" s="699">
        <f t="shared" si="145"/>
        <v>0</v>
      </c>
      <c r="Y171" s="699">
        <f t="shared" si="146"/>
        <v>0</v>
      </c>
      <c r="Z171" s="699">
        <f t="shared" si="147"/>
        <v>0</v>
      </c>
      <c r="AA171" s="699">
        <f t="shared" si="148"/>
        <v>0</v>
      </c>
      <c r="AB171" s="699">
        <f t="shared" si="149"/>
        <v>0</v>
      </c>
      <c r="AC171" s="699">
        <f t="shared" si="150"/>
        <v>0</v>
      </c>
      <c r="AD171" s="699">
        <f t="shared" si="151"/>
        <v>0</v>
      </c>
      <c r="AE171" s="699">
        <f t="shared" si="152"/>
        <v>0</v>
      </c>
      <c r="AF171" s="699">
        <f t="shared" si="153"/>
        <v>0</v>
      </c>
      <c r="AG171" s="699">
        <f t="shared" si="154"/>
        <v>0</v>
      </c>
      <c r="AI171" s="698" t="e">
        <f t="shared" si="137"/>
        <v>#DIV/0!</v>
      </c>
      <c r="AJ171" s="698"/>
      <c r="AK171" s="698"/>
      <c r="AL171" s="4" t="str">
        <f>$A171&amp;$C7&amp;InputSheet!C$44&amp;InputSheet!D$44</f>
        <v>Option Year 13ISMHContr/Govt</v>
      </c>
      <c r="AM171" s="700" t="e">
        <f t="shared" si="138"/>
        <v>#DIV/0!</v>
      </c>
      <c r="AP171" s="387" t="e">
        <f t="shared" si="101"/>
        <v>#DIV/0!</v>
      </c>
    </row>
    <row r="172" spans="1:42">
      <c r="A172" s="6" t="str">
        <f t="shared" si="139"/>
        <v>Option Year 13</v>
      </c>
      <c r="B172" s="6" t="str">
        <f t="shared" si="135"/>
        <v>G&amp;A</v>
      </c>
      <c r="E172" s="698">
        <f>IF(E167="",0,INDEX(Input_Range,MATCH((C7&amp;B172),Input_Call,0),MATCH(E167,Input_Header,0)))</f>
        <v>9.7500000000000003E-2</v>
      </c>
      <c r="F172" s="698">
        <f>IF(F167="",0,INDEX(Input_Range,MATCH((C7&amp;B172),Input_Call,0),MATCH(F167,Input_Header,0)))</f>
        <v>9.4700000000000006E-2</v>
      </c>
      <c r="G172" s="698">
        <f>IF(G167="",0,INDEX(Input_Range,MATCH((C7&amp;B172),Input_Call,0),MATCH(G167,Input_Header,0)))</f>
        <v>9.1999999999999998E-2</v>
      </c>
      <c r="H172" s="698">
        <f>IF(H167="",0,INDEX(Input_Range,MATCH((C7&amp;B172),Input_Call,0),MATCH(H167,Input_Header,0)))</f>
        <v>8.9499999999999996E-2</v>
      </c>
      <c r="I172" s="698">
        <f>IF(I167="",0,INDEX(Input_Range,MATCH((C7&amp;B172),Input_Call,0),MATCH(I167,Input_Header,0)))</f>
        <v>8.7099999999999997E-2</v>
      </c>
      <c r="J172" s="698">
        <f>IF(J167="",0,INDEX(Input_Range,MATCH((C7&amp;B172),Input_Call,0),MATCH(J167,Input_Header,0)))</f>
        <v>8.7099999999999997E-2</v>
      </c>
      <c r="K172" s="698">
        <f>IF(K167="",0,INDEX(Input_Range,MATCH((C7&amp;B172),Input_Call,0),MATCH(K167,Input_Header,0)))</f>
        <v>8.7099999999999997E-2</v>
      </c>
      <c r="L172" s="698">
        <f>IF(L167="",0,INDEX(Input_Range,MATCH((C7&amp;B172),Input_Call,0),MATCH(L167,Input_Header,0)))</f>
        <v>8.7099999999999997E-2</v>
      </c>
      <c r="M172" s="698">
        <f>IF(M167="",0,INDEX(Input_Range,MATCH((C7&amp;B172),Input_Call,0),MATCH(M167,Input_Header,0)))</f>
        <v>8.7099999999999997E-2</v>
      </c>
      <c r="N172" s="698">
        <f>IF(N167="",0,INDEX(Input_Range,MATCH((C7&amp;B172),Input_Call,0),MATCH(N167,Input_Header,0)))</f>
        <v>8.7099999999999997E-2</v>
      </c>
      <c r="O172" s="698">
        <f>IF(O167="",0,INDEX(Input_Range,MATCH((C7&amp;B172),Input_Call,0),MATCH(O167,Input_Header,0)))</f>
        <v>8.7099999999999997E-2</v>
      </c>
      <c r="P172" s="698">
        <f>IF(P167="",0,INDEX(Input_Range,MATCH((C7&amp;B172),Input_Call,0),MATCH(P167,Input_Header,0)))</f>
        <v>8.7099999999999997E-2</v>
      </c>
      <c r="Q172" s="698">
        <f>IF(Q167="",0,INDEX(Input_Range,MATCH((C7&amp;B172),Input_Call,0),MATCH(Q167,Input_Header,0)))</f>
        <v>8.7099999999999997E-2</v>
      </c>
      <c r="R172" s="698">
        <f t="shared" si="140"/>
        <v>8.7099999999999997E-2</v>
      </c>
      <c r="T172" s="699">
        <f t="shared" si="141"/>
        <v>0</v>
      </c>
      <c r="U172" s="699">
        <f t="shared" si="142"/>
        <v>0</v>
      </c>
      <c r="V172" s="699">
        <f t="shared" si="143"/>
        <v>0</v>
      </c>
      <c r="W172" s="699">
        <f t="shared" si="144"/>
        <v>0</v>
      </c>
      <c r="X172" s="699">
        <f t="shared" si="145"/>
        <v>0</v>
      </c>
      <c r="Y172" s="699">
        <f t="shared" si="146"/>
        <v>0</v>
      </c>
      <c r="Z172" s="699">
        <f t="shared" si="147"/>
        <v>0</v>
      </c>
      <c r="AA172" s="699">
        <f t="shared" si="148"/>
        <v>0</v>
      </c>
      <c r="AB172" s="699">
        <f t="shared" si="149"/>
        <v>0</v>
      </c>
      <c r="AC172" s="699">
        <f t="shared" si="150"/>
        <v>0</v>
      </c>
      <c r="AD172" s="699">
        <f t="shared" si="151"/>
        <v>0</v>
      </c>
      <c r="AE172" s="699">
        <f t="shared" si="152"/>
        <v>0</v>
      </c>
      <c r="AF172" s="699">
        <f t="shared" si="153"/>
        <v>0</v>
      </c>
      <c r="AG172" s="699">
        <f t="shared" si="154"/>
        <v>0</v>
      </c>
      <c r="AI172" s="698" t="e">
        <f t="shared" si="137"/>
        <v>#DIV/0!</v>
      </c>
      <c r="AJ172" s="698"/>
      <c r="AK172" s="698"/>
      <c r="AL172" s="4" t="str">
        <f>$A172&amp;$C7&amp;InputSheet!C$45&amp;InputSheet!D$45</f>
        <v>Option Year 13ISG&amp;AContr/Govt</v>
      </c>
      <c r="AM172" s="700" t="e">
        <f t="shared" si="138"/>
        <v>#DIV/0!</v>
      </c>
      <c r="AP172" s="387" t="e">
        <f t="shared" si="101"/>
        <v>#DIV/0!</v>
      </c>
    </row>
    <row r="173" spans="1:42" outlineLevel="1">
      <c r="A173" s="6" t="str">
        <f t="shared" si="139"/>
        <v>Option Year 13</v>
      </c>
      <c r="B173" s="6" t="str">
        <f t="shared" si="135"/>
        <v>TBD1</v>
      </c>
      <c r="E173" s="21">
        <f>IF(E167="",0,INDEX(Input_Range,MATCH((C7&amp;B173),Input_Call,0),MATCH(E167,Input_Header,0)))</f>
        <v>0</v>
      </c>
      <c r="F173" s="21">
        <f>IF(F167="",0,INDEX(Input_Range,MATCH((C7&amp;B173),Input_Call,0),MATCH(F167,Input_Header,0)))</f>
        <v>0</v>
      </c>
      <c r="G173" s="21">
        <f>IF(G167="",0,INDEX(Input_Range,MATCH((C7&amp;B173),Input_Call,0),MATCH(G167,Input_Header,0)))</f>
        <v>0</v>
      </c>
      <c r="H173" s="21">
        <f>IF(H167="",0,INDEX(Input_Range,MATCH((C7&amp;B173),Input_Call,0),MATCH(H167,Input_Header,0)))</f>
        <v>0</v>
      </c>
      <c r="I173" s="21">
        <f>IF(I167="",0,INDEX(Input_Range,MATCH((C7&amp;B173),Input_Call,0),MATCH(I167,Input_Header,0)))</f>
        <v>0</v>
      </c>
      <c r="J173" s="21">
        <f>IF(J167="",0,INDEX(Input_Range,MATCH((C7&amp;B173),Input_Call,0),MATCH(J167,Input_Header,0)))</f>
        <v>0</v>
      </c>
      <c r="K173" s="21">
        <f>IF(K167="",0,INDEX(Input_Range,MATCH((C7&amp;B173),Input_Call,0),MATCH(K167,Input_Header,0)))</f>
        <v>0</v>
      </c>
      <c r="L173" s="21">
        <f>IF(L167="",0,INDEX(Input_Range,MATCH((C7&amp;B173),Input_Call,0),MATCH(L167,Input_Header,0)))</f>
        <v>0</v>
      </c>
      <c r="M173" s="21">
        <f>IF(M167="",0,INDEX(Input_Range,MATCH((C7&amp;B173),Input_Call,0),MATCH(M167,Input_Header,0)))</f>
        <v>0</v>
      </c>
      <c r="N173" s="21">
        <f>IF(N167="",0,INDEX(Input_Range,MATCH((C7&amp;B173),Input_Call,0),MATCH(N167,Input_Header,0)))</f>
        <v>0</v>
      </c>
      <c r="O173" s="21">
        <f>IF(O167="",0,INDEX(Input_Range,MATCH((C7&amp;B173),Input_Call,0),MATCH(O167,Input_Header,0)))</f>
        <v>0</v>
      </c>
      <c r="P173" s="21">
        <f>IF(P167="",0,INDEX(Input_Range,MATCH((C7&amp;B173),Input_Call,0),MATCH(P167,Input_Header,0)))</f>
        <v>0</v>
      </c>
      <c r="Q173" s="21">
        <f>IF(Q167="",0,INDEX(Input_Range,MATCH((C7&amp;B173),Input_Call,0),MATCH(Q167,Input_Header,0)))</f>
        <v>0</v>
      </c>
      <c r="R173" s="698">
        <f t="shared" si="140"/>
        <v>0</v>
      </c>
      <c r="T173" s="699">
        <f t="shared" si="141"/>
        <v>0</v>
      </c>
      <c r="U173" s="699">
        <f t="shared" si="142"/>
        <v>0</v>
      </c>
      <c r="V173" s="699">
        <f t="shared" si="143"/>
        <v>0</v>
      </c>
      <c r="W173" s="699">
        <f t="shared" si="144"/>
        <v>0</v>
      </c>
      <c r="X173" s="699">
        <f t="shared" si="145"/>
        <v>0</v>
      </c>
      <c r="Y173" s="699">
        <f t="shared" si="146"/>
        <v>0</v>
      </c>
      <c r="Z173" s="699">
        <f t="shared" si="147"/>
        <v>0</v>
      </c>
      <c r="AA173" s="699">
        <f t="shared" si="148"/>
        <v>0</v>
      </c>
      <c r="AB173" s="699">
        <f t="shared" si="149"/>
        <v>0</v>
      </c>
      <c r="AC173" s="699">
        <f t="shared" si="150"/>
        <v>0</v>
      </c>
      <c r="AD173" s="699">
        <f t="shared" si="151"/>
        <v>0</v>
      </c>
      <c r="AE173" s="699">
        <f t="shared" si="152"/>
        <v>0</v>
      </c>
      <c r="AF173" s="699">
        <f t="shared" si="153"/>
        <v>0</v>
      </c>
      <c r="AG173" s="699">
        <f t="shared" si="154"/>
        <v>0</v>
      </c>
      <c r="AI173" s="698" t="e">
        <f t="shared" si="137"/>
        <v>#DIV/0!</v>
      </c>
      <c r="AJ173" s="21"/>
      <c r="AK173" s="21"/>
      <c r="AL173" s="4" t="str">
        <f>$A173&amp;$C7&amp;InputSheet!C$46&amp;InputSheet!D$46</f>
        <v>Option Year 13ISTBD1Contr/Govt</v>
      </c>
      <c r="AM173" s="700" t="e">
        <f t="shared" si="138"/>
        <v>#DIV/0!</v>
      </c>
      <c r="AP173" s="387" t="e">
        <f t="shared" si="101"/>
        <v>#DIV/0!</v>
      </c>
    </row>
    <row r="174" spans="1:42" outlineLevel="1">
      <c r="A174" s="6" t="str">
        <f t="shared" si="139"/>
        <v>Option Year 13</v>
      </c>
      <c r="B174" s="6" t="str">
        <f t="shared" si="135"/>
        <v>TBD2</v>
      </c>
      <c r="E174" s="21">
        <f>IF(E167="",0,INDEX(Input_Range,MATCH((C7&amp;B174),Input_Call,0),MATCH(E167,Input_Header,0)))</f>
        <v>0</v>
      </c>
      <c r="F174" s="21">
        <f>IF(F167="",0,INDEX(Input_Range,MATCH((C7&amp;B174),Input_Call,0),MATCH(F167,Input_Header,0)))</f>
        <v>0</v>
      </c>
      <c r="G174" s="21">
        <f>IF(G167="",0,INDEX(Input_Range,MATCH((C7&amp;B174),Input_Call,0),MATCH(G167,Input_Header,0)))</f>
        <v>0</v>
      </c>
      <c r="H174" s="21">
        <f>IF(H167="",0,INDEX(Input_Range,MATCH((C7&amp;B174),Input_Call,0),MATCH(H167,Input_Header,0)))</f>
        <v>0</v>
      </c>
      <c r="I174" s="21">
        <f>IF(I167="",0,INDEX(Input_Range,MATCH((C7&amp;B174),Input_Call,0),MATCH(I167,Input_Header,0)))</f>
        <v>0</v>
      </c>
      <c r="J174" s="21">
        <f>IF(J167="",0,INDEX(Input_Range,MATCH((C7&amp;B174),Input_Call,0),MATCH(J167,Input_Header,0)))</f>
        <v>0</v>
      </c>
      <c r="K174" s="21">
        <f>IF(K167="",0,INDEX(Input_Range,MATCH((C7&amp;B174),Input_Call,0),MATCH(K167,Input_Header,0)))</f>
        <v>0</v>
      </c>
      <c r="L174" s="21">
        <f>IF(L167="",0,INDEX(Input_Range,MATCH((C7&amp;B174),Input_Call,0),MATCH(L167,Input_Header,0)))</f>
        <v>0</v>
      </c>
      <c r="M174" s="21">
        <f>IF(M167="",0,INDEX(Input_Range,MATCH((C7&amp;B174),Input_Call,0),MATCH(M167,Input_Header,0)))</f>
        <v>0</v>
      </c>
      <c r="N174" s="21">
        <f>IF(N167="",0,INDEX(Input_Range,MATCH((C7&amp;B174),Input_Call,0),MATCH(N167,Input_Header,0)))</f>
        <v>0</v>
      </c>
      <c r="O174" s="21">
        <f>IF(O167="",0,INDEX(Input_Range,MATCH((C7&amp;B174),Input_Call,0),MATCH(O167,Input_Header,0)))</f>
        <v>0</v>
      </c>
      <c r="P174" s="21">
        <f>IF(P167="",0,INDEX(Input_Range,MATCH((C7&amp;B174),Input_Call,0),MATCH(P167,Input_Header,0)))</f>
        <v>0</v>
      </c>
      <c r="Q174" s="21">
        <f>IF(Q167="",0,INDEX(Input_Range,MATCH((C7&amp;B174),Input_Call,0),MATCH(Q167,Input_Header,0)))</f>
        <v>0</v>
      </c>
      <c r="R174" s="698">
        <f t="shared" si="140"/>
        <v>0</v>
      </c>
      <c r="T174" s="699">
        <f t="shared" si="141"/>
        <v>0</v>
      </c>
      <c r="U174" s="699">
        <f t="shared" si="142"/>
        <v>0</v>
      </c>
      <c r="V174" s="699">
        <f t="shared" si="143"/>
        <v>0</v>
      </c>
      <c r="W174" s="699">
        <f t="shared" si="144"/>
        <v>0</v>
      </c>
      <c r="X174" s="699">
        <f t="shared" si="145"/>
        <v>0</v>
      </c>
      <c r="Y174" s="699">
        <f t="shared" si="146"/>
        <v>0</v>
      </c>
      <c r="Z174" s="699">
        <f t="shared" si="147"/>
        <v>0</v>
      </c>
      <c r="AA174" s="699">
        <f t="shared" si="148"/>
        <v>0</v>
      </c>
      <c r="AB174" s="699">
        <f t="shared" si="149"/>
        <v>0</v>
      </c>
      <c r="AC174" s="699">
        <f t="shared" si="150"/>
        <v>0</v>
      </c>
      <c r="AD174" s="699">
        <f t="shared" si="151"/>
        <v>0</v>
      </c>
      <c r="AE174" s="699">
        <f t="shared" si="152"/>
        <v>0</v>
      </c>
      <c r="AF174" s="699">
        <f t="shared" si="153"/>
        <v>0</v>
      </c>
      <c r="AG174" s="699">
        <f t="shared" si="154"/>
        <v>0</v>
      </c>
      <c r="AI174" s="698" t="e">
        <f t="shared" si="137"/>
        <v>#DIV/0!</v>
      </c>
      <c r="AJ174" s="21"/>
      <c r="AK174" s="21"/>
      <c r="AL174" s="4" t="str">
        <f>$A174&amp;$C7&amp;InputSheet!C$47&amp;InputSheet!D$47</f>
        <v>Option Year 13ISTBD2Contr/Govt</v>
      </c>
      <c r="AM174" s="700" t="e">
        <f t="shared" si="138"/>
        <v>#DIV/0!</v>
      </c>
      <c r="AP174" s="387" t="e">
        <f t="shared" si="101"/>
        <v>#DIV/0!</v>
      </c>
    </row>
    <row r="175" spans="1:42" outlineLevel="1">
      <c r="A175" s="6" t="str">
        <f t="shared" si="139"/>
        <v>Option Year 13</v>
      </c>
      <c r="B175" s="6" t="str">
        <f t="shared" si="135"/>
        <v>TBD3</v>
      </c>
      <c r="E175" s="21">
        <f>IF(E167="",0,INDEX(Input_Range,MATCH((C7&amp;B175),Input_Call,0),MATCH(E167,Input_Header,0)))</f>
        <v>0</v>
      </c>
      <c r="F175" s="21">
        <f>IF(F167="",0,INDEX(Input_Range,MATCH((C7&amp;B175),Input_Call,0),MATCH(F167,Input_Header,0)))</f>
        <v>0</v>
      </c>
      <c r="G175" s="21">
        <f>IF(G167="",0,INDEX(Input_Range,MATCH((C7&amp;B175),Input_Call,0),MATCH(G167,Input_Header,0)))</f>
        <v>0</v>
      </c>
      <c r="H175" s="21">
        <f>IF(H167="",0,INDEX(Input_Range,MATCH((C7&amp;B175),Input_Call,0),MATCH(H167,Input_Header,0)))</f>
        <v>0</v>
      </c>
      <c r="I175" s="21">
        <f>IF(I167="",0,INDEX(Input_Range,MATCH((C7&amp;B175),Input_Call,0),MATCH(I167,Input_Header,0)))</f>
        <v>0</v>
      </c>
      <c r="J175" s="21">
        <f>IF(J167="",0,INDEX(Input_Range,MATCH((C7&amp;B175),Input_Call,0),MATCH(J167,Input_Header,0)))</f>
        <v>0</v>
      </c>
      <c r="K175" s="21">
        <f>IF(K167="",0,INDEX(Input_Range,MATCH((C7&amp;B175),Input_Call,0),MATCH(K167,Input_Header,0)))</f>
        <v>0</v>
      </c>
      <c r="L175" s="21">
        <f>IF(L167="",0,INDEX(Input_Range,MATCH((C7&amp;B175),Input_Call,0),MATCH(L167,Input_Header,0)))</f>
        <v>0</v>
      </c>
      <c r="M175" s="21">
        <f>IF(M167="",0,INDEX(Input_Range,MATCH((C7&amp;B175),Input_Call,0),MATCH(M167,Input_Header,0)))</f>
        <v>0</v>
      </c>
      <c r="N175" s="21">
        <f>IF(N167="",0,INDEX(Input_Range,MATCH((C7&amp;B175),Input_Call,0),MATCH(N167,Input_Header,0)))</f>
        <v>0</v>
      </c>
      <c r="O175" s="21">
        <f>IF(O167="",0,INDEX(Input_Range,MATCH((C7&amp;B175),Input_Call,0),MATCH(O167,Input_Header,0)))</f>
        <v>0</v>
      </c>
      <c r="P175" s="21">
        <f>IF(P167="",0,INDEX(Input_Range,MATCH((C7&amp;B175),Input_Call,0),MATCH(P167,Input_Header,0)))</f>
        <v>0</v>
      </c>
      <c r="Q175" s="21">
        <f>IF(Q167="",0,INDEX(Input_Range,MATCH((C7&amp;B175),Input_Call,0),MATCH(Q167,Input_Header,0)))</f>
        <v>0</v>
      </c>
      <c r="R175" s="698">
        <f t="shared" si="140"/>
        <v>0</v>
      </c>
      <c r="T175" s="699">
        <f t="shared" si="141"/>
        <v>0</v>
      </c>
      <c r="U175" s="699">
        <f t="shared" si="142"/>
        <v>0</v>
      </c>
      <c r="V175" s="699">
        <f t="shared" si="143"/>
        <v>0</v>
      </c>
      <c r="W175" s="699">
        <f t="shared" si="144"/>
        <v>0</v>
      </c>
      <c r="X175" s="699">
        <f t="shared" si="145"/>
        <v>0</v>
      </c>
      <c r="Y175" s="699">
        <f t="shared" si="146"/>
        <v>0</v>
      </c>
      <c r="Z175" s="699">
        <f t="shared" si="147"/>
        <v>0</v>
      </c>
      <c r="AA175" s="699">
        <f t="shared" si="148"/>
        <v>0</v>
      </c>
      <c r="AB175" s="699">
        <f t="shared" si="149"/>
        <v>0</v>
      </c>
      <c r="AC175" s="699">
        <f t="shared" si="150"/>
        <v>0</v>
      </c>
      <c r="AD175" s="699">
        <f t="shared" si="151"/>
        <v>0</v>
      </c>
      <c r="AE175" s="699">
        <f t="shared" si="152"/>
        <v>0</v>
      </c>
      <c r="AF175" s="699">
        <f t="shared" si="153"/>
        <v>0</v>
      </c>
      <c r="AG175" s="699">
        <f t="shared" si="154"/>
        <v>0</v>
      </c>
      <c r="AI175" s="698" t="e">
        <f t="shared" si="137"/>
        <v>#DIV/0!</v>
      </c>
      <c r="AJ175" s="21"/>
      <c r="AK175" s="21"/>
      <c r="AL175" s="4" t="str">
        <f>$A175&amp;$C7&amp;InputSheet!C$48&amp;InputSheet!D$48</f>
        <v>Option Year 13ISTBD3Contr/Govt</v>
      </c>
      <c r="AM175" s="700" t="e">
        <f t="shared" si="138"/>
        <v>#DIV/0!</v>
      </c>
      <c r="AP175" s="387" t="e">
        <f t="shared" si="101"/>
        <v>#DIV/0!</v>
      </c>
    </row>
    <row r="176" spans="1:42">
      <c r="E176" s="698"/>
      <c r="F176" s="698"/>
      <c r="G176" s="698"/>
      <c r="H176" s="698"/>
      <c r="I176" s="698"/>
      <c r="J176" s="698"/>
      <c r="K176" s="698"/>
      <c r="L176" s="698"/>
      <c r="M176" s="698"/>
      <c r="N176" s="698"/>
      <c r="O176" s="698"/>
      <c r="P176" s="698"/>
      <c r="Q176" s="698"/>
      <c r="R176" s="698"/>
      <c r="AI176" s="21"/>
      <c r="AJ176" s="21"/>
      <c r="AK176" s="21"/>
      <c r="AP176" s="387" t="str">
        <f t="shared" si="101"/>
        <v>1</v>
      </c>
    </row>
    <row r="177" spans="1:42">
      <c r="A177" s="530" t="str">
        <f>B177</f>
        <v>Option Year 14</v>
      </c>
      <c r="B177" s="691" t="str">
        <f>InputSheet!$C$36</f>
        <v>Option Year 14</v>
      </c>
      <c r="AP177" s="387" t="str">
        <f t="shared" si="101"/>
        <v>1</v>
      </c>
    </row>
    <row r="178" spans="1:42">
      <c r="B178" s="314" t="s">
        <v>587</v>
      </c>
      <c r="C178" s="692" t="s">
        <v>588</v>
      </c>
      <c r="E178" s="1216" t="str">
        <f>"Indirect Rates - "&amp;C$7</f>
        <v>Indirect Rates - IS</v>
      </c>
      <c r="F178" s="1216"/>
      <c r="G178" s="1216"/>
      <c r="H178" s="1216"/>
      <c r="I178" s="1216"/>
      <c r="J178" s="1216"/>
      <c r="K178" s="1216"/>
      <c r="L178" s="1216"/>
      <c r="M178" s="1216"/>
      <c r="N178" s="1216"/>
      <c r="O178" s="1216"/>
      <c r="P178" s="1216"/>
      <c r="Q178" s="1216"/>
      <c r="R178" s="1216"/>
      <c r="S178" s="844"/>
      <c r="T178" s="1217" t="s">
        <v>794</v>
      </c>
      <c r="U178" s="1217"/>
      <c r="V178" s="1217"/>
      <c r="W178" s="1217"/>
      <c r="X178" s="1217"/>
      <c r="Y178" s="1217"/>
      <c r="Z178" s="1217"/>
      <c r="AA178" s="1217"/>
      <c r="AB178" s="1217"/>
      <c r="AC178" s="1217"/>
      <c r="AD178" s="1217"/>
      <c r="AE178" s="1217"/>
      <c r="AF178" s="1217"/>
      <c r="AG178" s="1217"/>
      <c r="AI178" s="692" t="s">
        <v>615</v>
      </c>
      <c r="AJ178" s="50"/>
      <c r="AK178" s="50"/>
      <c r="AP178" s="387" t="str">
        <f t="shared" si="101"/>
        <v>1</v>
      </c>
    </row>
    <row r="179" spans="1:42">
      <c r="B179" s="693">
        <f>VLOOKUP(A177,InputSheet!$C$8:$E$37,2,FALSE)</f>
        <v>3288</v>
      </c>
      <c r="C179" s="694">
        <f>VLOOKUP(A177,InputSheet!$C$8:$E$37,3,FALSE)</f>
        <v>3652</v>
      </c>
      <c r="E179" s="695">
        <f t="shared" ref="E179:R179" si="155">E167</f>
        <v>2009</v>
      </c>
      <c r="F179" s="695">
        <f t="shared" si="155"/>
        <v>2010</v>
      </c>
      <c r="G179" s="695">
        <f t="shared" si="155"/>
        <v>2011</v>
      </c>
      <c r="H179" s="695">
        <f t="shared" si="155"/>
        <v>2012</v>
      </c>
      <c r="I179" s="695">
        <f t="shared" si="155"/>
        <v>2013</v>
      </c>
      <c r="J179" s="695">
        <f t="shared" si="155"/>
        <v>2014</v>
      </c>
      <c r="K179" s="695">
        <f t="shared" si="155"/>
        <v>2015</v>
      </c>
      <c r="L179" s="695">
        <f t="shared" si="155"/>
        <v>2016</v>
      </c>
      <c r="M179" s="695">
        <f t="shared" si="155"/>
        <v>2017</v>
      </c>
      <c r="N179" s="695">
        <f t="shared" si="155"/>
        <v>2018</v>
      </c>
      <c r="O179" s="695">
        <f t="shared" si="155"/>
        <v>2019</v>
      </c>
      <c r="P179" s="695">
        <f t="shared" si="155"/>
        <v>2020</v>
      </c>
      <c r="Q179" s="695">
        <f t="shared" si="155"/>
        <v>2021</v>
      </c>
      <c r="R179" s="695">
        <f t="shared" si="155"/>
        <v>2022</v>
      </c>
      <c r="S179" s="680"/>
      <c r="T179" s="695">
        <f t="shared" ref="T179:AG179" si="156">T167</f>
        <v>2009</v>
      </c>
      <c r="U179" s="695">
        <f t="shared" si="156"/>
        <v>2010</v>
      </c>
      <c r="V179" s="695">
        <f t="shared" si="156"/>
        <v>2011</v>
      </c>
      <c r="W179" s="695">
        <f t="shared" si="156"/>
        <v>2012</v>
      </c>
      <c r="X179" s="695">
        <f t="shared" si="156"/>
        <v>2013</v>
      </c>
      <c r="Y179" s="695">
        <f t="shared" si="156"/>
        <v>2014</v>
      </c>
      <c r="Z179" s="695">
        <f t="shared" si="156"/>
        <v>2015</v>
      </c>
      <c r="AA179" s="695">
        <f t="shared" si="156"/>
        <v>2016</v>
      </c>
      <c r="AB179" s="695">
        <f t="shared" si="156"/>
        <v>2017</v>
      </c>
      <c r="AC179" s="695">
        <f t="shared" si="156"/>
        <v>2018</v>
      </c>
      <c r="AD179" s="695">
        <f t="shared" si="156"/>
        <v>2019</v>
      </c>
      <c r="AE179" s="695">
        <f t="shared" si="156"/>
        <v>2020</v>
      </c>
      <c r="AF179" s="695">
        <f t="shared" si="156"/>
        <v>2021</v>
      </c>
      <c r="AG179" s="695">
        <f t="shared" si="156"/>
        <v>2022</v>
      </c>
      <c r="AI179" s="696" t="str">
        <f>B177</f>
        <v>Option Year 14</v>
      </c>
      <c r="AJ179" s="28"/>
      <c r="AK179" s="28"/>
      <c r="AP179" s="387" t="str">
        <f t="shared" si="101"/>
        <v>1</v>
      </c>
    </row>
    <row r="180" spans="1:42">
      <c r="A180" s="6" t="str">
        <f>A177</f>
        <v>Option Year 14</v>
      </c>
      <c r="B180" s="6" t="str">
        <f t="shared" ref="B180:B187" si="157">B168</f>
        <v>PRB</v>
      </c>
      <c r="E180" s="698">
        <f>IF(E179="",0,INDEX(Input_Range,MATCH((C7&amp;B180),Input_Call,0),MATCH(E179,Input_Header,0)))</f>
        <v>0.31240000000000001</v>
      </c>
      <c r="F180" s="698">
        <f>IF(F179="",0,INDEX(Input_Range,MATCH((C7&amp;B180),Input_Call,0),MATCH(F179,Input_Header,0)))</f>
        <v>0.31240000000000001</v>
      </c>
      <c r="G180" s="698">
        <f>IF(G179="",0,INDEX(Input_Range,MATCH((C7&amp;B180),Input_Call,0),MATCH(G179,Input_Header,0)))</f>
        <v>0.31240000000000001</v>
      </c>
      <c r="H180" s="698">
        <f>IF(H179="",0,INDEX(Input_Range,MATCH((C7&amp;B180),Input_Call,0),MATCH(H179,Input_Header,0)))</f>
        <v>0.31240000000000001</v>
      </c>
      <c r="I180" s="698">
        <f>IF(I179="",0,INDEX(Input_Range,MATCH((C7&amp;B180),Input_Call,0),MATCH(I179,Input_Header,0)))</f>
        <v>0.31240000000000001</v>
      </c>
      <c r="J180" s="698">
        <f>IF(J179="",0,INDEX(Input_Range,MATCH((C7&amp;B180),Input_Call,0),MATCH(J179,Input_Header,0)))</f>
        <v>0.31240000000000001</v>
      </c>
      <c r="K180" s="698">
        <f>IF(K179="",0,INDEX(Input_Range,MATCH((C7&amp;B180),Input_Call,0),MATCH(K179,Input_Header,0)))</f>
        <v>0.31240000000000001</v>
      </c>
      <c r="L180" s="698">
        <f>IF(L179="",0,INDEX(Input_Range,MATCH((C7&amp;B180),Input_Call,0),MATCH(L179,Input_Header,0)))</f>
        <v>0.31240000000000001</v>
      </c>
      <c r="M180" s="698">
        <f>IF(M179="",0,INDEX(Input_Range,MATCH((C7&amp;B180),Input_Call,0),MATCH(M179,Input_Header,0)))</f>
        <v>0.31240000000000001</v>
      </c>
      <c r="N180" s="698">
        <f>IF(N179="",0,INDEX(Input_Range,MATCH((C7&amp;B180),Input_Call,0),MATCH(N179,Input_Header,0)))</f>
        <v>0.31240000000000001</v>
      </c>
      <c r="O180" s="698">
        <f>IF(O179="",0,INDEX(Input_Range,MATCH((C7&amp;B180),Input_Call,0),MATCH(O179,Input_Header,0)))</f>
        <v>0.31240000000000001</v>
      </c>
      <c r="P180" s="698">
        <f>IF(P179="",0,INDEX(Input_Range,MATCH((C7&amp;B180),Input_Call,0),MATCH(P179,Input_Header,0)))</f>
        <v>0.31240000000000001</v>
      </c>
      <c r="Q180" s="698">
        <f>IF(Q179="",0,INDEX(Input_Range,MATCH((C7&amp;B180),Input_Call,0),MATCH(Q179,Input_Header,0)))</f>
        <v>0.31240000000000001</v>
      </c>
      <c r="R180" s="698">
        <f>Q180</f>
        <v>0.31240000000000001</v>
      </c>
      <c r="T180" s="699">
        <f t="shared" ref="T180:AG180" si="158">ROUND((MAX(0,(MIN($C179,DATE(T179,12,31))-MAX($B179,DATE(T179,1,1))+1)))/30.41667,0)</f>
        <v>0</v>
      </c>
      <c r="U180" s="699">
        <f t="shared" si="158"/>
        <v>0</v>
      </c>
      <c r="V180" s="699">
        <f t="shared" si="158"/>
        <v>0</v>
      </c>
      <c r="W180" s="699">
        <f t="shared" si="158"/>
        <v>0</v>
      </c>
      <c r="X180" s="699">
        <f t="shared" si="158"/>
        <v>0</v>
      </c>
      <c r="Y180" s="699">
        <f t="shared" si="158"/>
        <v>0</v>
      </c>
      <c r="Z180" s="699">
        <f t="shared" si="158"/>
        <v>0</v>
      </c>
      <c r="AA180" s="699">
        <f t="shared" si="158"/>
        <v>0</v>
      </c>
      <c r="AB180" s="699">
        <f t="shared" si="158"/>
        <v>0</v>
      </c>
      <c r="AC180" s="699">
        <f t="shared" si="158"/>
        <v>0</v>
      </c>
      <c r="AD180" s="699">
        <f t="shared" si="158"/>
        <v>0</v>
      </c>
      <c r="AE180" s="699">
        <f t="shared" si="158"/>
        <v>0</v>
      </c>
      <c r="AF180" s="699">
        <f t="shared" si="158"/>
        <v>0</v>
      </c>
      <c r="AG180" s="699">
        <f t="shared" si="158"/>
        <v>0</v>
      </c>
      <c r="AI180" s="698" t="e">
        <f t="shared" ref="AI180:AI187" si="159">ROUND(SUMPRODUCT(E180:R180,T180:AG180)/SUM(T180:AG180),4)</f>
        <v>#DIV/0!</v>
      </c>
      <c r="AJ180" s="698"/>
      <c r="AK180" s="698"/>
      <c r="AL180" s="4" t="str">
        <f>$A180&amp;$C7&amp;InputSheet!C$41&amp;InputSheet!D$41</f>
        <v>Option Year 14ISPRBContr/Govt</v>
      </c>
      <c r="AM180" s="700" t="e">
        <f t="shared" ref="AM180:AM187" si="160">AI180</f>
        <v>#DIV/0!</v>
      </c>
      <c r="AP180" s="387" t="e">
        <f t="shared" si="101"/>
        <v>#DIV/0!</v>
      </c>
    </row>
    <row r="181" spans="1:42">
      <c r="A181" s="6" t="str">
        <f t="shared" ref="A181:A187" si="161">A180</f>
        <v>Option Year 14</v>
      </c>
      <c r="B181" s="6" t="str">
        <f t="shared" si="157"/>
        <v>Overhead - Offsite</v>
      </c>
      <c r="E181" s="698">
        <f>IF(E179="",0,INDEX(Input_Range,MATCH((C7&amp;B181),Input_Call,0),MATCH(E179,Input_Header,0)))</f>
        <v>0.1988</v>
      </c>
      <c r="F181" s="698">
        <f>IF(F179="",0,INDEX(Input_Range,MATCH((C7&amp;B181),Input_Call,0),MATCH(F179,Input_Header,0)))</f>
        <v>0.1988</v>
      </c>
      <c r="G181" s="698">
        <f>IF(G179="",0,INDEX(Input_Range,MATCH((C7&amp;B181),Input_Call,0),MATCH(G179,Input_Header,0)))</f>
        <v>0.1988</v>
      </c>
      <c r="H181" s="698">
        <f>IF(H179="",0,INDEX(Input_Range,MATCH((C7&amp;B181),Input_Call,0),MATCH(H179,Input_Header,0)))</f>
        <v>0.1988</v>
      </c>
      <c r="I181" s="698">
        <f>IF(I179="",0,INDEX(Input_Range,MATCH((C7&amp;B181),Input_Call,0),MATCH(I179,Input_Header,0)))</f>
        <v>0.1988</v>
      </c>
      <c r="J181" s="698">
        <f>IF(J179="",0,INDEX(Input_Range,MATCH((C7&amp;B181),Input_Call,0),MATCH(J179,Input_Header,0)))</f>
        <v>0.1988</v>
      </c>
      <c r="K181" s="698">
        <f>IF(K179="",0,INDEX(Input_Range,MATCH((C7&amp;B181),Input_Call,0),MATCH(K179,Input_Header,0)))</f>
        <v>0.1988</v>
      </c>
      <c r="L181" s="698">
        <f>IF(L179="",0,INDEX(Input_Range,MATCH((C7&amp;B181),Input_Call,0),MATCH(L179,Input_Header,0)))</f>
        <v>0.1988</v>
      </c>
      <c r="M181" s="698">
        <f>IF(M179="",0,INDEX(Input_Range,MATCH((C7&amp;B181),Input_Call,0),MATCH(M179,Input_Header,0)))</f>
        <v>0.1988</v>
      </c>
      <c r="N181" s="698">
        <f>IF(N179="",0,INDEX(Input_Range,MATCH((C7&amp;B181),Input_Call,0),MATCH(N179,Input_Header,0)))</f>
        <v>0.1988</v>
      </c>
      <c r="O181" s="698">
        <f>IF(O179="",0,INDEX(Input_Range,MATCH((C7&amp;B181),Input_Call,0),MATCH(O179,Input_Header,0)))</f>
        <v>0.1988</v>
      </c>
      <c r="P181" s="698">
        <f>IF(P179="",0,INDEX(Input_Range,MATCH((C7&amp;B181),Input_Call,0),MATCH(P179,Input_Header,0)))</f>
        <v>0.1988</v>
      </c>
      <c r="Q181" s="698">
        <f>IF(Q179="",0,INDEX(Input_Range,MATCH((C7&amp;B181),Input_Call,0),MATCH(Q179,Input_Header,0)))</f>
        <v>0.1988</v>
      </c>
      <c r="R181" s="698">
        <f t="shared" ref="R181:R187" si="162">Q181</f>
        <v>0.1988</v>
      </c>
      <c r="T181" s="699">
        <f t="shared" ref="T181:T187" si="163">T180</f>
        <v>0</v>
      </c>
      <c r="U181" s="699">
        <f t="shared" ref="U181:U187" si="164">U180</f>
        <v>0</v>
      </c>
      <c r="V181" s="699">
        <f t="shared" ref="V181:V187" si="165">V180</f>
        <v>0</v>
      </c>
      <c r="W181" s="699">
        <f t="shared" ref="W181:W187" si="166">W180</f>
        <v>0</v>
      </c>
      <c r="X181" s="699">
        <f t="shared" ref="X181:X187" si="167">X180</f>
        <v>0</v>
      </c>
      <c r="Y181" s="699">
        <f t="shared" ref="Y181:Y187" si="168">Y180</f>
        <v>0</v>
      </c>
      <c r="Z181" s="699">
        <f t="shared" ref="Z181:Z187" si="169">Z180</f>
        <v>0</v>
      </c>
      <c r="AA181" s="699">
        <f t="shared" ref="AA181:AA187" si="170">AA180</f>
        <v>0</v>
      </c>
      <c r="AB181" s="699">
        <f t="shared" ref="AB181:AB187" si="171">AB180</f>
        <v>0</v>
      </c>
      <c r="AC181" s="699">
        <f t="shared" ref="AC181:AC187" si="172">AC180</f>
        <v>0</v>
      </c>
      <c r="AD181" s="699">
        <f t="shared" ref="AD181:AD187" si="173">AD180</f>
        <v>0</v>
      </c>
      <c r="AE181" s="699">
        <f t="shared" ref="AE181:AE187" si="174">AE180</f>
        <v>0</v>
      </c>
      <c r="AF181" s="699">
        <f t="shared" ref="AF181:AF187" si="175">AF180</f>
        <v>0</v>
      </c>
      <c r="AG181" s="699">
        <f t="shared" ref="AG181:AG187" si="176">AG180</f>
        <v>0</v>
      </c>
      <c r="AI181" s="698" t="e">
        <f t="shared" si="159"/>
        <v>#DIV/0!</v>
      </c>
      <c r="AJ181" s="698"/>
      <c r="AK181" s="698"/>
      <c r="AL181" s="4" t="str">
        <f>$A181&amp;$C7&amp;InputSheet!C$42&amp;InputSheet!D$42</f>
        <v>Option Year 14ISOverheadContr</v>
      </c>
      <c r="AM181" s="700" t="e">
        <f t="shared" si="160"/>
        <v>#DIV/0!</v>
      </c>
      <c r="AP181" s="387" t="e">
        <f t="shared" si="101"/>
        <v>#DIV/0!</v>
      </c>
    </row>
    <row r="182" spans="1:42">
      <c r="A182" s="6" t="str">
        <f t="shared" si="161"/>
        <v>Option Year 14</v>
      </c>
      <c r="B182" s="6" t="str">
        <f t="shared" si="157"/>
        <v>Overhead - Onsite</v>
      </c>
      <c r="E182" s="698">
        <f>IF(E179="",0,INDEX(Input_Range,MATCH((C7&amp;B182),Input_Call,0),MATCH(E179,Input_Header,0)))</f>
        <v>2.23E-2</v>
      </c>
      <c r="F182" s="698">
        <f>IF(F179="",0,INDEX(Input_Range,MATCH((C7&amp;B182),Input_Call,0),MATCH(F179,Input_Header,0)))</f>
        <v>2.23E-2</v>
      </c>
      <c r="G182" s="698">
        <f>IF(G179="",0,INDEX(Input_Range,MATCH((C7&amp;B182),Input_Call,0),MATCH(G179,Input_Header,0)))</f>
        <v>2.23E-2</v>
      </c>
      <c r="H182" s="698">
        <f>IF(H179="",0,INDEX(Input_Range,MATCH((C7&amp;B182),Input_Call,0),MATCH(H179,Input_Header,0)))</f>
        <v>2.23E-2</v>
      </c>
      <c r="I182" s="698">
        <f>IF(I179="",0,INDEX(Input_Range,MATCH((C7&amp;B182),Input_Call,0),MATCH(I179,Input_Header,0)))</f>
        <v>2.23E-2</v>
      </c>
      <c r="J182" s="698">
        <f>IF(J179="",0,INDEX(Input_Range,MATCH((C7&amp;B182),Input_Call,0),MATCH(J179,Input_Header,0)))</f>
        <v>2.23E-2</v>
      </c>
      <c r="K182" s="698">
        <f>IF(K179="",0,INDEX(Input_Range,MATCH((C7&amp;B182),Input_Call,0),MATCH(K179,Input_Header,0)))</f>
        <v>2.23E-2</v>
      </c>
      <c r="L182" s="698">
        <f>IF(L179="",0,INDEX(Input_Range,MATCH((C7&amp;B182),Input_Call,0),MATCH(L179,Input_Header,0)))</f>
        <v>2.23E-2</v>
      </c>
      <c r="M182" s="698">
        <f>IF(M179="",0,INDEX(Input_Range,MATCH((C7&amp;B182),Input_Call,0),MATCH(M179,Input_Header,0)))</f>
        <v>2.23E-2</v>
      </c>
      <c r="N182" s="698">
        <f>IF(N179="",0,INDEX(Input_Range,MATCH((C7&amp;B182),Input_Call,0),MATCH(N179,Input_Header,0)))</f>
        <v>2.23E-2</v>
      </c>
      <c r="O182" s="698">
        <f>IF(O179="",0,INDEX(Input_Range,MATCH((C7&amp;B182),Input_Call,0),MATCH(O179,Input_Header,0)))</f>
        <v>2.23E-2</v>
      </c>
      <c r="P182" s="698">
        <f>IF(P179="",0,INDEX(Input_Range,MATCH((C7&amp;B182),Input_Call,0),MATCH(P179,Input_Header,0)))</f>
        <v>2.23E-2</v>
      </c>
      <c r="Q182" s="698">
        <f>IF(Q179="",0,INDEX(Input_Range,MATCH((C7&amp;B182),Input_Call,0),MATCH(Q179,Input_Header,0)))</f>
        <v>2.23E-2</v>
      </c>
      <c r="R182" s="698">
        <f t="shared" si="162"/>
        <v>2.23E-2</v>
      </c>
      <c r="T182" s="699">
        <f t="shared" si="163"/>
        <v>0</v>
      </c>
      <c r="U182" s="699">
        <f t="shared" si="164"/>
        <v>0</v>
      </c>
      <c r="V182" s="699">
        <f t="shared" si="165"/>
        <v>0</v>
      </c>
      <c r="W182" s="699">
        <f t="shared" si="166"/>
        <v>0</v>
      </c>
      <c r="X182" s="699">
        <f t="shared" si="167"/>
        <v>0</v>
      </c>
      <c r="Y182" s="699">
        <f t="shared" si="168"/>
        <v>0</v>
      </c>
      <c r="Z182" s="699">
        <f t="shared" si="169"/>
        <v>0</v>
      </c>
      <c r="AA182" s="699">
        <f t="shared" si="170"/>
        <v>0</v>
      </c>
      <c r="AB182" s="699">
        <f t="shared" si="171"/>
        <v>0</v>
      </c>
      <c r="AC182" s="699">
        <f t="shared" si="172"/>
        <v>0</v>
      </c>
      <c r="AD182" s="699">
        <f t="shared" si="173"/>
        <v>0</v>
      </c>
      <c r="AE182" s="699">
        <f t="shared" si="174"/>
        <v>0</v>
      </c>
      <c r="AF182" s="699">
        <f t="shared" si="175"/>
        <v>0</v>
      </c>
      <c r="AG182" s="699">
        <f t="shared" si="176"/>
        <v>0</v>
      </c>
      <c r="AI182" s="698" t="e">
        <f t="shared" si="159"/>
        <v>#DIV/0!</v>
      </c>
      <c r="AJ182" s="698"/>
      <c r="AK182" s="698"/>
      <c r="AL182" s="4" t="str">
        <f>$A182&amp;$C7&amp;InputSheet!C$43&amp;InputSheet!D$43</f>
        <v>Option Year 14ISOverheadGovt</v>
      </c>
      <c r="AM182" s="700" t="e">
        <f t="shared" si="160"/>
        <v>#DIV/0!</v>
      </c>
      <c r="AP182" s="387" t="e">
        <f t="shared" si="101"/>
        <v>#DIV/0!</v>
      </c>
    </row>
    <row r="183" spans="1:42">
      <c r="A183" s="6" t="str">
        <f t="shared" si="161"/>
        <v>Option Year 14</v>
      </c>
      <c r="B183" s="6" t="str">
        <f t="shared" si="157"/>
        <v>Material Handling</v>
      </c>
      <c r="E183" s="698">
        <f>IF(E179="",0,INDEX(Input_Range,MATCH((C7&amp;B183),Input_Call,0),MATCH(E179,Input_Header,0)))</f>
        <v>3.1699999999999999E-2</v>
      </c>
      <c r="F183" s="698">
        <f>IF(F179="",0,INDEX(Input_Range,MATCH((C7&amp;B183),Input_Call,0),MATCH(F179,Input_Header,0)))</f>
        <v>3.0700000000000002E-2</v>
      </c>
      <c r="G183" s="698">
        <f>IF(G179="",0,INDEX(Input_Range,MATCH((C7&amp;B183),Input_Call,0),MATCH(G179,Input_Header,0)))</f>
        <v>2.9700000000000001E-2</v>
      </c>
      <c r="H183" s="698">
        <f>IF(H179="",0,INDEX(Input_Range,MATCH((C7&amp;B183),Input_Call,0),MATCH(H179,Input_Header,0)))</f>
        <v>2.8799999999999999E-2</v>
      </c>
      <c r="I183" s="698">
        <f>IF(I179="",0,INDEX(Input_Range,MATCH((C7&amp;B183),Input_Call,0),MATCH(I179,Input_Header,0)))</f>
        <v>2.8000000000000001E-2</v>
      </c>
      <c r="J183" s="698">
        <f>IF(J179="",0,INDEX(Input_Range,MATCH((C7&amp;B183),Input_Call,0),MATCH(J179,Input_Header,0)))</f>
        <v>2.8000000000000001E-2</v>
      </c>
      <c r="K183" s="698">
        <f>IF(K179="",0,INDEX(Input_Range,MATCH((C7&amp;B183),Input_Call,0),MATCH(K179,Input_Header,0)))</f>
        <v>2.8000000000000001E-2</v>
      </c>
      <c r="L183" s="698">
        <f>IF(L179="",0,INDEX(Input_Range,MATCH((C7&amp;B183),Input_Call,0),MATCH(L179,Input_Header,0)))</f>
        <v>2.8000000000000001E-2</v>
      </c>
      <c r="M183" s="698">
        <f>IF(M179="",0,INDEX(Input_Range,MATCH((C7&amp;B183),Input_Call,0),MATCH(M179,Input_Header,0)))</f>
        <v>2.8000000000000001E-2</v>
      </c>
      <c r="N183" s="698">
        <f>IF(N179="",0,INDEX(Input_Range,MATCH((C7&amp;B183),Input_Call,0),MATCH(N179,Input_Header,0)))</f>
        <v>2.8000000000000001E-2</v>
      </c>
      <c r="O183" s="698">
        <f>IF(O179="",0,INDEX(Input_Range,MATCH((C7&amp;B183),Input_Call,0),MATCH(O179,Input_Header,0)))</f>
        <v>2.8000000000000001E-2</v>
      </c>
      <c r="P183" s="698">
        <f>IF(P179="",0,INDEX(Input_Range,MATCH((C7&amp;B183),Input_Call,0),MATCH(P179,Input_Header,0)))</f>
        <v>2.8000000000000001E-2</v>
      </c>
      <c r="Q183" s="698">
        <f>IF(Q179="",0,INDEX(Input_Range,MATCH((C7&amp;B183),Input_Call,0),MATCH(Q179,Input_Header,0)))</f>
        <v>2.8000000000000001E-2</v>
      </c>
      <c r="R183" s="698">
        <f t="shared" si="162"/>
        <v>2.8000000000000001E-2</v>
      </c>
      <c r="T183" s="699">
        <f t="shared" si="163"/>
        <v>0</v>
      </c>
      <c r="U183" s="699">
        <f t="shared" si="164"/>
        <v>0</v>
      </c>
      <c r="V183" s="699">
        <f t="shared" si="165"/>
        <v>0</v>
      </c>
      <c r="W183" s="699">
        <f t="shared" si="166"/>
        <v>0</v>
      </c>
      <c r="X183" s="699">
        <f t="shared" si="167"/>
        <v>0</v>
      </c>
      <c r="Y183" s="699">
        <f t="shared" si="168"/>
        <v>0</v>
      </c>
      <c r="Z183" s="699">
        <f t="shared" si="169"/>
        <v>0</v>
      </c>
      <c r="AA183" s="699">
        <f t="shared" si="170"/>
        <v>0</v>
      </c>
      <c r="AB183" s="699">
        <f t="shared" si="171"/>
        <v>0</v>
      </c>
      <c r="AC183" s="699">
        <f t="shared" si="172"/>
        <v>0</v>
      </c>
      <c r="AD183" s="699">
        <f t="shared" si="173"/>
        <v>0</v>
      </c>
      <c r="AE183" s="699">
        <f t="shared" si="174"/>
        <v>0</v>
      </c>
      <c r="AF183" s="699">
        <f t="shared" si="175"/>
        <v>0</v>
      </c>
      <c r="AG183" s="699">
        <f t="shared" si="176"/>
        <v>0</v>
      </c>
      <c r="AI183" s="698" t="e">
        <f t="shared" si="159"/>
        <v>#DIV/0!</v>
      </c>
      <c r="AJ183" s="698"/>
      <c r="AK183" s="698"/>
      <c r="AL183" s="4" t="str">
        <f>$A183&amp;$C7&amp;InputSheet!C$44&amp;InputSheet!D$44</f>
        <v>Option Year 14ISMHContr/Govt</v>
      </c>
      <c r="AM183" s="700" t="e">
        <f t="shared" si="160"/>
        <v>#DIV/0!</v>
      </c>
      <c r="AP183" s="387" t="e">
        <f t="shared" si="101"/>
        <v>#DIV/0!</v>
      </c>
    </row>
    <row r="184" spans="1:42">
      <c r="A184" s="6" t="str">
        <f t="shared" si="161"/>
        <v>Option Year 14</v>
      </c>
      <c r="B184" s="6" t="str">
        <f t="shared" si="157"/>
        <v>G&amp;A</v>
      </c>
      <c r="E184" s="698">
        <f>IF(E179="",0,INDEX(Input_Range,MATCH((C7&amp;B184),Input_Call,0),MATCH(E179,Input_Header,0)))</f>
        <v>9.7500000000000003E-2</v>
      </c>
      <c r="F184" s="698">
        <f>IF(F179="",0,INDEX(Input_Range,MATCH((C7&amp;B184),Input_Call,0),MATCH(F179,Input_Header,0)))</f>
        <v>9.4700000000000006E-2</v>
      </c>
      <c r="G184" s="698">
        <f>IF(G179="",0,INDEX(Input_Range,MATCH((C7&amp;B184),Input_Call,0),MATCH(G179,Input_Header,0)))</f>
        <v>9.1999999999999998E-2</v>
      </c>
      <c r="H184" s="698">
        <f>IF(H179="",0,INDEX(Input_Range,MATCH((C7&amp;B184),Input_Call,0),MATCH(H179,Input_Header,0)))</f>
        <v>8.9499999999999996E-2</v>
      </c>
      <c r="I184" s="698">
        <f>IF(I179="",0,INDEX(Input_Range,MATCH((C7&amp;B184),Input_Call,0),MATCH(I179,Input_Header,0)))</f>
        <v>8.7099999999999997E-2</v>
      </c>
      <c r="J184" s="698">
        <f>IF(J179="",0,INDEX(Input_Range,MATCH((C7&amp;B184),Input_Call,0),MATCH(J179,Input_Header,0)))</f>
        <v>8.7099999999999997E-2</v>
      </c>
      <c r="K184" s="698">
        <f>IF(K179="",0,INDEX(Input_Range,MATCH((C7&amp;B184),Input_Call,0),MATCH(K179,Input_Header,0)))</f>
        <v>8.7099999999999997E-2</v>
      </c>
      <c r="L184" s="698">
        <f>IF(L179="",0,INDEX(Input_Range,MATCH((C7&amp;B184),Input_Call,0),MATCH(L179,Input_Header,0)))</f>
        <v>8.7099999999999997E-2</v>
      </c>
      <c r="M184" s="698">
        <f>IF(M179="",0,INDEX(Input_Range,MATCH((C7&amp;B184),Input_Call,0),MATCH(M179,Input_Header,0)))</f>
        <v>8.7099999999999997E-2</v>
      </c>
      <c r="N184" s="698">
        <f>IF(N179="",0,INDEX(Input_Range,MATCH((C7&amp;B184),Input_Call,0),MATCH(N179,Input_Header,0)))</f>
        <v>8.7099999999999997E-2</v>
      </c>
      <c r="O184" s="698">
        <f>IF(O179="",0,INDEX(Input_Range,MATCH((C7&amp;B184),Input_Call,0),MATCH(O179,Input_Header,0)))</f>
        <v>8.7099999999999997E-2</v>
      </c>
      <c r="P184" s="698">
        <f>IF(P179="",0,INDEX(Input_Range,MATCH((C7&amp;B184),Input_Call,0),MATCH(P179,Input_Header,0)))</f>
        <v>8.7099999999999997E-2</v>
      </c>
      <c r="Q184" s="698">
        <f>IF(Q179="",0,INDEX(Input_Range,MATCH((C7&amp;B184),Input_Call,0),MATCH(Q179,Input_Header,0)))</f>
        <v>8.7099999999999997E-2</v>
      </c>
      <c r="R184" s="698">
        <f t="shared" si="162"/>
        <v>8.7099999999999997E-2</v>
      </c>
      <c r="T184" s="699">
        <f t="shared" si="163"/>
        <v>0</v>
      </c>
      <c r="U184" s="699">
        <f t="shared" si="164"/>
        <v>0</v>
      </c>
      <c r="V184" s="699">
        <f t="shared" si="165"/>
        <v>0</v>
      </c>
      <c r="W184" s="699">
        <f t="shared" si="166"/>
        <v>0</v>
      </c>
      <c r="X184" s="699">
        <f t="shared" si="167"/>
        <v>0</v>
      </c>
      <c r="Y184" s="699">
        <f t="shared" si="168"/>
        <v>0</v>
      </c>
      <c r="Z184" s="699">
        <f t="shared" si="169"/>
        <v>0</v>
      </c>
      <c r="AA184" s="699">
        <f t="shared" si="170"/>
        <v>0</v>
      </c>
      <c r="AB184" s="699">
        <f t="shared" si="171"/>
        <v>0</v>
      </c>
      <c r="AC184" s="699">
        <f t="shared" si="172"/>
        <v>0</v>
      </c>
      <c r="AD184" s="699">
        <f t="shared" si="173"/>
        <v>0</v>
      </c>
      <c r="AE184" s="699">
        <f t="shared" si="174"/>
        <v>0</v>
      </c>
      <c r="AF184" s="699">
        <f t="shared" si="175"/>
        <v>0</v>
      </c>
      <c r="AG184" s="699">
        <f t="shared" si="176"/>
        <v>0</v>
      </c>
      <c r="AI184" s="698" t="e">
        <f t="shared" si="159"/>
        <v>#DIV/0!</v>
      </c>
      <c r="AJ184" s="698"/>
      <c r="AK184" s="698"/>
      <c r="AL184" s="4" t="str">
        <f>$A184&amp;$C7&amp;InputSheet!C$45&amp;InputSheet!D$45</f>
        <v>Option Year 14ISG&amp;AContr/Govt</v>
      </c>
      <c r="AM184" s="700" t="e">
        <f t="shared" si="160"/>
        <v>#DIV/0!</v>
      </c>
      <c r="AP184" s="387" t="e">
        <f t="shared" si="101"/>
        <v>#DIV/0!</v>
      </c>
    </row>
    <row r="185" spans="1:42" outlineLevel="1">
      <c r="A185" s="6" t="str">
        <f t="shared" si="161"/>
        <v>Option Year 14</v>
      </c>
      <c r="B185" s="6" t="str">
        <f t="shared" si="157"/>
        <v>TBD1</v>
      </c>
      <c r="E185" s="21">
        <f>IF(E179="",0,INDEX(Input_Range,MATCH((C7&amp;B185),Input_Call,0),MATCH(E179,Input_Header,0)))</f>
        <v>0</v>
      </c>
      <c r="F185" s="21">
        <f>IF(F179="",0,INDEX(Input_Range,MATCH((C7&amp;B185),Input_Call,0),MATCH(F179,Input_Header,0)))</f>
        <v>0</v>
      </c>
      <c r="G185" s="21">
        <f>IF(G179="",0,INDEX(Input_Range,MATCH((C7&amp;B185),Input_Call,0),MATCH(G179,Input_Header,0)))</f>
        <v>0</v>
      </c>
      <c r="H185" s="21">
        <f>IF(H179="",0,INDEX(Input_Range,MATCH((C7&amp;B185),Input_Call,0),MATCH(H179,Input_Header,0)))</f>
        <v>0</v>
      </c>
      <c r="I185" s="21">
        <f>IF(I179="",0,INDEX(Input_Range,MATCH((C7&amp;B185),Input_Call,0),MATCH(I179,Input_Header,0)))</f>
        <v>0</v>
      </c>
      <c r="J185" s="21">
        <f>IF(J179="",0,INDEX(Input_Range,MATCH((C7&amp;B185),Input_Call,0),MATCH(J179,Input_Header,0)))</f>
        <v>0</v>
      </c>
      <c r="K185" s="21">
        <f>IF(K179="",0,INDEX(Input_Range,MATCH((C7&amp;B185),Input_Call,0),MATCH(K179,Input_Header,0)))</f>
        <v>0</v>
      </c>
      <c r="L185" s="21">
        <f>IF(L179="",0,INDEX(Input_Range,MATCH((C7&amp;B185),Input_Call,0),MATCH(L179,Input_Header,0)))</f>
        <v>0</v>
      </c>
      <c r="M185" s="21">
        <f>IF(M179="",0,INDEX(Input_Range,MATCH((C7&amp;B185),Input_Call,0),MATCH(M179,Input_Header,0)))</f>
        <v>0</v>
      </c>
      <c r="N185" s="21">
        <f>IF(N179="",0,INDEX(Input_Range,MATCH((C7&amp;B185),Input_Call,0),MATCH(N179,Input_Header,0)))</f>
        <v>0</v>
      </c>
      <c r="O185" s="21">
        <f>IF(O179="",0,INDEX(Input_Range,MATCH((C7&amp;B185),Input_Call,0),MATCH(O179,Input_Header,0)))</f>
        <v>0</v>
      </c>
      <c r="P185" s="21">
        <f>IF(P179="",0,INDEX(Input_Range,MATCH((C7&amp;B185),Input_Call,0),MATCH(P179,Input_Header,0)))</f>
        <v>0</v>
      </c>
      <c r="Q185" s="21">
        <f>IF(Q179="",0,INDEX(Input_Range,MATCH((C7&amp;B185),Input_Call,0),MATCH(Q179,Input_Header,0)))</f>
        <v>0</v>
      </c>
      <c r="R185" s="698">
        <f t="shared" si="162"/>
        <v>0</v>
      </c>
      <c r="T185" s="699">
        <f t="shared" si="163"/>
        <v>0</v>
      </c>
      <c r="U185" s="699">
        <f t="shared" si="164"/>
        <v>0</v>
      </c>
      <c r="V185" s="699">
        <f t="shared" si="165"/>
        <v>0</v>
      </c>
      <c r="W185" s="699">
        <f t="shared" si="166"/>
        <v>0</v>
      </c>
      <c r="X185" s="699">
        <f t="shared" si="167"/>
        <v>0</v>
      </c>
      <c r="Y185" s="699">
        <f t="shared" si="168"/>
        <v>0</v>
      </c>
      <c r="Z185" s="699">
        <f t="shared" si="169"/>
        <v>0</v>
      </c>
      <c r="AA185" s="699">
        <f t="shared" si="170"/>
        <v>0</v>
      </c>
      <c r="AB185" s="699">
        <f t="shared" si="171"/>
        <v>0</v>
      </c>
      <c r="AC185" s="699">
        <f t="shared" si="172"/>
        <v>0</v>
      </c>
      <c r="AD185" s="699">
        <f t="shared" si="173"/>
        <v>0</v>
      </c>
      <c r="AE185" s="699">
        <f t="shared" si="174"/>
        <v>0</v>
      </c>
      <c r="AF185" s="699">
        <f t="shared" si="175"/>
        <v>0</v>
      </c>
      <c r="AG185" s="699">
        <f t="shared" si="176"/>
        <v>0</v>
      </c>
      <c r="AI185" s="698" t="e">
        <f t="shared" si="159"/>
        <v>#DIV/0!</v>
      </c>
      <c r="AJ185" s="21"/>
      <c r="AK185" s="21"/>
      <c r="AL185" s="4" t="str">
        <f>$A185&amp;$C7&amp;InputSheet!C$46&amp;InputSheet!D$46</f>
        <v>Option Year 14ISTBD1Contr/Govt</v>
      </c>
      <c r="AM185" s="700" t="e">
        <f t="shared" si="160"/>
        <v>#DIV/0!</v>
      </c>
      <c r="AP185" s="387" t="e">
        <f t="shared" si="101"/>
        <v>#DIV/0!</v>
      </c>
    </row>
    <row r="186" spans="1:42" outlineLevel="1">
      <c r="A186" s="6" t="str">
        <f t="shared" si="161"/>
        <v>Option Year 14</v>
      </c>
      <c r="B186" s="6" t="str">
        <f t="shared" si="157"/>
        <v>TBD2</v>
      </c>
      <c r="E186" s="21">
        <f>IF(E179="",0,INDEX(Input_Range,MATCH((C7&amp;B186),Input_Call,0),MATCH(E179,Input_Header,0)))</f>
        <v>0</v>
      </c>
      <c r="F186" s="21">
        <f>IF(F179="",0,INDEX(Input_Range,MATCH((C7&amp;B186),Input_Call,0),MATCH(F179,Input_Header,0)))</f>
        <v>0</v>
      </c>
      <c r="G186" s="21">
        <f>IF(G179="",0,INDEX(Input_Range,MATCH((C7&amp;B186),Input_Call,0),MATCH(G179,Input_Header,0)))</f>
        <v>0</v>
      </c>
      <c r="H186" s="21">
        <f>IF(H179="",0,INDEX(Input_Range,MATCH((C7&amp;B186),Input_Call,0),MATCH(H179,Input_Header,0)))</f>
        <v>0</v>
      </c>
      <c r="I186" s="21">
        <f>IF(I179="",0,INDEX(Input_Range,MATCH((C7&amp;B186),Input_Call,0),MATCH(I179,Input_Header,0)))</f>
        <v>0</v>
      </c>
      <c r="J186" s="21">
        <f>IF(J179="",0,INDEX(Input_Range,MATCH((C7&amp;B186),Input_Call,0),MATCH(J179,Input_Header,0)))</f>
        <v>0</v>
      </c>
      <c r="K186" s="21">
        <f>IF(K179="",0,INDEX(Input_Range,MATCH((C7&amp;B186),Input_Call,0),MATCH(K179,Input_Header,0)))</f>
        <v>0</v>
      </c>
      <c r="L186" s="21">
        <f>IF(L179="",0,INDEX(Input_Range,MATCH((C7&amp;B186),Input_Call,0),MATCH(L179,Input_Header,0)))</f>
        <v>0</v>
      </c>
      <c r="M186" s="21">
        <f>IF(M179="",0,INDEX(Input_Range,MATCH((C7&amp;B186),Input_Call,0),MATCH(M179,Input_Header,0)))</f>
        <v>0</v>
      </c>
      <c r="N186" s="21">
        <f>IF(N179="",0,INDEX(Input_Range,MATCH((C7&amp;B186),Input_Call,0),MATCH(N179,Input_Header,0)))</f>
        <v>0</v>
      </c>
      <c r="O186" s="21">
        <f>IF(O179="",0,INDEX(Input_Range,MATCH((C7&amp;B186),Input_Call,0),MATCH(O179,Input_Header,0)))</f>
        <v>0</v>
      </c>
      <c r="P186" s="21">
        <f>IF(P179="",0,INDEX(Input_Range,MATCH((C7&amp;B186),Input_Call,0),MATCH(P179,Input_Header,0)))</f>
        <v>0</v>
      </c>
      <c r="Q186" s="21">
        <f>IF(Q179="",0,INDEX(Input_Range,MATCH((C7&amp;B186),Input_Call,0),MATCH(Q179,Input_Header,0)))</f>
        <v>0</v>
      </c>
      <c r="R186" s="698">
        <f t="shared" si="162"/>
        <v>0</v>
      </c>
      <c r="T186" s="699">
        <f t="shared" si="163"/>
        <v>0</v>
      </c>
      <c r="U186" s="699">
        <f t="shared" si="164"/>
        <v>0</v>
      </c>
      <c r="V186" s="699">
        <f t="shared" si="165"/>
        <v>0</v>
      </c>
      <c r="W186" s="699">
        <f t="shared" si="166"/>
        <v>0</v>
      </c>
      <c r="X186" s="699">
        <f t="shared" si="167"/>
        <v>0</v>
      </c>
      <c r="Y186" s="699">
        <f t="shared" si="168"/>
        <v>0</v>
      </c>
      <c r="Z186" s="699">
        <f t="shared" si="169"/>
        <v>0</v>
      </c>
      <c r="AA186" s="699">
        <f t="shared" si="170"/>
        <v>0</v>
      </c>
      <c r="AB186" s="699">
        <f t="shared" si="171"/>
        <v>0</v>
      </c>
      <c r="AC186" s="699">
        <f t="shared" si="172"/>
        <v>0</v>
      </c>
      <c r="AD186" s="699">
        <f t="shared" si="173"/>
        <v>0</v>
      </c>
      <c r="AE186" s="699">
        <f t="shared" si="174"/>
        <v>0</v>
      </c>
      <c r="AF186" s="699">
        <f t="shared" si="175"/>
        <v>0</v>
      </c>
      <c r="AG186" s="699">
        <f t="shared" si="176"/>
        <v>0</v>
      </c>
      <c r="AI186" s="698" t="e">
        <f t="shared" si="159"/>
        <v>#DIV/0!</v>
      </c>
      <c r="AJ186" s="21"/>
      <c r="AK186" s="21"/>
      <c r="AL186" s="4" t="str">
        <f>$A186&amp;$C7&amp;InputSheet!C$47&amp;InputSheet!D$47</f>
        <v>Option Year 14ISTBD2Contr/Govt</v>
      </c>
      <c r="AM186" s="700" t="e">
        <f t="shared" si="160"/>
        <v>#DIV/0!</v>
      </c>
      <c r="AP186" s="387" t="e">
        <f t="shared" si="101"/>
        <v>#DIV/0!</v>
      </c>
    </row>
    <row r="187" spans="1:42" outlineLevel="1">
      <c r="A187" s="6" t="str">
        <f t="shared" si="161"/>
        <v>Option Year 14</v>
      </c>
      <c r="B187" s="6" t="str">
        <f t="shared" si="157"/>
        <v>TBD3</v>
      </c>
      <c r="E187" s="21">
        <f>IF(E179="",0,INDEX(Input_Range,MATCH((C7&amp;B187),Input_Call,0),MATCH(E179,Input_Header,0)))</f>
        <v>0</v>
      </c>
      <c r="F187" s="21">
        <f>IF(F179="",0,INDEX(Input_Range,MATCH((C7&amp;B187),Input_Call,0),MATCH(F179,Input_Header,0)))</f>
        <v>0</v>
      </c>
      <c r="G187" s="21">
        <f>IF(G179="",0,INDEX(Input_Range,MATCH((C7&amp;B187),Input_Call,0),MATCH(G179,Input_Header,0)))</f>
        <v>0</v>
      </c>
      <c r="H187" s="21">
        <f>IF(H179="",0,INDEX(Input_Range,MATCH((C7&amp;B187),Input_Call,0),MATCH(H179,Input_Header,0)))</f>
        <v>0</v>
      </c>
      <c r="I187" s="21">
        <f>IF(I179="",0,INDEX(Input_Range,MATCH((C7&amp;B187),Input_Call,0),MATCH(I179,Input_Header,0)))</f>
        <v>0</v>
      </c>
      <c r="J187" s="21">
        <f>IF(J179="",0,INDEX(Input_Range,MATCH((C7&amp;B187),Input_Call,0),MATCH(J179,Input_Header,0)))</f>
        <v>0</v>
      </c>
      <c r="K187" s="21">
        <f>IF(K179="",0,INDEX(Input_Range,MATCH((C7&amp;B187),Input_Call,0),MATCH(K179,Input_Header,0)))</f>
        <v>0</v>
      </c>
      <c r="L187" s="21">
        <f>IF(L179="",0,INDEX(Input_Range,MATCH((C7&amp;B187),Input_Call,0),MATCH(L179,Input_Header,0)))</f>
        <v>0</v>
      </c>
      <c r="M187" s="21">
        <f>IF(M179="",0,INDEX(Input_Range,MATCH((C7&amp;B187),Input_Call,0),MATCH(M179,Input_Header,0)))</f>
        <v>0</v>
      </c>
      <c r="N187" s="21">
        <f>IF(N179="",0,INDEX(Input_Range,MATCH((C7&amp;B187),Input_Call,0),MATCH(N179,Input_Header,0)))</f>
        <v>0</v>
      </c>
      <c r="O187" s="21">
        <f>IF(O179="",0,INDEX(Input_Range,MATCH((C7&amp;B187),Input_Call,0),MATCH(O179,Input_Header,0)))</f>
        <v>0</v>
      </c>
      <c r="P187" s="21">
        <f>IF(P179="",0,INDEX(Input_Range,MATCH((C7&amp;B187),Input_Call,0),MATCH(P179,Input_Header,0)))</f>
        <v>0</v>
      </c>
      <c r="Q187" s="21">
        <f>IF(Q179="",0,INDEX(Input_Range,MATCH((C7&amp;B187),Input_Call,0),MATCH(Q179,Input_Header,0)))</f>
        <v>0</v>
      </c>
      <c r="R187" s="698">
        <f t="shared" si="162"/>
        <v>0</v>
      </c>
      <c r="T187" s="699">
        <f t="shared" si="163"/>
        <v>0</v>
      </c>
      <c r="U187" s="699">
        <f t="shared" si="164"/>
        <v>0</v>
      </c>
      <c r="V187" s="699">
        <f t="shared" si="165"/>
        <v>0</v>
      </c>
      <c r="W187" s="699">
        <f t="shared" si="166"/>
        <v>0</v>
      </c>
      <c r="X187" s="699">
        <f t="shared" si="167"/>
        <v>0</v>
      </c>
      <c r="Y187" s="699">
        <f t="shared" si="168"/>
        <v>0</v>
      </c>
      <c r="Z187" s="699">
        <f t="shared" si="169"/>
        <v>0</v>
      </c>
      <c r="AA187" s="699">
        <f t="shared" si="170"/>
        <v>0</v>
      </c>
      <c r="AB187" s="699">
        <f t="shared" si="171"/>
        <v>0</v>
      </c>
      <c r="AC187" s="699">
        <f t="shared" si="172"/>
        <v>0</v>
      </c>
      <c r="AD187" s="699">
        <f t="shared" si="173"/>
        <v>0</v>
      </c>
      <c r="AE187" s="699">
        <f t="shared" si="174"/>
        <v>0</v>
      </c>
      <c r="AF187" s="699">
        <f t="shared" si="175"/>
        <v>0</v>
      </c>
      <c r="AG187" s="699">
        <f t="shared" si="176"/>
        <v>0</v>
      </c>
      <c r="AI187" s="698" t="e">
        <f t="shared" si="159"/>
        <v>#DIV/0!</v>
      </c>
      <c r="AJ187" s="21"/>
      <c r="AK187" s="21"/>
      <c r="AL187" s="4" t="str">
        <f>$A187&amp;$C7&amp;InputSheet!C$48&amp;InputSheet!D$48</f>
        <v>Option Year 14ISTBD3Contr/Govt</v>
      </c>
      <c r="AM187" s="700" t="e">
        <f t="shared" si="160"/>
        <v>#DIV/0!</v>
      </c>
      <c r="AP187" s="387" t="e">
        <f t="shared" si="101"/>
        <v>#DIV/0!</v>
      </c>
    </row>
    <row r="188" spans="1:42">
      <c r="E188" s="698"/>
      <c r="F188" s="698"/>
      <c r="G188" s="698"/>
      <c r="H188" s="698"/>
      <c r="I188" s="698"/>
      <c r="J188" s="698"/>
      <c r="K188" s="698"/>
      <c r="L188" s="698"/>
      <c r="M188" s="698"/>
      <c r="N188" s="698"/>
      <c r="O188" s="698"/>
      <c r="P188" s="698"/>
      <c r="Q188" s="698"/>
      <c r="R188" s="698"/>
      <c r="AI188" s="21"/>
      <c r="AJ188" s="21"/>
      <c r="AK188" s="21"/>
      <c r="AP188" s="387" t="str">
        <f t="shared" si="101"/>
        <v>1</v>
      </c>
    </row>
    <row r="189" spans="1:42">
      <c r="B189" s="327" t="s">
        <v>614</v>
      </c>
      <c r="C189" s="701" t="str">
        <f>InputSheet!$I$87</f>
        <v>ESD</v>
      </c>
      <c r="AP189" s="387" t="str">
        <f t="shared" si="101"/>
        <v>1</v>
      </c>
    </row>
    <row r="190" spans="1:42">
      <c r="AP190" s="387" t="str">
        <f t="shared" si="101"/>
        <v>1</v>
      </c>
    </row>
    <row r="191" spans="1:42">
      <c r="A191" s="530" t="str">
        <f>B191</f>
        <v>Base Year</v>
      </c>
      <c r="B191" s="691" t="str">
        <f>InputSheet!$C$22</f>
        <v>Base Year</v>
      </c>
      <c r="C191" s="260"/>
      <c r="AP191" s="387" t="str">
        <f t="shared" si="101"/>
        <v>1</v>
      </c>
    </row>
    <row r="192" spans="1:42">
      <c r="B192" s="314" t="s">
        <v>587</v>
      </c>
      <c r="C192" s="692" t="s">
        <v>588</v>
      </c>
      <c r="E192" s="1216" t="str">
        <f>"Indirect Rates - "&amp;C$189</f>
        <v>Indirect Rates - ESD</v>
      </c>
      <c r="F192" s="1216"/>
      <c r="G192" s="1216"/>
      <c r="H192" s="1216"/>
      <c r="I192" s="1216"/>
      <c r="J192" s="1216"/>
      <c r="K192" s="1216"/>
      <c r="L192" s="1216"/>
      <c r="M192" s="1216"/>
      <c r="N192" s="1216"/>
      <c r="O192" s="1216"/>
      <c r="P192" s="1216"/>
      <c r="Q192" s="1216"/>
      <c r="R192" s="1216"/>
      <c r="S192" s="844"/>
      <c r="T192" s="1217" t="s">
        <v>794</v>
      </c>
      <c r="U192" s="1217"/>
      <c r="V192" s="1217"/>
      <c r="W192" s="1217"/>
      <c r="X192" s="1217"/>
      <c r="Y192" s="1217"/>
      <c r="Z192" s="1217"/>
      <c r="AA192" s="1217"/>
      <c r="AB192" s="1217"/>
      <c r="AC192" s="1217"/>
      <c r="AD192" s="1217"/>
      <c r="AE192" s="1217"/>
      <c r="AF192" s="1217"/>
      <c r="AG192" s="1217"/>
      <c r="AI192" s="692" t="s">
        <v>615</v>
      </c>
      <c r="AJ192" s="50"/>
      <c r="AK192" s="50"/>
      <c r="AP192" s="387" t="str">
        <f t="shared" si="101"/>
        <v>1</v>
      </c>
    </row>
    <row r="193" spans="1:42">
      <c r="B193" s="693">
        <f>VLOOKUP(A191,InputSheet!$C$8:$E$37,2,FALSE)</f>
        <v>40179</v>
      </c>
      <c r="C193" s="694">
        <f>VLOOKUP(A191,InputSheet!$C$8:$E$37,3,FALSE)</f>
        <v>40543</v>
      </c>
      <c r="E193" s="695">
        <v>2009</v>
      </c>
      <c r="F193" s="695">
        <f t="shared" ref="F193:P193" si="177">E193+1</f>
        <v>2010</v>
      </c>
      <c r="G193" s="695">
        <f t="shared" si="177"/>
        <v>2011</v>
      </c>
      <c r="H193" s="695">
        <f t="shared" si="177"/>
        <v>2012</v>
      </c>
      <c r="I193" s="695">
        <f t="shared" si="177"/>
        <v>2013</v>
      </c>
      <c r="J193" s="695">
        <f t="shared" si="177"/>
        <v>2014</v>
      </c>
      <c r="K193" s="695">
        <f t="shared" si="177"/>
        <v>2015</v>
      </c>
      <c r="L193" s="695">
        <f t="shared" si="177"/>
        <v>2016</v>
      </c>
      <c r="M193" s="695">
        <f t="shared" si="177"/>
        <v>2017</v>
      </c>
      <c r="N193" s="695">
        <f t="shared" si="177"/>
        <v>2018</v>
      </c>
      <c r="O193" s="695">
        <f t="shared" si="177"/>
        <v>2019</v>
      </c>
      <c r="P193" s="695">
        <f t="shared" si="177"/>
        <v>2020</v>
      </c>
      <c r="Q193" s="695">
        <f>P193+1</f>
        <v>2021</v>
      </c>
      <c r="R193" s="695">
        <f>Q193+1</f>
        <v>2022</v>
      </c>
      <c r="S193" s="680"/>
      <c r="T193" s="696">
        <f t="shared" ref="T193:AG193" si="178">E193</f>
        <v>2009</v>
      </c>
      <c r="U193" s="696">
        <f t="shared" si="178"/>
        <v>2010</v>
      </c>
      <c r="V193" s="696">
        <f t="shared" si="178"/>
        <v>2011</v>
      </c>
      <c r="W193" s="696">
        <f t="shared" si="178"/>
        <v>2012</v>
      </c>
      <c r="X193" s="696">
        <f t="shared" si="178"/>
        <v>2013</v>
      </c>
      <c r="Y193" s="696">
        <f t="shared" si="178"/>
        <v>2014</v>
      </c>
      <c r="Z193" s="696">
        <f t="shared" si="178"/>
        <v>2015</v>
      </c>
      <c r="AA193" s="696">
        <f t="shared" si="178"/>
        <v>2016</v>
      </c>
      <c r="AB193" s="696">
        <f t="shared" si="178"/>
        <v>2017</v>
      </c>
      <c r="AC193" s="696">
        <f t="shared" si="178"/>
        <v>2018</v>
      </c>
      <c r="AD193" s="696">
        <f t="shared" si="178"/>
        <v>2019</v>
      </c>
      <c r="AE193" s="696">
        <f t="shared" si="178"/>
        <v>2020</v>
      </c>
      <c r="AF193" s="696">
        <f t="shared" si="178"/>
        <v>2021</v>
      </c>
      <c r="AG193" s="696">
        <f t="shared" si="178"/>
        <v>2022</v>
      </c>
      <c r="AI193" s="696" t="str">
        <f>B191</f>
        <v>Base Year</v>
      </c>
      <c r="AJ193" s="28"/>
      <c r="AK193" s="28"/>
      <c r="AL193" s="697" t="s">
        <v>631</v>
      </c>
      <c r="AP193" s="387" t="str">
        <f t="shared" si="101"/>
        <v>1</v>
      </c>
    </row>
    <row r="194" spans="1:42">
      <c r="A194" s="6" t="str">
        <f>A191</f>
        <v>Base Year</v>
      </c>
      <c r="B194" s="6" t="str">
        <f>InputSheet!G$41</f>
        <v>PRB</v>
      </c>
      <c r="E194" s="698">
        <f>IF(E193="",0,INDEX(Input_Range,MATCH((C189&amp;B194),Input_Call,0),MATCH(E193,Input_Header,0)))</f>
        <v>0</v>
      </c>
      <c r="F194" s="698">
        <f>IF(F193="",0,INDEX(Input_Range,MATCH((C189&amp;B194),Input_Call,0),MATCH(F193,Input_Header,0)))</f>
        <v>0</v>
      </c>
      <c r="G194" s="698">
        <f>IF(G193="",0,INDEX(Input_Range,MATCH((C189&amp;B194),Input_Call,0),MATCH(G193,Input_Header,0)))</f>
        <v>0</v>
      </c>
      <c r="H194" s="698">
        <f>IF(H193="",0,INDEX(Input_Range,MATCH((C189&amp;B194),Input_Call,0),MATCH(H193,Input_Header,0)))</f>
        <v>0</v>
      </c>
      <c r="I194" s="698">
        <f>IF(I193="",0,INDEX(Input_Range,MATCH((C189&amp;B194),Input_Call,0),MATCH(I193,Input_Header,0)))</f>
        <v>0</v>
      </c>
      <c r="J194" s="698">
        <f>IF(J193="",0,INDEX(Input_Range,MATCH((C189&amp;B194),Input_Call,0),MATCH(J193,Input_Header,0)))</f>
        <v>0</v>
      </c>
      <c r="K194" s="698">
        <f>IF(K193="",0,INDEX(Input_Range,MATCH((C189&amp;B194),Input_Call,0),MATCH(K193,Input_Header,0)))</f>
        <v>0</v>
      </c>
      <c r="L194" s="698">
        <f>IF(L193="",0,INDEX(Input_Range,MATCH((C189&amp;B194),Input_Call,0),MATCH(L193,Input_Header,0)))</f>
        <v>0</v>
      </c>
      <c r="M194" s="698">
        <f>IF(M193="",0,INDEX(Input_Range,MATCH((C189&amp;B194),Input_Call,0),MATCH(M193,Input_Header,0)))</f>
        <v>0</v>
      </c>
      <c r="N194" s="698">
        <f>IF(N193="",0,INDEX(Input_Range,MATCH((C189&amp;B194),Input_Call,0),MATCH(N193,Input_Header,0)))</f>
        <v>0</v>
      </c>
      <c r="O194" s="698">
        <f>IF(O193="",0,INDEX(Input_Range,MATCH((C189&amp;B194),Input_Call,0),MATCH(O193,Input_Header,0)))</f>
        <v>0</v>
      </c>
      <c r="P194" s="698">
        <f>IF(P193="",0,INDEX(Input_Range,MATCH((C189&amp;B194),Input_Call,0),MATCH(P193,Input_Header,0)))</f>
        <v>0</v>
      </c>
      <c r="Q194" s="698">
        <f>IF(Q193="",0,INDEX(Input_Range,MATCH((C189&amp;B194),Input_Call,0),MATCH(Q193,Input_Header,0)))</f>
        <v>0</v>
      </c>
      <c r="R194" s="698">
        <f>Q194</f>
        <v>0</v>
      </c>
      <c r="T194" s="699">
        <f t="shared" ref="T194:AG194" si="179">ROUND((MAX(0,(MIN($C193,DATE(T$11,12,31))-MAX($B193,DATE(T$11,1,1))+1)))/30.41667,0)</f>
        <v>0</v>
      </c>
      <c r="U194" s="699">
        <f t="shared" si="179"/>
        <v>12</v>
      </c>
      <c r="V194" s="699">
        <f t="shared" si="179"/>
        <v>0</v>
      </c>
      <c r="W194" s="699">
        <f t="shared" si="179"/>
        <v>0</v>
      </c>
      <c r="X194" s="699">
        <f t="shared" si="179"/>
        <v>0</v>
      </c>
      <c r="Y194" s="699">
        <f t="shared" si="179"/>
        <v>0</v>
      </c>
      <c r="Z194" s="699">
        <f t="shared" si="179"/>
        <v>0</v>
      </c>
      <c r="AA194" s="699">
        <f t="shared" si="179"/>
        <v>0</v>
      </c>
      <c r="AB194" s="699">
        <f t="shared" si="179"/>
        <v>0</v>
      </c>
      <c r="AC194" s="699">
        <f t="shared" si="179"/>
        <v>0</v>
      </c>
      <c r="AD194" s="699">
        <f t="shared" si="179"/>
        <v>0</v>
      </c>
      <c r="AE194" s="699">
        <f t="shared" si="179"/>
        <v>0</v>
      </c>
      <c r="AF194" s="699">
        <f t="shared" si="179"/>
        <v>0</v>
      </c>
      <c r="AG194" s="699">
        <f t="shared" si="179"/>
        <v>0</v>
      </c>
      <c r="AI194" s="698">
        <f t="shared" ref="AI194:AI201" si="180">ROUND(SUMPRODUCT(E194:R194,T194:AG194)/SUM(T194:AG194),4)</f>
        <v>0</v>
      </c>
      <c r="AJ194" s="698"/>
      <c r="AK194" s="698"/>
      <c r="AL194" s="4" t="str">
        <f>$A194&amp;$C189&amp;InputSheet!C$41&amp;InputSheet!D$41</f>
        <v>Base YearESDPRBContr/Govt</v>
      </c>
      <c r="AM194" s="700">
        <f t="shared" ref="AM194:AM201" si="181">AI194</f>
        <v>0</v>
      </c>
      <c r="AP194" s="387" t="str">
        <f t="shared" si="101"/>
        <v>1</v>
      </c>
    </row>
    <row r="195" spans="1:42">
      <c r="A195" s="6" t="str">
        <f t="shared" ref="A195:A201" si="182">A194</f>
        <v>Base Year</v>
      </c>
      <c r="B195" s="6" t="str">
        <f>InputSheet!G$42</f>
        <v>Overhead - Offsite</v>
      </c>
      <c r="E195" s="698">
        <f>IF(E193="",0,INDEX(Input_Range,MATCH((C189&amp;B195),Input_Call,0),MATCH(E193,Input_Header,0)))</f>
        <v>0</v>
      </c>
      <c r="F195" s="698">
        <f>IF(F193="",0,INDEX(Input_Range,MATCH((C189&amp;B195),Input_Call,0),MATCH(F193,Input_Header,0)))</f>
        <v>0</v>
      </c>
      <c r="G195" s="698">
        <f>IF(G193="",0,INDEX(Input_Range,MATCH((C189&amp;B195),Input_Call,0),MATCH(G193,Input_Header,0)))</f>
        <v>0</v>
      </c>
      <c r="H195" s="698">
        <f>IF(H193="",0,INDEX(Input_Range,MATCH((C189&amp;B195),Input_Call,0),MATCH(H193,Input_Header,0)))</f>
        <v>0</v>
      </c>
      <c r="I195" s="698">
        <f>IF(I193="",0,INDEX(Input_Range,MATCH((C189&amp;B195),Input_Call,0),MATCH(I193,Input_Header,0)))</f>
        <v>0</v>
      </c>
      <c r="J195" s="698">
        <f>IF(J193="",0,INDEX(Input_Range,MATCH((C189&amp;B195),Input_Call,0),MATCH(J193,Input_Header,0)))</f>
        <v>0</v>
      </c>
      <c r="K195" s="698">
        <f>IF(K193="",0,INDEX(Input_Range,MATCH((C189&amp;B195),Input_Call,0),MATCH(K193,Input_Header,0)))</f>
        <v>0</v>
      </c>
      <c r="L195" s="698">
        <f>IF(L193="",0,INDEX(Input_Range,MATCH((C189&amp;B195),Input_Call,0),MATCH(L193,Input_Header,0)))</f>
        <v>0</v>
      </c>
      <c r="M195" s="698">
        <f>IF(M193="",0,INDEX(Input_Range,MATCH((C189&amp;B195),Input_Call,0),MATCH(M193,Input_Header,0)))</f>
        <v>0</v>
      </c>
      <c r="N195" s="698">
        <f>IF(N193="",0,INDEX(Input_Range,MATCH((C189&amp;B195),Input_Call,0),MATCH(N193,Input_Header,0)))</f>
        <v>0</v>
      </c>
      <c r="O195" s="698">
        <f>IF(O193="",0,INDEX(Input_Range,MATCH((C189&amp;B195),Input_Call,0),MATCH(O193,Input_Header,0)))</f>
        <v>0</v>
      </c>
      <c r="P195" s="698">
        <f>IF(P193="",0,INDEX(Input_Range,MATCH((C189&amp;B195),Input_Call,0),MATCH(P193,Input_Header,0)))</f>
        <v>0</v>
      </c>
      <c r="Q195" s="698">
        <f>IF(Q193="",0,INDEX(Input_Range,MATCH((C189&amp;B195),Input_Call,0),MATCH(Q193,Input_Header,0)))</f>
        <v>0</v>
      </c>
      <c r="R195" s="698">
        <f t="shared" ref="R195:R201" si="183">Q195</f>
        <v>0</v>
      </c>
      <c r="T195" s="699">
        <f t="shared" ref="T195:T201" si="184">T194</f>
        <v>0</v>
      </c>
      <c r="U195" s="699">
        <f t="shared" ref="U195:U201" si="185">U194</f>
        <v>12</v>
      </c>
      <c r="V195" s="699">
        <f t="shared" ref="V195:V201" si="186">V194</f>
        <v>0</v>
      </c>
      <c r="W195" s="699">
        <f t="shared" ref="W195:W201" si="187">W194</f>
        <v>0</v>
      </c>
      <c r="X195" s="699">
        <f t="shared" ref="X195:X201" si="188">X194</f>
        <v>0</v>
      </c>
      <c r="Y195" s="699">
        <f t="shared" ref="Y195:Y201" si="189">Y194</f>
        <v>0</v>
      </c>
      <c r="Z195" s="699">
        <f t="shared" ref="Z195:Z201" si="190">Z194</f>
        <v>0</v>
      </c>
      <c r="AA195" s="699">
        <f t="shared" ref="AA195:AA201" si="191">AA194</f>
        <v>0</v>
      </c>
      <c r="AB195" s="699">
        <f t="shared" ref="AB195:AB201" si="192">AB194</f>
        <v>0</v>
      </c>
      <c r="AC195" s="699">
        <f t="shared" ref="AC195:AC201" si="193">AC194</f>
        <v>0</v>
      </c>
      <c r="AD195" s="699">
        <f t="shared" ref="AD195:AD201" si="194">AD194</f>
        <v>0</v>
      </c>
      <c r="AE195" s="699">
        <f t="shared" ref="AE195:AE201" si="195">AE194</f>
        <v>0</v>
      </c>
      <c r="AF195" s="699">
        <f t="shared" ref="AF195:AF201" si="196">AF194</f>
        <v>0</v>
      </c>
      <c r="AG195" s="699">
        <f t="shared" ref="AG195:AG201" si="197">AG194</f>
        <v>0</v>
      </c>
      <c r="AI195" s="698">
        <f t="shared" si="180"/>
        <v>0</v>
      </c>
      <c r="AJ195" s="698"/>
      <c r="AK195" s="698"/>
      <c r="AL195" s="4" t="str">
        <f>$A195&amp;$C189&amp;InputSheet!C$42&amp;InputSheet!D$42</f>
        <v>Base YearESDOverheadContr</v>
      </c>
      <c r="AM195" s="700">
        <f t="shared" si="181"/>
        <v>0</v>
      </c>
      <c r="AP195" s="387" t="str">
        <f t="shared" si="101"/>
        <v>0</v>
      </c>
    </row>
    <row r="196" spans="1:42">
      <c r="A196" s="6" t="str">
        <f t="shared" si="182"/>
        <v>Base Year</v>
      </c>
      <c r="B196" s="6" t="str">
        <f>InputSheet!G$43</f>
        <v>Overhead - Onsite</v>
      </c>
      <c r="E196" s="698">
        <f>IF(E193="",0,INDEX(Input_Range,MATCH((C189&amp;B196),Input_Call,0),MATCH(E193,Input_Header,0)))</f>
        <v>0</v>
      </c>
      <c r="F196" s="698">
        <f>IF(F193="",0,INDEX(Input_Range,MATCH((C189&amp;B196),Input_Call,0),MATCH(F193,Input_Header,0)))</f>
        <v>0</v>
      </c>
      <c r="G196" s="698">
        <f>IF(G193="",0,INDEX(Input_Range,MATCH((C189&amp;B196),Input_Call,0),MATCH(G193,Input_Header,0)))</f>
        <v>0</v>
      </c>
      <c r="H196" s="698">
        <f>IF(H193="",0,INDEX(Input_Range,MATCH((C189&amp;B196),Input_Call,0),MATCH(H193,Input_Header,0)))</f>
        <v>0</v>
      </c>
      <c r="I196" s="698">
        <f>IF(I193="",0,INDEX(Input_Range,MATCH((C189&amp;B196),Input_Call,0),MATCH(I193,Input_Header,0)))</f>
        <v>0</v>
      </c>
      <c r="J196" s="698">
        <f>IF(J193="",0,INDEX(Input_Range,MATCH((C189&amp;B196),Input_Call,0),MATCH(J193,Input_Header,0)))</f>
        <v>0</v>
      </c>
      <c r="K196" s="698">
        <f>IF(K193="",0,INDEX(Input_Range,MATCH((C189&amp;B196),Input_Call,0),MATCH(K193,Input_Header,0)))</f>
        <v>0</v>
      </c>
      <c r="L196" s="698">
        <f>IF(L193="",0,INDEX(Input_Range,MATCH((C189&amp;B196),Input_Call,0),MATCH(L193,Input_Header,0)))</f>
        <v>0</v>
      </c>
      <c r="M196" s="698">
        <f>IF(M193="",0,INDEX(Input_Range,MATCH((C189&amp;B196),Input_Call,0),MATCH(M193,Input_Header,0)))</f>
        <v>0</v>
      </c>
      <c r="N196" s="698">
        <f>IF(N193="",0,INDEX(Input_Range,MATCH((C189&amp;B196),Input_Call,0),MATCH(N193,Input_Header,0)))</f>
        <v>0</v>
      </c>
      <c r="O196" s="698">
        <f>IF(O193="",0,INDEX(Input_Range,MATCH((C189&amp;B196),Input_Call,0),MATCH(O193,Input_Header,0)))</f>
        <v>0</v>
      </c>
      <c r="P196" s="698">
        <f>IF(P193="",0,INDEX(Input_Range,MATCH((C189&amp;B196),Input_Call,0),MATCH(P193,Input_Header,0)))</f>
        <v>0</v>
      </c>
      <c r="Q196" s="698">
        <f>IF(Q193="",0,INDEX(Input_Range,MATCH((C189&amp;B196),Input_Call,0),MATCH(Q193,Input_Header,0)))</f>
        <v>0</v>
      </c>
      <c r="R196" s="698">
        <f t="shared" si="183"/>
        <v>0</v>
      </c>
      <c r="T196" s="699">
        <f t="shared" si="184"/>
        <v>0</v>
      </c>
      <c r="U196" s="699">
        <f t="shared" si="185"/>
        <v>12</v>
      </c>
      <c r="V196" s="699">
        <f t="shared" si="186"/>
        <v>0</v>
      </c>
      <c r="W196" s="699">
        <f t="shared" si="187"/>
        <v>0</v>
      </c>
      <c r="X196" s="699">
        <f t="shared" si="188"/>
        <v>0</v>
      </c>
      <c r="Y196" s="699">
        <f t="shared" si="189"/>
        <v>0</v>
      </c>
      <c r="Z196" s="699">
        <f t="shared" si="190"/>
        <v>0</v>
      </c>
      <c r="AA196" s="699">
        <f t="shared" si="191"/>
        <v>0</v>
      </c>
      <c r="AB196" s="699">
        <f t="shared" si="192"/>
        <v>0</v>
      </c>
      <c r="AC196" s="699">
        <f t="shared" si="193"/>
        <v>0</v>
      </c>
      <c r="AD196" s="699">
        <f t="shared" si="194"/>
        <v>0</v>
      </c>
      <c r="AE196" s="699">
        <f t="shared" si="195"/>
        <v>0</v>
      </c>
      <c r="AF196" s="699">
        <f t="shared" si="196"/>
        <v>0</v>
      </c>
      <c r="AG196" s="699">
        <f t="shared" si="197"/>
        <v>0</v>
      </c>
      <c r="AI196" s="698">
        <f t="shared" si="180"/>
        <v>0</v>
      </c>
      <c r="AJ196" s="698"/>
      <c r="AK196" s="698"/>
      <c r="AL196" s="4" t="str">
        <f>$A196&amp;$C189&amp;InputSheet!C$43&amp;InputSheet!D$43</f>
        <v>Base YearESDOverheadGovt</v>
      </c>
      <c r="AM196" s="700">
        <f t="shared" si="181"/>
        <v>0</v>
      </c>
      <c r="AP196" s="387" t="str">
        <f t="shared" si="101"/>
        <v>1</v>
      </c>
    </row>
    <row r="197" spans="1:42">
      <c r="A197" s="6" t="str">
        <f t="shared" si="182"/>
        <v>Base Year</v>
      </c>
      <c r="B197" s="6" t="str">
        <f>InputSheet!G$44</f>
        <v>Material Handling</v>
      </c>
      <c r="E197" s="698">
        <f>IF(E193="",0,INDEX(Input_Range,MATCH((C189&amp;B197),Input_Call,0),MATCH(E193,Input_Header,0)))</f>
        <v>0</v>
      </c>
      <c r="F197" s="698">
        <f>IF(F193="",0,INDEX(Input_Range,MATCH((C189&amp;B197),Input_Call,0),MATCH(F193,Input_Header,0)))</f>
        <v>0</v>
      </c>
      <c r="G197" s="698">
        <f>IF(G193="",0,INDEX(Input_Range,MATCH((C189&amp;B197),Input_Call,0),MATCH(G193,Input_Header,0)))</f>
        <v>0</v>
      </c>
      <c r="H197" s="698">
        <f>IF(H193="",0,INDEX(Input_Range,MATCH((C189&amp;B197),Input_Call,0),MATCH(H193,Input_Header,0)))</f>
        <v>0</v>
      </c>
      <c r="I197" s="698">
        <f>IF(I193="",0,INDEX(Input_Range,MATCH((C189&amp;B197),Input_Call,0),MATCH(I193,Input_Header,0)))</f>
        <v>0</v>
      </c>
      <c r="J197" s="698">
        <f>IF(J193="",0,INDEX(Input_Range,MATCH((C189&amp;B197),Input_Call,0),MATCH(J193,Input_Header,0)))</f>
        <v>0</v>
      </c>
      <c r="K197" s="698">
        <f>IF(K193="",0,INDEX(Input_Range,MATCH((C189&amp;B197),Input_Call,0),MATCH(K193,Input_Header,0)))</f>
        <v>0</v>
      </c>
      <c r="L197" s="698">
        <f>IF(L193="",0,INDEX(Input_Range,MATCH((C189&amp;B197),Input_Call,0),MATCH(L193,Input_Header,0)))</f>
        <v>0</v>
      </c>
      <c r="M197" s="698">
        <f>IF(M193="",0,INDEX(Input_Range,MATCH((C189&amp;B197),Input_Call,0),MATCH(M193,Input_Header,0)))</f>
        <v>0</v>
      </c>
      <c r="N197" s="698">
        <f>IF(N193="",0,INDEX(Input_Range,MATCH((C189&amp;B197),Input_Call,0),MATCH(N193,Input_Header,0)))</f>
        <v>0</v>
      </c>
      <c r="O197" s="698">
        <f>IF(O193="",0,INDEX(Input_Range,MATCH((C189&amp;B197),Input_Call,0),MATCH(O193,Input_Header,0)))</f>
        <v>0</v>
      </c>
      <c r="P197" s="698">
        <f>IF(P193="",0,INDEX(Input_Range,MATCH((C189&amp;B197),Input_Call,0),MATCH(P193,Input_Header,0)))</f>
        <v>0</v>
      </c>
      <c r="Q197" s="698">
        <f>IF(Q193="",0,INDEX(Input_Range,MATCH((C189&amp;B197),Input_Call,0),MATCH(Q193,Input_Header,0)))</f>
        <v>0</v>
      </c>
      <c r="R197" s="698">
        <f t="shared" si="183"/>
        <v>0</v>
      </c>
      <c r="T197" s="699">
        <f t="shared" si="184"/>
        <v>0</v>
      </c>
      <c r="U197" s="699">
        <f t="shared" si="185"/>
        <v>12</v>
      </c>
      <c r="V197" s="699">
        <f t="shared" si="186"/>
        <v>0</v>
      </c>
      <c r="W197" s="699">
        <f t="shared" si="187"/>
        <v>0</v>
      </c>
      <c r="X197" s="699">
        <f t="shared" si="188"/>
        <v>0</v>
      </c>
      <c r="Y197" s="699">
        <f t="shared" si="189"/>
        <v>0</v>
      </c>
      <c r="Z197" s="699">
        <f t="shared" si="190"/>
        <v>0</v>
      </c>
      <c r="AA197" s="699">
        <f t="shared" si="191"/>
        <v>0</v>
      </c>
      <c r="AB197" s="699">
        <f t="shared" si="192"/>
        <v>0</v>
      </c>
      <c r="AC197" s="699">
        <f t="shared" si="193"/>
        <v>0</v>
      </c>
      <c r="AD197" s="699">
        <f t="shared" si="194"/>
        <v>0</v>
      </c>
      <c r="AE197" s="699">
        <f t="shared" si="195"/>
        <v>0</v>
      </c>
      <c r="AF197" s="699">
        <f t="shared" si="196"/>
        <v>0</v>
      </c>
      <c r="AG197" s="699">
        <f t="shared" si="197"/>
        <v>0</v>
      </c>
      <c r="AI197" s="698">
        <f t="shared" si="180"/>
        <v>0</v>
      </c>
      <c r="AJ197" s="698"/>
      <c r="AK197" s="698"/>
      <c r="AL197" s="4" t="str">
        <f>$A197&amp;$C189&amp;InputSheet!C$44&amp;InputSheet!D$44</f>
        <v>Base YearESDMHContr/Govt</v>
      </c>
      <c r="AM197" s="700">
        <f t="shared" si="181"/>
        <v>0</v>
      </c>
      <c r="AP197" s="387" t="str">
        <f t="shared" si="101"/>
        <v>0</v>
      </c>
    </row>
    <row r="198" spans="1:42">
      <c r="A198" s="6" t="str">
        <f t="shared" si="182"/>
        <v>Base Year</v>
      </c>
      <c r="B198" s="6" t="str">
        <f>InputSheet!G$45</f>
        <v>G&amp;A</v>
      </c>
      <c r="E198" s="698">
        <f>IF(E193="",0,INDEX(Input_Range,MATCH((C189&amp;B198),Input_Call,0),MATCH(E193,Input_Header,0)))</f>
        <v>0</v>
      </c>
      <c r="F198" s="698">
        <f>IF(F193="",0,INDEX(Input_Range,MATCH((C189&amp;B198),Input_Call,0),MATCH(F193,Input_Header,0)))</f>
        <v>0</v>
      </c>
      <c r="G198" s="698">
        <f>IF(G193="",0,INDEX(Input_Range,MATCH((C189&amp;B198),Input_Call,0),MATCH(G193,Input_Header,0)))</f>
        <v>0</v>
      </c>
      <c r="H198" s="698">
        <f>IF(H193="",0,INDEX(Input_Range,MATCH((C189&amp;B198),Input_Call,0),MATCH(H193,Input_Header,0)))</f>
        <v>0</v>
      </c>
      <c r="I198" s="698">
        <f>IF(I193="",0,INDEX(Input_Range,MATCH((C189&amp;B198),Input_Call,0),MATCH(I193,Input_Header,0)))</f>
        <v>0</v>
      </c>
      <c r="J198" s="698">
        <f>IF(J193="",0,INDEX(Input_Range,MATCH((C189&amp;B198),Input_Call,0),MATCH(J193,Input_Header,0)))</f>
        <v>0</v>
      </c>
      <c r="K198" s="698">
        <f>IF(K193="",0,INDEX(Input_Range,MATCH((C189&amp;B198),Input_Call,0),MATCH(K193,Input_Header,0)))</f>
        <v>0</v>
      </c>
      <c r="L198" s="698">
        <f>IF(L193="",0,INDEX(Input_Range,MATCH((C189&amp;B198),Input_Call,0),MATCH(L193,Input_Header,0)))</f>
        <v>0</v>
      </c>
      <c r="M198" s="698">
        <f>IF(M193="",0,INDEX(Input_Range,MATCH((C189&amp;B198),Input_Call,0),MATCH(M193,Input_Header,0)))</f>
        <v>0</v>
      </c>
      <c r="N198" s="698">
        <f>IF(N193="",0,INDEX(Input_Range,MATCH((C189&amp;B198),Input_Call,0),MATCH(N193,Input_Header,0)))</f>
        <v>0</v>
      </c>
      <c r="O198" s="698">
        <f>IF(O193="",0,INDEX(Input_Range,MATCH((C189&amp;B198),Input_Call,0),MATCH(O193,Input_Header,0)))</f>
        <v>0</v>
      </c>
      <c r="P198" s="698">
        <f>IF(P193="",0,INDEX(Input_Range,MATCH((C189&amp;B198),Input_Call,0),MATCH(P193,Input_Header,0)))</f>
        <v>0</v>
      </c>
      <c r="Q198" s="698">
        <f>IF(Q193="",0,INDEX(Input_Range,MATCH((C189&amp;B198),Input_Call,0),MATCH(Q193,Input_Header,0)))</f>
        <v>0</v>
      </c>
      <c r="R198" s="698">
        <f t="shared" si="183"/>
        <v>0</v>
      </c>
      <c r="T198" s="699">
        <f t="shared" si="184"/>
        <v>0</v>
      </c>
      <c r="U198" s="699">
        <f t="shared" si="185"/>
        <v>12</v>
      </c>
      <c r="V198" s="699">
        <f t="shared" si="186"/>
        <v>0</v>
      </c>
      <c r="W198" s="699">
        <f t="shared" si="187"/>
        <v>0</v>
      </c>
      <c r="X198" s="699">
        <f t="shared" si="188"/>
        <v>0</v>
      </c>
      <c r="Y198" s="699">
        <f t="shared" si="189"/>
        <v>0</v>
      </c>
      <c r="Z198" s="699">
        <f t="shared" si="190"/>
        <v>0</v>
      </c>
      <c r="AA198" s="699">
        <f t="shared" si="191"/>
        <v>0</v>
      </c>
      <c r="AB198" s="699">
        <f t="shared" si="192"/>
        <v>0</v>
      </c>
      <c r="AC198" s="699">
        <f t="shared" si="193"/>
        <v>0</v>
      </c>
      <c r="AD198" s="699">
        <f t="shared" si="194"/>
        <v>0</v>
      </c>
      <c r="AE198" s="699">
        <f t="shared" si="195"/>
        <v>0</v>
      </c>
      <c r="AF198" s="699">
        <f t="shared" si="196"/>
        <v>0</v>
      </c>
      <c r="AG198" s="699">
        <f t="shared" si="197"/>
        <v>0</v>
      </c>
      <c r="AI198" s="698">
        <f t="shared" si="180"/>
        <v>0</v>
      </c>
      <c r="AJ198" s="698"/>
      <c r="AK198" s="698"/>
      <c r="AL198" s="4" t="str">
        <f>$A198&amp;$C189&amp;InputSheet!C$45&amp;InputSheet!D$45</f>
        <v>Base YearESDG&amp;AContr/Govt</v>
      </c>
      <c r="AM198" s="700">
        <f t="shared" si="181"/>
        <v>0</v>
      </c>
      <c r="AP198" s="387" t="str">
        <f t="shared" si="101"/>
        <v>1</v>
      </c>
    </row>
    <row r="199" spans="1:42" outlineLevel="1">
      <c r="A199" s="6" t="str">
        <f t="shared" si="182"/>
        <v>Base Year</v>
      </c>
      <c r="B199" s="6" t="str">
        <f>InputSheet!G$46</f>
        <v>TBD1</v>
      </c>
      <c r="E199" s="21">
        <f>IF(E193="",0,INDEX(Input_Range,MATCH((C189&amp;B199),Input_Call,0),MATCH(E193,Input_Header,0)))</f>
        <v>0</v>
      </c>
      <c r="F199" s="21">
        <f>IF(F193="",0,INDEX(Input_Range,MATCH((C189&amp;B199),Input_Call,0),MATCH(F193,Input_Header,0)))</f>
        <v>0</v>
      </c>
      <c r="G199" s="21">
        <f>IF(G193="",0,INDEX(Input_Range,MATCH((C189&amp;B199),Input_Call,0),MATCH(G193,Input_Header,0)))</f>
        <v>0</v>
      </c>
      <c r="H199" s="21">
        <f>IF(H193="",0,INDEX(Input_Range,MATCH((C189&amp;B199),Input_Call,0),MATCH(H193,Input_Header,0)))</f>
        <v>0</v>
      </c>
      <c r="I199" s="21">
        <f>IF(I193="",0,INDEX(Input_Range,MATCH((C189&amp;B199),Input_Call,0),MATCH(I193,Input_Header,0)))</f>
        <v>0</v>
      </c>
      <c r="J199" s="21">
        <f>IF(J193="",0,INDEX(Input_Range,MATCH((C189&amp;B199),Input_Call,0),MATCH(J193,Input_Header,0)))</f>
        <v>0</v>
      </c>
      <c r="K199" s="21">
        <f>IF(K193="",0,INDEX(Input_Range,MATCH((C189&amp;B199),Input_Call,0),MATCH(K193,Input_Header,0)))</f>
        <v>0</v>
      </c>
      <c r="L199" s="21">
        <f>IF(L193="",0,INDEX(Input_Range,MATCH((C189&amp;B199),Input_Call,0),MATCH(L193,Input_Header,0)))</f>
        <v>0</v>
      </c>
      <c r="M199" s="21">
        <f>IF(M193="",0,INDEX(Input_Range,MATCH((C189&amp;B199),Input_Call,0),MATCH(M193,Input_Header,0)))</f>
        <v>0</v>
      </c>
      <c r="N199" s="21">
        <f>IF(N193="",0,INDEX(Input_Range,MATCH((C189&amp;B199),Input_Call,0),MATCH(N193,Input_Header,0)))</f>
        <v>0</v>
      </c>
      <c r="O199" s="21">
        <f>IF(O193="",0,INDEX(Input_Range,MATCH((C189&amp;B199),Input_Call,0),MATCH(O193,Input_Header,0)))</f>
        <v>0</v>
      </c>
      <c r="P199" s="21">
        <f>IF(P193="",0,INDEX(Input_Range,MATCH((C189&amp;B199),Input_Call,0),MATCH(P193,Input_Header,0)))</f>
        <v>0</v>
      </c>
      <c r="Q199" s="21">
        <f>IF(Q193="",0,INDEX(Input_Range,MATCH((C189&amp;B199),Input_Call,0),MATCH(Q193,Input_Header,0)))</f>
        <v>0</v>
      </c>
      <c r="R199" s="698">
        <f t="shared" si="183"/>
        <v>0</v>
      </c>
      <c r="T199" s="699">
        <f t="shared" si="184"/>
        <v>0</v>
      </c>
      <c r="U199" s="699">
        <f t="shared" si="185"/>
        <v>12</v>
      </c>
      <c r="V199" s="699">
        <f t="shared" si="186"/>
        <v>0</v>
      </c>
      <c r="W199" s="699">
        <f t="shared" si="187"/>
        <v>0</v>
      </c>
      <c r="X199" s="699">
        <f t="shared" si="188"/>
        <v>0</v>
      </c>
      <c r="Y199" s="699">
        <f t="shared" si="189"/>
        <v>0</v>
      </c>
      <c r="Z199" s="699">
        <f t="shared" si="190"/>
        <v>0</v>
      </c>
      <c r="AA199" s="699">
        <f t="shared" si="191"/>
        <v>0</v>
      </c>
      <c r="AB199" s="699">
        <f t="shared" si="192"/>
        <v>0</v>
      </c>
      <c r="AC199" s="699">
        <f t="shared" si="193"/>
        <v>0</v>
      </c>
      <c r="AD199" s="699">
        <f t="shared" si="194"/>
        <v>0</v>
      </c>
      <c r="AE199" s="699">
        <f t="shared" si="195"/>
        <v>0</v>
      </c>
      <c r="AF199" s="699">
        <f t="shared" si="196"/>
        <v>0</v>
      </c>
      <c r="AG199" s="699">
        <f t="shared" si="197"/>
        <v>0</v>
      </c>
      <c r="AI199" s="698">
        <f t="shared" si="180"/>
        <v>0</v>
      </c>
      <c r="AJ199" s="21"/>
      <c r="AK199" s="21"/>
      <c r="AL199" s="4" t="str">
        <f>$A199&amp;$C189&amp;InputSheet!C$46&amp;InputSheet!D$46</f>
        <v>Base YearESDTBD1Contr/Govt</v>
      </c>
      <c r="AM199" s="700">
        <f t="shared" si="181"/>
        <v>0</v>
      </c>
      <c r="AP199" s="387" t="str">
        <f t="shared" si="101"/>
        <v>0</v>
      </c>
    </row>
    <row r="200" spans="1:42" outlineLevel="1">
      <c r="A200" s="6" t="str">
        <f t="shared" si="182"/>
        <v>Base Year</v>
      </c>
      <c r="B200" s="6" t="str">
        <f>InputSheet!G$47</f>
        <v>TBD2</v>
      </c>
      <c r="E200" s="21">
        <f>IF(E193="",0,INDEX(Input_Range,MATCH((C189&amp;B200),Input_Call,0),MATCH(E193,Input_Header,0)))</f>
        <v>0</v>
      </c>
      <c r="F200" s="21">
        <f>IF(F193="",0,INDEX(Input_Range,MATCH((C189&amp;B200),Input_Call,0),MATCH(F193,Input_Header,0)))</f>
        <v>0</v>
      </c>
      <c r="G200" s="21">
        <f>IF(G193="",0,INDEX(Input_Range,MATCH((C189&amp;B200),Input_Call,0),MATCH(G193,Input_Header,0)))</f>
        <v>0</v>
      </c>
      <c r="H200" s="21">
        <f>IF(H193="",0,INDEX(Input_Range,MATCH((C189&amp;B200),Input_Call,0),MATCH(H193,Input_Header,0)))</f>
        <v>0</v>
      </c>
      <c r="I200" s="21">
        <f>IF(I193="",0,INDEX(Input_Range,MATCH((C189&amp;B200),Input_Call,0),MATCH(I193,Input_Header,0)))</f>
        <v>0</v>
      </c>
      <c r="J200" s="21">
        <f>IF(J193="",0,INDEX(Input_Range,MATCH((C189&amp;B200),Input_Call,0),MATCH(J193,Input_Header,0)))</f>
        <v>0</v>
      </c>
      <c r="K200" s="21">
        <f>IF(K193="",0,INDEX(Input_Range,MATCH((C189&amp;B200),Input_Call,0),MATCH(K193,Input_Header,0)))</f>
        <v>0</v>
      </c>
      <c r="L200" s="21">
        <f>IF(L193="",0,INDEX(Input_Range,MATCH((C189&amp;B200),Input_Call,0),MATCH(L193,Input_Header,0)))</f>
        <v>0</v>
      </c>
      <c r="M200" s="21">
        <f>IF(M193="",0,INDEX(Input_Range,MATCH((C189&amp;B200),Input_Call,0),MATCH(M193,Input_Header,0)))</f>
        <v>0</v>
      </c>
      <c r="N200" s="21">
        <f>IF(N193="",0,INDEX(Input_Range,MATCH((C189&amp;B200),Input_Call,0),MATCH(N193,Input_Header,0)))</f>
        <v>0</v>
      </c>
      <c r="O200" s="21">
        <f>IF(O193="",0,INDEX(Input_Range,MATCH((C189&amp;B200),Input_Call,0),MATCH(O193,Input_Header,0)))</f>
        <v>0</v>
      </c>
      <c r="P200" s="21">
        <f>IF(P193="",0,INDEX(Input_Range,MATCH((C189&amp;B200),Input_Call,0),MATCH(P193,Input_Header,0)))</f>
        <v>0</v>
      </c>
      <c r="Q200" s="21">
        <f>IF(Q193="",0,INDEX(Input_Range,MATCH((C189&amp;B200),Input_Call,0),MATCH(Q193,Input_Header,0)))</f>
        <v>0</v>
      </c>
      <c r="R200" s="698">
        <f t="shared" si="183"/>
        <v>0</v>
      </c>
      <c r="T200" s="699">
        <f t="shared" si="184"/>
        <v>0</v>
      </c>
      <c r="U200" s="699">
        <f t="shared" si="185"/>
        <v>12</v>
      </c>
      <c r="V200" s="699">
        <f t="shared" si="186"/>
        <v>0</v>
      </c>
      <c r="W200" s="699">
        <f t="shared" si="187"/>
        <v>0</v>
      </c>
      <c r="X200" s="699">
        <f t="shared" si="188"/>
        <v>0</v>
      </c>
      <c r="Y200" s="699">
        <f t="shared" si="189"/>
        <v>0</v>
      </c>
      <c r="Z200" s="699">
        <f t="shared" si="190"/>
        <v>0</v>
      </c>
      <c r="AA200" s="699">
        <f t="shared" si="191"/>
        <v>0</v>
      </c>
      <c r="AB200" s="699">
        <f t="shared" si="192"/>
        <v>0</v>
      </c>
      <c r="AC200" s="699">
        <f t="shared" si="193"/>
        <v>0</v>
      </c>
      <c r="AD200" s="699">
        <f t="shared" si="194"/>
        <v>0</v>
      </c>
      <c r="AE200" s="699">
        <f t="shared" si="195"/>
        <v>0</v>
      </c>
      <c r="AF200" s="699">
        <f t="shared" si="196"/>
        <v>0</v>
      </c>
      <c r="AG200" s="699">
        <f t="shared" si="197"/>
        <v>0</v>
      </c>
      <c r="AI200" s="698">
        <f t="shared" si="180"/>
        <v>0</v>
      </c>
      <c r="AJ200" s="21"/>
      <c r="AK200" s="21"/>
      <c r="AL200" s="4" t="str">
        <f>$A200&amp;$C189&amp;InputSheet!C$47&amp;InputSheet!D$47</f>
        <v>Base YearESDTBD2Contr/Govt</v>
      </c>
      <c r="AM200" s="700">
        <f t="shared" si="181"/>
        <v>0</v>
      </c>
      <c r="AP200" s="387" t="str">
        <f t="shared" si="101"/>
        <v>0</v>
      </c>
    </row>
    <row r="201" spans="1:42" outlineLevel="1">
      <c r="A201" s="6" t="str">
        <f t="shared" si="182"/>
        <v>Base Year</v>
      </c>
      <c r="B201" s="6" t="str">
        <f>InputSheet!G$48</f>
        <v>TBD3</v>
      </c>
      <c r="E201" s="21">
        <f>IF(E193="",0,INDEX(Input_Range,MATCH((C189&amp;B201),Input_Call,0),MATCH(E193,Input_Header,0)))</f>
        <v>0</v>
      </c>
      <c r="F201" s="21">
        <f>IF(F193="",0,INDEX(Input_Range,MATCH((C189&amp;B201),Input_Call,0),MATCH(F193,Input_Header,0)))</f>
        <v>0</v>
      </c>
      <c r="G201" s="21">
        <f>IF(G193="",0,INDEX(Input_Range,MATCH((C189&amp;B201),Input_Call,0),MATCH(G193,Input_Header,0)))</f>
        <v>0</v>
      </c>
      <c r="H201" s="21">
        <f>IF(H193="",0,INDEX(Input_Range,MATCH((C189&amp;B201),Input_Call,0),MATCH(H193,Input_Header,0)))</f>
        <v>0</v>
      </c>
      <c r="I201" s="21">
        <f>IF(I193="",0,INDEX(Input_Range,MATCH((C189&amp;B201),Input_Call,0),MATCH(I193,Input_Header,0)))</f>
        <v>0</v>
      </c>
      <c r="J201" s="21">
        <f>IF(J193="",0,INDEX(Input_Range,MATCH((C189&amp;B201),Input_Call,0),MATCH(J193,Input_Header,0)))</f>
        <v>0</v>
      </c>
      <c r="K201" s="21">
        <f>IF(K193="",0,INDEX(Input_Range,MATCH((C189&amp;B201),Input_Call,0),MATCH(K193,Input_Header,0)))</f>
        <v>0</v>
      </c>
      <c r="L201" s="21">
        <f>IF(L193="",0,INDEX(Input_Range,MATCH((C189&amp;B201),Input_Call,0),MATCH(L193,Input_Header,0)))</f>
        <v>0</v>
      </c>
      <c r="M201" s="21">
        <f>IF(M193="",0,INDEX(Input_Range,MATCH((C189&amp;B201),Input_Call,0),MATCH(M193,Input_Header,0)))</f>
        <v>0</v>
      </c>
      <c r="N201" s="21">
        <f>IF(N193="",0,INDEX(Input_Range,MATCH((C189&amp;B201),Input_Call,0),MATCH(N193,Input_Header,0)))</f>
        <v>0</v>
      </c>
      <c r="O201" s="21">
        <f>IF(O193="",0,INDEX(Input_Range,MATCH((C189&amp;B201),Input_Call,0),MATCH(O193,Input_Header,0)))</f>
        <v>0</v>
      </c>
      <c r="P201" s="21">
        <f>IF(P193="",0,INDEX(Input_Range,MATCH((C189&amp;B201),Input_Call,0),MATCH(P193,Input_Header,0)))</f>
        <v>0</v>
      </c>
      <c r="Q201" s="21">
        <f>IF(Q193="",0,INDEX(Input_Range,MATCH((C189&amp;B201),Input_Call,0),MATCH(Q193,Input_Header,0)))</f>
        <v>0</v>
      </c>
      <c r="R201" s="698">
        <f t="shared" si="183"/>
        <v>0</v>
      </c>
      <c r="T201" s="699">
        <f t="shared" si="184"/>
        <v>0</v>
      </c>
      <c r="U201" s="699">
        <f t="shared" si="185"/>
        <v>12</v>
      </c>
      <c r="V201" s="699">
        <f t="shared" si="186"/>
        <v>0</v>
      </c>
      <c r="W201" s="699">
        <f t="shared" si="187"/>
        <v>0</v>
      </c>
      <c r="X201" s="699">
        <f t="shared" si="188"/>
        <v>0</v>
      </c>
      <c r="Y201" s="699">
        <f t="shared" si="189"/>
        <v>0</v>
      </c>
      <c r="Z201" s="699">
        <f t="shared" si="190"/>
        <v>0</v>
      </c>
      <c r="AA201" s="699">
        <f t="shared" si="191"/>
        <v>0</v>
      </c>
      <c r="AB201" s="699">
        <f t="shared" si="192"/>
        <v>0</v>
      </c>
      <c r="AC201" s="699">
        <f t="shared" si="193"/>
        <v>0</v>
      </c>
      <c r="AD201" s="699">
        <f t="shared" si="194"/>
        <v>0</v>
      </c>
      <c r="AE201" s="699">
        <f t="shared" si="195"/>
        <v>0</v>
      </c>
      <c r="AF201" s="699">
        <f t="shared" si="196"/>
        <v>0</v>
      </c>
      <c r="AG201" s="699">
        <f t="shared" si="197"/>
        <v>0</v>
      </c>
      <c r="AI201" s="698">
        <f t="shared" si="180"/>
        <v>0</v>
      </c>
      <c r="AJ201" s="21"/>
      <c r="AK201" s="21"/>
      <c r="AL201" s="4" t="str">
        <f>$A201&amp;$C189&amp;InputSheet!C$48&amp;InputSheet!D$48</f>
        <v>Base YearESDTBD3Contr/Govt</v>
      </c>
      <c r="AM201" s="700">
        <f t="shared" si="181"/>
        <v>0</v>
      </c>
      <c r="AP201" s="387" t="str">
        <f t="shared" si="101"/>
        <v>0</v>
      </c>
    </row>
    <row r="202" spans="1:42">
      <c r="E202" s="698"/>
      <c r="F202" s="698"/>
      <c r="G202" s="698"/>
      <c r="H202" s="698"/>
      <c r="I202" s="698"/>
      <c r="J202" s="698"/>
      <c r="K202" s="698"/>
      <c r="L202" s="698"/>
      <c r="M202" s="698"/>
      <c r="N202" s="698"/>
      <c r="O202" s="698"/>
      <c r="P202" s="698"/>
      <c r="Q202" s="698"/>
      <c r="R202" s="698"/>
      <c r="AI202" s="21"/>
      <c r="AJ202" s="21"/>
      <c r="AK202" s="21"/>
      <c r="AP202" s="387" t="str">
        <f t="shared" si="101"/>
        <v>1</v>
      </c>
    </row>
    <row r="203" spans="1:42">
      <c r="A203" s="530" t="str">
        <f>B203</f>
        <v>Option Year 1</v>
      </c>
      <c r="B203" s="691" t="str">
        <f>InputSheet!$C$23</f>
        <v>Option Year 1</v>
      </c>
      <c r="C203" s="28"/>
      <c r="AP203" s="387" t="str">
        <f t="shared" si="101"/>
        <v>1</v>
      </c>
    </row>
    <row r="204" spans="1:42">
      <c r="B204" s="314" t="s">
        <v>587</v>
      </c>
      <c r="C204" s="692" t="s">
        <v>588</v>
      </c>
      <c r="E204" s="1216" t="str">
        <f>"Indirect Rates - "&amp;C$189</f>
        <v>Indirect Rates - ESD</v>
      </c>
      <c r="F204" s="1216"/>
      <c r="G204" s="1216"/>
      <c r="H204" s="1216"/>
      <c r="I204" s="1216"/>
      <c r="J204" s="1216"/>
      <c r="K204" s="1216"/>
      <c r="L204" s="1216"/>
      <c r="M204" s="1216"/>
      <c r="N204" s="1216"/>
      <c r="O204" s="1216"/>
      <c r="P204" s="1216"/>
      <c r="Q204" s="1216"/>
      <c r="R204" s="1216"/>
      <c r="S204" s="844"/>
      <c r="T204" s="1217" t="s">
        <v>794</v>
      </c>
      <c r="U204" s="1217"/>
      <c r="V204" s="1217"/>
      <c r="W204" s="1217"/>
      <c r="X204" s="1217"/>
      <c r="Y204" s="1217"/>
      <c r="Z204" s="1217"/>
      <c r="AA204" s="1217"/>
      <c r="AB204" s="1217"/>
      <c r="AC204" s="1217"/>
      <c r="AD204" s="1217"/>
      <c r="AE204" s="1217"/>
      <c r="AF204" s="1217"/>
      <c r="AG204" s="1217"/>
      <c r="AI204" s="692" t="s">
        <v>615</v>
      </c>
      <c r="AJ204" s="50"/>
      <c r="AK204" s="50"/>
      <c r="AP204" s="387" t="str">
        <f t="shared" ref="AP204:AP267" si="198">IF(AM204="","1",(IF((VLOOKUP(B204,$AO$2:$AP$9,2,FALSE))="","0","1")))</f>
        <v>1</v>
      </c>
    </row>
    <row r="205" spans="1:42">
      <c r="B205" s="693">
        <f>VLOOKUP(A203,InputSheet!$C$8:$E$37,2,FALSE)</f>
        <v>40544</v>
      </c>
      <c r="C205" s="694">
        <f>VLOOKUP(A203,InputSheet!$C$8:$E$37,3,FALSE)</f>
        <v>40908</v>
      </c>
      <c r="E205" s="695">
        <f t="shared" ref="E205:R205" si="199">E193</f>
        <v>2009</v>
      </c>
      <c r="F205" s="695">
        <f t="shared" si="199"/>
        <v>2010</v>
      </c>
      <c r="G205" s="695">
        <f t="shared" si="199"/>
        <v>2011</v>
      </c>
      <c r="H205" s="695">
        <f t="shared" si="199"/>
        <v>2012</v>
      </c>
      <c r="I205" s="695">
        <f t="shared" si="199"/>
        <v>2013</v>
      </c>
      <c r="J205" s="695">
        <f t="shared" si="199"/>
        <v>2014</v>
      </c>
      <c r="K205" s="695">
        <f t="shared" si="199"/>
        <v>2015</v>
      </c>
      <c r="L205" s="695">
        <f t="shared" si="199"/>
        <v>2016</v>
      </c>
      <c r="M205" s="695">
        <f t="shared" si="199"/>
        <v>2017</v>
      </c>
      <c r="N205" s="695">
        <f t="shared" si="199"/>
        <v>2018</v>
      </c>
      <c r="O205" s="695">
        <f t="shared" si="199"/>
        <v>2019</v>
      </c>
      <c r="P205" s="695">
        <f t="shared" si="199"/>
        <v>2020</v>
      </c>
      <c r="Q205" s="695">
        <f t="shared" si="199"/>
        <v>2021</v>
      </c>
      <c r="R205" s="695">
        <f t="shared" si="199"/>
        <v>2022</v>
      </c>
      <c r="S205" s="680"/>
      <c r="T205" s="695">
        <f t="shared" ref="T205:AG205" si="200">T193</f>
        <v>2009</v>
      </c>
      <c r="U205" s="695">
        <f t="shared" si="200"/>
        <v>2010</v>
      </c>
      <c r="V205" s="695">
        <f t="shared" si="200"/>
        <v>2011</v>
      </c>
      <c r="W205" s="695">
        <f t="shared" si="200"/>
        <v>2012</v>
      </c>
      <c r="X205" s="695">
        <f t="shared" si="200"/>
        <v>2013</v>
      </c>
      <c r="Y205" s="695">
        <f t="shared" si="200"/>
        <v>2014</v>
      </c>
      <c r="Z205" s="695">
        <f t="shared" si="200"/>
        <v>2015</v>
      </c>
      <c r="AA205" s="695">
        <f t="shared" si="200"/>
        <v>2016</v>
      </c>
      <c r="AB205" s="695">
        <f t="shared" si="200"/>
        <v>2017</v>
      </c>
      <c r="AC205" s="695">
        <f t="shared" si="200"/>
        <v>2018</v>
      </c>
      <c r="AD205" s="695">
        <f t="shared" si="200"/>
        <v>2019</v>
      </c>
      <c r="AE205" s="695">
        <f t="shared" si="200"/>
        <v>2020</v>
      </c>
      <c r="AF205" s="695">
        <f t="shared" si="200"/>
        <v>2021</v>
      </c>
      <c r="AG205" s="695">
        <f t="shared" si="200"/>
        <v>2022</v>
      </c>
      <c r="AI205" s="696" t="str">
        <f>B203</f>
        <v>Option Year 1</v>
      </c>
      <c r="AJ205" s="28"/>
      <c r="AK205" s="28"/>
      <c r="AP205" s="387" t="str">
        <f t="shared" si="198"/>
        <v>1</v>
      </c>
    </row>
    <row r="206" spans="1:42">
      <c r="A206" s="6" t="str">
        <f>A203</f>
        <v>Option Year 1</v>
      </c>
      <c r="B206" s="6" t="str">
        <f t="shared" ref="B206:B213" si="201">B194</f>
        <v>PRB</v>
      </c>
      <c r="E206" s="698">
        <f>IF(E205="",0,INDEX(Input_Range,MATCH((C189&amp;B206),Input_Call,0),MATCH(E205,Input_Header,0)))</f>
        <v>0</v>
      </c>
      <c r="F206" s="698">
        <f>IF(F205="",0,INDEX(Input_Range,MATCH((C189&amp;B206),Input_Call,0),MATCH(F205,Input_Header,0)))</f>
        <v>0</v>
      </c>
      <c r="G206" s="698">
        <f>IF(G205="",0,INDEX(Input_Range,MATCH((C189&amp;B206),Input_Call,0),MATCH(G205,Input_Header,0)))</f>
        <v>0</v>
      </c>
      <c r="H206" s="698">
        <f>IF(H205="",0,INDEX(Input_Range,MATCH((C189&amp;B206),Input_Call,0),MATCH(H205,Input_Header,0)))</f>
        <v>0</v>
      </c>
      <c r="I206" s="698">
        <f>IF(I205="",0,INDEX(Input_Range,MATCH((C189&amp;B206),Input_Call,0),MATCH(I205,Input_Header,0)))</f>
        <v>0</v>
      </c>
      <c r="J206" s="698">
        <f>IF(J205="",0,INDEX(Input_Range,MATCH((C189&amp;B206),Input_Call,0),MATCH(J205,Input_Header,0)))</f>
        <v>0</v>
      </c>
      <c r="K206" s="698">
        <f>IF(K205="",0,INDEX(Input_Range,MATCH((C189&amp;B206),Input_Call,0),MATCH(K205,Input_Header,0)))</f>
        <v>0</v>
      </c>
      <c r="L206" s="698">
        <f>IF(L205="",0,INDEX(Input_Range,MATCH((C189&amp;B206),Input_Call,0),MATCH(L205,Input_Header,0)))</f>
        <v>0</v>
      </c>
      <c r="M206" s="698">
        <f>IF(M205="",0,INDEX(Input_Range,MATCH((C189&amp;B206),Input_Call,0),MATCH(M205,Input_Header,0)))</f>
        <v>0</v>
      </c>
      <c r="N206" s="698">
        <f>IF(N205="",0,INDEX(Input_Range,MATCH((C189&amp;B206),Input_Call,0),MATCH(N205,Input_Header,0)))</f>
        <v>0</v>
      </c>
      <c r="O206" s="698">
        <f>IF(O205="",0,INDEX(Input_Range,MATCH((C189&amp;B206),Input_Call,0),MATCH(O205,Input_Header,0)))</f>
        <v>0</v>
      </c>
      <c r="P206" s="698">
        <f>IF(P205="",0,INDEX(Input_Range,MATCH((C189&amp;B206),Input_Call,0),MATCH(P205,Input_Header,0)))</f>
        <v>0</v>
      </c>
      <c r="Q206" s="698">
        <f>IF(Q205="",0,INDEX(Input_Range,MATCH((C189&amp;B206),Input_Call,0),MATCH(Q205,Input_Header,0)))</f>
        <v>0</v>
      </c>
      <c r="R206" s="698">
        <f>Q206</f>
        <v>0</v>
      </c>
      <c r="T206" s="699">
        <f>ROUND((MAX(0,(MIN($C205,DATE(T$23,12,31))-MAX($B205,DATE(T$23,1,1))+1)))/30.41667,0)</f>
        <v>0</v>
      </c>
      <c r="U206" s="699">
        <f>ROUND((MAX(0,(MIN($C205,DATE(U$23,12,31))-MAX($B205,DATE(U$23,1,1))+1)))/30.41667,0)</f>
        <v>0</v>
      </c>
      <c r="V206" s="699">
        <f t="shared" ref="V206:AG206" si="202">ROUND((MAX(0,(MIN($C205,DATE(V$23,12,31))-MAX($B205,DATE(V$23,1,1))+1)))/30.41667,0)</f>
        <v>12</v>
      </c>
      <c r="W206" s="699">
        <f t="shared" si="202"/>
        <v>0</v>
      </c>
      <c r="X206" s="699">
        <f t="shared" si="202"/>
        <v>0</v>
      </c>
      <c r="Y206" s="699">
        <f t="shared" si="202"/>
        <v>0</v>
      </c>
      <c r="Z206" s="699">
        <f t="shared" si="202"/>
        <v>0</v>
      </c>
      <c r="AA206" s="699">
        <f t="shared" si="202"/>
        <v>0</v>
      </c>
      <c r="AB206" s="699">
        <f t="shared" si="202"/>
        <v>0</v>
      </c>
      <c r="AC206" s="699">
        <f t="shared" si="202"/>
        <v>0</v>
      </c>
      <c r="AD206" s="699">
        <f t="shared" si="202"/>
        <v>0</v>
      </c>
      <c r="AE206" s="699">
        <f t="shared" si="202"/>
        <v>0</v>
      </c>
      <c r="AF206" s="699">
        <f t="shared" si="202"/>
        <v>0</v>
      </c>
      <c r="AG206" s="699">
        <f t="shared" si="202"/>
        <v>0</v>
      </c>
      <c r="AI206" s="698">
        <f t="shared" ref="AI206:AI213" si="203">ROUND(SUMPRODUCT(E206:R206,T206:AG206)/SUM(T206:AG206),4)</f>
        <v>0</v>
      </c>
      <c r="AJ206" s="698"/>
      <c r="AK206" s="698"/>
      <c r="AL206" s="4" t="str">
        <f>$A206&amp;$C189&amp;InputSheet!C$41&amp;InputSheet!D$41</f>
        <v>Option Year 1ESDPRBContr/Govt</v>
      </c>
      <c r="AM206" s="700">
        <f t="shared" ref="AM206:AM213" si="204">AI206</f>
        <v>0</v>
      </c>
      <c r="AP206" s="387" t="str">
        <f t="shared" si="198"/>
        <v>1</v>
      </c>
    </row>
    <row r="207" spans="1:42">
      <c r="A207" s="6" t="str">
        <f t="shared" ref="A207:A213" si="205">A206</f>
        <v>Option Year 1</v>
      </c>
      <c r="B207" s="6" t="str">
        <f t="shared" si="201"/>
        <v>Overhead - Offsite</v>
      </c>
      <c r="E207" s="698">
        <f>IF(E205="",0,INDEX(Input_Range,MATCH((C189&amp;B207),Input_Call,0),MATCH(E205,Input_Header,0)))</f>
        <v>0</v>
      </c>
      <c r="F207" s="698">
        <f>IF(F205="",0,INDEX(Input_Range,MATCH((C189&amp;B207),Input_Call,0),MATCH(F205,Input_Header,0)))</f>
        <v>0</v>
      </c>
      <c r="G207" s="698">
        <f>IF(G205="",0,INDEX(Input_Range,MATCH((C189&amp;B207),Input_Call,0),MATCH(G205,Input_Header,0)))</f>
        <v>0</v>
      </c>
      <c r="H207" s="698">
        <f>IF(H205="",0,INDEX(Input_Range,MATCH((C189&amp;B207),Input_Call,0),MATCH(H205,Input_Header,0)))</f>
        <v>0</v>
      </c>
      <c r="I207" s="698">
        <f>IF(I205="",0,INDEX(Input_Range,MATCH((C189&amp;B207),Input_Call,0),MATCH(I205,Input_Header,0)))</f>
        <v>0</v>
      </c>
      <c r="J207" s="698">
        <f>IF(J205="",0,INDEX(Input_Range,MATCH((C189&amp;B207),Input_Call,0),MATCH(J205,Input_Header,0)))</f>
        <v>0</v>
      </c>
      <c r="K207" s="698">
        <f>IF(K205="",0,INDEX(Input_Range,MATCH((C189&amp;B207),Input_Call,0),MATCH(K205,Input_Header,0)))</f>
        <v>0</v>
      </c>
      <c r="L207" s="698">
        <f>IF(L205="",0,INDEX(Input_Range,MATCH((C189&amp;B207),Input_Call,0),MATCH(L205,Input_Header,0)))</f>
        <v>0</v>
      </c>
      <c r="M207" s="698">
        <f>IF(M205="",0,INDEX(Input_Range,MATCH((C189&amp;B207),Input_Call,0),MATCH(M205,Input_Header,0)))</f>
        <v>0</v>
      </c>
      <c r="N207" s="698">
        <f>IF(N205="",0,INDEX(Input_Range,MATCH((C189&amp;B207),Input_Call,0),MATCH(N205,Input_Header,0)))</f>
        <v>0</v>
      </c>
      <c r="O207" s="698">
        <f>IF(O205="",0,INDEX(Input_Range,MATCH((C189&amp;B207),Input_Call,0),MATCH(O205,Input_Header,0)))</f>
        <v>0</v>
      </c>
      <c r="P207" s="698">
        <f>IF(P205="",0,INDEX(Input_Range,MATCH((C189&amp;B207),Input_Call,0),MATCH(P205,Input_Header,0)))</f>
        <v>0</v>
      </c>
      <c r="Q207" s="698">
        <f>IF(Q205="",0,INDEX(Input_Range,MATCH((C189&amp;B207),Input_Call,0),MATCH(Q205,Input_Header,0)))</f>
        <v>0</v>
      </c>
      <c r="R207" s="698">
        <f t="shared" ref="R207:R213" si="206">Q207</f>
        <v>0</v>
      </c>
      <c r="T207" s="699">
        <f t="shared" ref="T207:T213" si="207">T206</f>
        <v>0</v>
      </c>
      <c r="U207" s="699">
        <f t="shared" ref="U207:U213" si="208">U206</f>
        <v>0</v>
      </c>
      <c r="V207" s="699">
        <f t="shared" ref="V207:V213" si="209">V206</f>
        <v>12</v>
      </c>
      <c r="W207" s="699">
        <f t="shared" ref="W207:W213" si="210">W206</f>
        <v>0</v>
      </c>
      <c r="X207" s="699">
        <f t="shared" ref="X207:X213" si="211">X206</f>
        <v>0</v>
      </c>
      <c r="Y207" s="699">
        <f t="shared" ref="Y207:Y213" si="212">Y206</f>
        <v>0</v>
      </c>
      <c r="Z207" s="699">
        <f t="shared" ref="Z207:Z213" si="213">Z206</f>
        <v>0</v>
      </c>
      <c r="AA207" s="699">
        <f t="shared" ref="AA207:AA213" si="214">AA206</f>
        <v>0</v>
      </c>
      <c r="AB207" s="699">
        <f t="shared" ref="AB207:AB213" si="215">AB206</f>
        <v>0</v>
      </c>
      <c r="AC207" s="699">
        <f t="shared" ref="AC207:AC213" si="216">AC206</f>
        <v>0</v>
      </c>
      <c r="AD207" s="699">
        <f t="shared" ref="AD207:AD213" si="217">AD206</f>
        <v>0</v>
      </c>
      <c r="AE207" s="699">
        <f t="shared" ref="AE207:AE213" si="218">AE206</f>
        <v>0</v>
      </c>
      <c r="AF207" s="699">
        <f t="shared" ref="AF207:AF213" si="219">AF206</f>
        <v>0</v>
      </c>
      <c r="AG207" s="699">
        <f t="shared" ref="AG207:AG213" si="220">AG206</f>
        <v>0</v>
      </c>
      <c r="AI207" s="698">
        <f t="shared" si="203"/>
        <v>0</v>
      </c>
      <c r="AJ207" s="698"/>
      <c r="AK207" s="698"/>
      <c r="AL207" s="4" t="str">
        <f>$A207&amp;$C189&amp;InputSheet!C$42&amp;InputSheet!D$42</f>
        <v>Option Year 1ESDOverheadContr</v>
      </c>
      <c r="AM207" s="700">
        <f t="shared" si="204"/>
        <v>0</v>
      </c>
      <c r="AP207" s="387" t="str">
        <f t="shared" si="198"/>
        <v>0</v>
      </c>
    </row>
    <row r="208" spans="1:42">
      <c r="A208" s="6" t="str">
        <f t="shared" si="205"/>
        <v>Option Year 1</v>
      </c>
      <c r="B208" s="6" t="str">
        <f t="shared" si="201"/>
        <v>Overhead - Onsite</v>
      </c>
      <c r="E208" s="698">
        <f>IF(E205="",0,INDEX(Input_Range,MATCH((C189&amp;B208),Input_Call,0),MATCH(E205,Input_Header,0)))</f>
        <v>0</v>
      </c>
      <c r="F208" s="698">
        <f>IF(F205="",0,INDEX(Input_Range,MATCH((C189&amp;B208),Input_Call,0),MATCH(F205,Input_Header,0)))</f>
        <v>0</v>
      </c>
      <c r="G208" s="698">
        <f>IF(G205="",0,INDEX(Input_Range,MATCH((C189&amp;B208),Input_Call,0),MATCH(G205,Input_Header,0)))</f>
        <v>0</v>
      </c>
      <c r="H208" s="698">
        <f>IF(H205="",0,INDEX(Input_Range,MATCH((C189&amp;B208),Input_Call,0),MATCH(H205,Input_Header,0)))</f>
        <v>0</v>
      </c>
      <c r="I208" s="698">
        <f>IF(I205="",0,INDEX(Input_Range,MATCH((C189&amp;B208),Input_Call,0),MATCH(I205,Input_Header,0)))</f>
        <v>0</v>
      </c>
      <c r="J208" s="698">
        <f>IF(J205="",0,INDEX(Input_Range,MATCH((C189&amp;B208),Input_Call,0),MATCH(J205,Input_Header,0)))</f>
        <v>0</v>
      </c>
      <c r="K208" s="698">
        <f>IF(K205="",0,INDEX(Input_Range,MATCH((C189&amp;B208),Input_Call,0),MATCH(K205,Input_Header,0)))</f>
        <v>0</v>
      </c>
      <c r="L208" s="698">
        <f>IF(L205="",0,INDEX(Input_Range,MATCH((C189&amp;B208),Input_Call,0),MATCH(L205,Input_Header,0)))</f>
        <v>0</v>
      </c>
      <c r="M208" s="698">
        <f>IF(M205="",0,INDEX(Input_Range,MATCH((C189&amp;B208),Input_Call,0),MATCH(M205,Input_Header,0)))</f>
        <v>0</v>
      </c>
      <c r="N208" s="698">
        <f>IF(N205="",0,INDEX(Input_Range,MATCH((C189&amp;B208),Input_Call,0),MATCH(N205,Input_Header,0)))</f>
        <v>0</v>
      </c>
      <c r="O208" s="698">
        <f>IF(O205="",0,INDEX(Input_Range,MATCH((C189&amp;B208),Input_Call,0),MATCH(O205,Input_Header,0)))</f>
        <v>0</v>
      </c>
      <c r="P208" s="698">
        <f>IF(P205="",0,INDEX(Input_Range,MATCH((C189&amp;B208),Input_Call,0),MATCH(P205,Input_Header,0)))</f>
        <v>0</v>
      </c>
      <c r="Q208" s="698">
        <f>IF(Q205="",0,INDEX(Input_Range,MATCH((C189&amp;B208),Input_Call,0),MATCH(Q205,Input_Header,0)))</f>
        <v>0</v>
      </c>
      <c r="R208" s="698">
        <f t="shared" si="206"/>
        <v>0</v>
      </c>
      <c r="T208" s="699">
        <f t="shared" si="207"/>
        <v>0</v>
      </c>
      <c r="U208" s="699">
        <f t="shared" si="208"/>
        <v>0</v>
      </c>
      <c r="V208" s="699">
        <f t="shared" si="209"/>
        <v>12</v>
      </c>
      <c r="W208" s="699">
        <f t="shared" si="210"/>
        <v>0</v>
      </c>
      <c r="X208" s="699">
        <f t="shared" si="211"/>
        <v>0</v>
      </c>
      <c r="Y208" s="699">
        <f t="shared" si="212"/>
        <v>0</v>
      </c>
      <c r="Z208" s="699">
        <f t="shared" si="213"/>
        <v>0</v>
      </c>
      <c r="AA208" s="699">
        <f t="shared" si="214"/>
        <v>0</v>
      </c>
      <c r="AB208" s="699">
        <f t="shared" si="215"/>
        <v>0</v>
      </c>
      <c r="AC208" s="699">
        <f t="shared" si="216"/>
        <v>0</v>
      </c>
      <c r="AD208" s="699">
        <f t="shared" si="217"/>
        <v>0</v>
      </c>
      <c r="AE208" s="699">
        <f t="shared" si="218"/>
        <v>0</v>
      </c>
      <c r="AF208" s="699">
        <f t="shared" si="219"/>
        <v>0</v>
      </c>
      <c r="AG208" s="699">
        <f t="shared" si="220"/>
        <v>0</v>
      </c>
      <c r="AI208" s="698">
        <f t="shared" si="203"/>
        <v>0</v>
      </c>
      <c r="AJ208" s="698"/>
      <c r="AK208" s="698"/>
      <c r="AL208" s="4" t="str">
        <f>$A208&amp;$C189&amp;InputSheet!C$43&amp;InputSheet!D$43</f>
        <v>Option Year 1ESDOverheadGovt</v>
      </c>
      <c r="AM208" s="700">
        <f t="shared" si="204"/>
        <v>0</v>
      </c>
      <c r="AP208" s="387" t="str">
        <f t="shared" si="198"/>
        <v>1</v>
      </c>
    </row>
    <row r="209" spans="1:42">
      <c r="A209" s="6" t="str">
        <f t="shared" si="205"/>
        <v>Option Year 1</v>
      </c>
      <c r="B209" s="6" t="str">
        <f t="shared" si="201"/>
        <v>Material Handling</v>
      </c>
      <c r="E209" s="698">
        <f>IF(E205="",0,INDEX(Input_Range,MATCH((C189&amp;B209),Input_Call,0),MATCH(E205,Input_Header,0)))</f>
        <v>0</v>
      </c>
      <c r="F209" s="698">
        <f>IF(F205="",0,INDEX(Input_Range,MATCH((C189&amp;B209),Input_Call,0),MATCH(F205,Input_Header,0)))</f>
        <v>0</v>
      </c>
      <c r="G209" s="698">
        <f>IF(G205="",0,INDEX(Input_Range,MATCH((C189&amp;B209),Input_Call,0),MATCH(G205,Input_Header,0)))</f>
        <v>0</v>
      </c>
      <c r="H209" s="698">
        <f>IF(H205="",0,INDEX(Input_Range,MATCH((C189&amp;B209),Input_Call,0),MATCH(H205,Input_Header,0)))</f>
        <v>0</v>
      </c>
      <c r="I209" s="698">
        <f>IF(I205="",0,INDEX(Input_Range,MATCH((C189&amp;B209),Input_Call,0),MATCH(I205,Input_Header,0)))</f>
        <v>0</v>
      </c>
      <c r="J209" s="698">
        <f>IF(J205="",0,INDEX(Input_Range,MATCH((C189&amp;B209),Input_Call,0),MATCH(J205,Input_Header,0)))</f>
        <v>0</v>
      </c>
      <c r="K209" s="698">
        <f>IF(K205="",0,INDEX(Input_Range,MATCH((C189&amp;B209),Input_Call,0),MATCH(K205,Input_Header,0)))</f>
        <v>0</v>
      </c>
      <c r="L209" s="698">
        <f>IF(L205="",0,INDEX(Input_Range,MATCH((C189&amp;B209),Input_Call,0),MATCH(L205,Input_Header,0)))</f>
        <v>0</v>
      </c>
      <c r="M209" s="698">
        <f>IF(M205="",0,INDEX(Input_Range,MATCH((C189&amp;B209),Input_Call,0),MATCH(M205,Input_Header,0)))</f>
        <v>0</v>
      </c>
      <c r="N209" s="698">
        <f>IF(N205="",0,INDEX(Input_Range,MATCH((C189&amp;B209),Input_Call,0),MATCH(N205,Input_Header,0)))</f>
        <v>0</v>
      </c>
      <c r="O209" s="698">
        <f>IF(O205="",0,INDEX(Input_Range,MATCH((C189&amp;B209),Input_Call,0),MATCH(O205,Input_Header,0)))</f>
        <v>0</v>
      </c>
      <c r="P209" s="698">
        <f>IF(P205="",0,INDEX(Input_Range,MATCH((C189&amp;B209),Input_Call,0),MATCH(P205,Input_Header,0)))</f>
        <v>0</v>
      </c>
      <c r="Q209" s="698">
        <f>IF(Q205="",0,INDEX(Input_Range,MATCH((C189&amp;B209),Input_Call,0),MATCH(Q205,Input_Header,0)))</f>
        <v>0</v>
      </c>
      <c r="R209" s="698">
        <f t="shared" si="206"/>
        <v>0</v>
      </c>
      <c r="T209" s="699">
        <f t="shared" si="207"/>
        <v>0</v>
      </c>
      <c r="U209" s="699">
        <f t="shared" si="208"/>
        <v>0</v>
      </c>
      <c r="V209" s="699">
        <f t="shared" si="209"/>
        <v>12</v>
      </c>
      <c r="W209" s="699">
        <f t="shared" si="210"/>
        <v>0</v>
      </c>
      <c r="X209" s="699">
        <f t="shared" si="211"/>
        <v>0</v>
      </c>
      <c r="Y209" s="699">
        <f t="shared" si="212"/>
        <v>0</v>
      </c>
      <c r="Z209" s="699">
        <f t="shared" si="213"/>
        <v>0</v>
      </c>
      <c r="AA209" s="699">
        <f t="shared" si="214"/>
        <v>0</v>
      </c>
      <c r="AB209" s="699">
        <f t="shared" si="215"/>
        <v>0</v>
      </c>
      <c r="AC209" s="699">
        <f t="shared" si="216"/>
        <v>0</v>
      </c>
      <c r="AD209" s="699">
        <f t="shared" si="217"/>
        <v>0</v>
      </c>
      <c r="AE209" s="699">
        <f t="shared" si="218"/>
        <v>0</v>
      </c>
      <c r="AF209" s="699">
        <f t="shared" si="219"/>
        <v>0</v>
      </c>
      <c r="AG209" s="699">
        <f t="shared" si="220"/>
        <v>0</v>
      </c>
      <c r="AI209" s="698">
        <f t="shared" si="203"/>
        <v>0</v>
      </c>
      <c r="AJ209" s="698"/>
      <c r="AK209" s="698"/>
      <c r="AL209" s="4" t="str">
        <f>$A209&amp;$C189&amp;InputSheet!C$44&amp;InputSheet!D$44</f>
        <v>Option Year 1ESDMHContr/Govt</v>
      </c>
      <c r="AM209" s="700">
        <f t="shared" si="204"/>
        <v>0</v>
      </c>
      <c r="AP209" s="387" t="str">
        <f t="shared" si="198"/>
        <v>0</v>
      </c>
    </row>
    <row r="210" spans="1:42">
      <c r="A210" s="6" t="str">
        <f t="shared" si="205"/>
        <v>Option Year 1</v>
      </c>
      <c r="B210" s="6" t="str">
        <f t="shared" si="201"/>
        <v>G&amp;A</v>
      </c>
      <c r="E210" s="698">
        <f>IF(E205="",0,INDEX(Input_Range,MATCH((C189&amp;B210),Input_Call,0),MATCH(E205,Input_Header,0)))</f>
        <v>0</v>
      </c>
      <c r="F210" s="698">
        <f>IF(F205="",0,INDEX(Input_Range,MATCH((C189&amp;B210),Input_Call,0),MATCH(F205,Input_Header,0)))</f>
        <v>0</v>
      </c>
      <c r="G210" s="698">
        <f>IF(G205="",0,INDEX(Input_Range,MATCH((C189&amp;B210),Input_Call,0),MATCH(G205,Input_Header,0)))</f>
        <v>0</v>
      </c>
      <c r="H210" s="698">
        <f>IF(H205="",0,INDEX(Input_Range,MATCH((C189&amp;B210),Input_Call,0),MATCH(H205,Input_Header,0)))</f>
        <v>0</v>
      </c>
      <c r="I210" s="698">
        <f>IF(I205="",0,INDEX(Input_Range,MATCH((C189&amp;B210),Input_Call,0),MATCH(I205,Input_Header,0)))</f>
        <v>0</v>
      </c>
      <c r="J210" s="698">
        <f>IF(J205="",0,INDEX(Input_Range,MATCH((C189&amp;B210),Input_Call,0),MATCH(J205,Input_Header,0)))</f>
        <v>0</v>
      </c>
      <c r="K210" s="698">
        <f>IF(K205="",0,INDEX(Input_Range,MATCH((C189&amp;B210),Input_Call,0),MATCH(K205,Input_Header,0)))</f>
        <v>0</v>
      </c>
      <c r="L210" s="698">
        <f>IF(L205="",0,INDEX(Input_Range,MATCH((C189&amp;B210),Input_Call,0),MATCH(L205,Input_Header,0)))</f>
        <v>0</v>
      </c>
      <c r="M210" s="698">
        <f>IF(M205="",0,INDEX(Input_Range,MATCH((C189&amp;B210),Input_Call,0),MATCH(M205,Input_Header,0)))</f>
        <v>0</v>
      </c>
      <c r="N210" s="698">
        <f>IF(N205="",0,INDEX(Input_Range,MATCH((C189&amp;B210),Input_Call,0),MATCH(N205,Input_Header,0)))</f>
        <v>0</v>
      </c>
      <c r="O210" s="698">
        <f>IF(O205="",0,INDEX(Input_Range,MATCH((C189&amp;B210),Input_Call,0),MATCH(O205,Input_Header,0)))</f>
        <v>0</v>
      </c>
      <c r="P210" s="698">
        <f>IF(P205="",0,INDEX(Input_Range,MATCH((C189&amp;B210),Input_Call,0),MATCH(P205,Input_Header,0)))</f>
        <v>0</v>
      </c>
      <c r="Q210" s="698">
        <f>IF(Q205="",0,INDEX(Input_Range,MATCH((C189&amp;B210),Input_Call,0),MATCH(Q205,Input_Header,0)))</f>
        <v>0</v>
      </c>
      <c r="R210" s="698">
        <f t="shared" si="206"/>
        <v>0</v>
      </c>
      <c r="T210" s="699">
        <f t="shared" si="207"/>
        <v>0</v>
      </c>
      <c r="U210" s="699">
        <f t="shared" si="208"/>
        <v>0</v>
      </c>
      <c r="V210" s="699">
        <f t="shared" si="209"/>
        <v>12</v>
      </c>
      <c r="W210" s="699">
        <f t="shared" si="210"/>
        <v>0</v>
      </c>
      <c r="X210" s="699">
        <f t="shared" si="211"/>
        <v>0</v>
      </c>
      <c r="Y210" s="699">
        <f t="shared" si="212"/>
        <v>0</v>
      </c>
      <c r="Z210" s="699">
        <f t="shared" si="213"/>
        <v>0</v>
      </c>
      <c r="AA210" s="699">
        <f t="shared" si="214"/>
        <v>0</v>
      </c>
      <c r="AB210" s="699">
        <f t="shared" si="215"/>
        <v>0</v>
      </c>
      <c r="AC210" s="699">
        <f t="shared" si="216"/>
        <v>0</v>
      </c>
      <c r="AD210" s="699">
        <f t="shared" si="217"/>
        <v>0</v>
      </c>
      <c r="AE210" s="699">
        <f t="shared" si="218"/>
        <v>0</v>
      </c>
      <c r="AF210" s="699">
        <f t="shared" si="219"/>
        <v>0</v>
      </c>
      <c r="AG210" s="699">
        <f t="shared" si="220"/>
        <v>0</v>
      </c>
      <c r="AI210" s="698">
        <f t="shared" si="203"/>
        <v>0</v>
      </c>
      <c r="AJ210" s="698"/>
      <c r="AK210" s="698"/>
      <c r="AL210" s="4" t="str">
        <f>$A210&amp;$C189&amp;InputSheet!C$45&amp;InputSheet!D$45</f>
        <v>Option Year 1ESDG&amp;AContr/Govt</v>
      </c>
      <c r="AM210" s="700">
        <f t="shared" si="204"/>
        <v>0</v>
      </c>
      <c r="AP210" s="387" t="str">
        <f t="shared" si="198"/>
        <v>1</v>
      </c>
    </row>
    <row r="211" spans="1:42" outlineLevel="1">
      <c r="A211" s="6" t="str">
        <f t="shared" si="205"/>
        <v>Option Year 1</v>
      </c>
      <c r="B211" s="6" t="str">
        <f t="shared" si="201"/>
        <v>TBD1</v>
      </c>
      <c r="E211" s="21">
        <f>IF(E205="",0,INDEX(Input_Range,MATCH((C189&amp;B211),Input_Call,0),MATCH(E205,Input_Header,0)))</f>
        <v>0</v>
      </c>
      <c r="F211" s="21">
        <f>IF(F205="",0,INDEX(Input_Range,MATCH((C189&amp;B211),Input_Call,0),MATCH(F205,Input_Header,0)))</f>
        <v>0</v>
      </c>
      <c r="G211" s="21">
        <f>IF(G205="",0,INDEX(Input_Range,MATCH((C189&amp;B211),Input_Call,0),MATCH(G205,Input_Header,0)))</f>
        <v>0</v>
      </c>
      <c r="H211" s="21">
        <f>IF(H205="",0,INDEX(Input_Range,MATCH((C189&amp;B211),Input_Call,0),MATCH(H205,Input_Header,0)))</f>
        <v>0</v>
      </c>
      <c r="I211" s="21">
        <f>IF(I205="",0,INDEX(Input_Range,MATCH((C189&amp;B211),Input_Call,0),MATCH(I205,Input_Header,0)))</f>
        <v>0</v>
      </c>
      <c r="J211" s="21">
        <f>IF(J205="",0,INDEX(Input_Range,MATCH((C189&amp;B211),Input_Call,0),MATCH(J205,Input_Header,0)))</f>
        <v>0</v>
      </c>
      <c r="K211" s="21">
        <f>IF(K205="",0,INDEX(Input_Range,MATCH((C189&amp;B211),Input_Call,0),MATCH(K205,Input_Header,0)))</f>
        <v>0</v>
      </c>
      <c r="L211" s="21">
        <f>IF(L205="",0,INDEX(Input_Range,MATCH((C189&amp;B211),Input_Call,0),MATCH(L205,Input_Header,0)))</f>
        <v>0</v>
      </c>
      <c r="M211" s="21">
        <f>IF(M205="",0,INDEX(Input_Range,MATCH((C189&amp;B211),Input_Call,0),MATCH(M205,Input_Header,0)))</f>
        <v>0</v>
      </c>
      <c r="N211" s="21">
        <f>IF(N205="",0,INDEX(Input_Range,MATCH((C189&amp;B211),Input_Call,0),MATCH(N205,Input_Header,0)))</f>
        <v>0</v>
      </c>
      <c r="O211" s="21">
        <f>IF(O205="",0,INDEX(Input_Range,MATCH((C189&amp;B211),Input_Call,0),MATCH(O205,Input_Header,0)))</f>
        <v>0</v>
      </c>
      <c r="P211" s="21">
        <f>IF(P205="",0,INDEX(Input_Range,MATCH((C189&amp;B211),Input_Call,0),MATCH(P205,Input_Header,0)))</f>
        <v>0</v>
      </c>
      <c r="Q211" s="21">
        <f>IF(Q205="",0,INDEX(Input_Range,MATCH((C189&amp;B211),Input_Call,0),MATCH(Q205,Input_Header,0)))</f>
        <v>0</v>
      </c>
      <c r="R211" s="698">
        <f t="shared" si="206"/>
        <v>0</v>
      </c>
      <c r="T211" s="699">
        <f t="shared" si="207"/>
        <v>0</v>
      </c>
      <c r="U211" s="699">
        <f t="shared" si="208"/>
        <v>0</v>
      </c>
      <c r="V211" s="699">
        <f t="shared" si="209"/>
        <v>12</v>
      </c>
      <c r="W211" s="699">
        <f t="shared" si="210"/>
        <v>0</v>
      </c>
      <c r="X211" s="699">
        <f t="shared" si="211"/>
        <v>0</v>
      </c>
      <c r="Y211" s="699">
        <f t="shared" si="212"/>
        <v>0</v>
      </c>
      <c r="Z211" s="699">
        <f t="shared" si="213"/>
        <v>0</v>
      </c>
      <c r="AA211" s="699">
        <f t="shared" si="214"/>
        <v>0</v>
      </c>
      <c r="AB211" s="699">
        <f t="shared" si="215"/>
        <v>0</v>
      </c>
      <c r="AC211" s="699">
        <f t="shared" si="216"/>
        <v>0</v>
      </c>
      <c r="AD211" s="699">
        <f t="shared" si="217"/>
        <v>0</v>
      </c>
      <c r="AE211" s="699">
        <f t="shared" si="218"/>
        <v>0</v>
      </c>
      <c r="AF211" s="699">
        <f t="shared" si="219"/>
        <v>0</v>
      </c>
      <c r="AG211" s="699">
        <f t="shared" si="220"/>
        <v>0</v>
      </c>
      <c r="AI211" s="698">
        <f t="shared" si="203"/>
        <v>0</v>
      </c>
      <c r="AJ211" s="21"/>
      <c r="AK211" s="21"/>
      <c r="AL211" s="4" t="str">
        <f>$A211&amp;$C189&amp;InputSheet!C$46&amp;InputSheet!D$46</f>
        <v>Option Year 1ESDTBD1Contr/Govt</v>
      </c>
      <c r="AM211" s="700">
        <f t="shared" si="204"/>
        <v>0</v>
      </c>
      <c r="AP211" s="387" t="str">
        <f t="shared" si="198"/>
        <v>0</v>
      </c>
    </row>
    <row r="212" spans="1:42" outlineLevel="1">
      <c r="A212" s="6" t="str">
        <f t="shared" si="205"/>
        <v>Option Year 1</v>
      </c>
      <c r="B212" s="6" t="str">
        <f t="shared" si="201"/>
        <v>TBD2</v>
      </c>
      <c r="E212" s="21">
        <f>IF(E205="",0,INDEX(Input_Range,MATCH((C189&amp;B212),Input_Call,0),MATCH(E205,Input_Header,0)))</f>
        <v>0</v>
      </c>
      <c r="F212" s="21">
        <f>IF(F205="",0,INDEX(Input_Range,MATCH((C189&amp;B212),Input_Call,0),MATCH(F205,Input_Header,0)))</f>
        <v>0</v>
      </c>
      <c r="G212" s="21">
        <f>IF(G205="",0,INDEX(Input_Range,MATCH((C189&amp;B212),Input_Call,0),MATCH(G205,Input_Header,0)))</f>
        <v>0</v>
      </c>
      <c r="H212" s="21">
        <f>IF(H205="",0,INDEX(Input_Range,MATCH((C189&amp;B212),Input_Call,0),MATCH(H205,Input_Header,0)))</f>
        <v>0</v>
      </c>
      <c r="I212" s="21">
        <f>IF(I205="",0,INDEX(Input_Range,MATCH((C189&amp;B212),Input_Call,0),MATCH(I205,Input_Header,0)))</f>
        <v>0</v>
      </c>
      <c r="J212" s="21">
        <f>IF(J205="",0,INDEX(Input_Range,MATCH((C189&amp;B212),Input_Call,0),MATCH(J205,Input_Header,0)))</f>
        <v>0</v>
      </c>
      <c r="K212" s="21">
        <f>IF(K205="",0,INDEX(Input_Range,MATCH((C189&amp;B212),Input_Call,0),MATCH(K205,Input_Header,0)))</f>
        <v>0</v>
      </c>
      <c r="L212" s="21">
        <f>IF(L205="",0,INDEX(Input_Range,MATCH((C189&amp;B212),Input_Call,0),MATCH(L205,Input_Header,0)))</f>
        <v>0</v>
      </c>
      <c r="M212" s="21">
        <f>IF(M205="",0,INDEX(Input_Range,MATCH((C189&amp;B212),Input_Call,0),MATCH(M205,Input_Header,0)))</f>
        <v>0</v>
      </c>
      <c r="N212" s="21">
        <f>IF(N205="",0,INDEX(Input_Range,MATCH((C189&amp;B212),Input_Call,0),MATCH(N205,Input_Header,0)))</f>
        <v>0</v>
      </c>
      <c r="O212" s="21">
        <f>IF(O205="",0,INDEX(Input_Range,MATCH((C189&amp;B212),Input_Call,0),MATCH(O205,Input_Header,0)))</f>
        <v>0</v>
      </c>
      <c r="P212" s="21">
        <f>IF(P205="",0,INDEX(Input_Range,MATCH((C189&amp;B212),Input_Call,0),MATCH(P205,Input_Header,0)))</f>
        <v>0</v>
      </c>
      <c r="Q212" s="21">
        <f>IF(Q205="",0,INDEX(Input_Range,MATCH((C189&amp;B212),Input_Call,0),MATCH(Q205,Input_Header,0)))</f>
        <v>0</v>
      </c>
      <c r="R212" s="698">
        <f t="shared" si="206"/>
        <v>0</v>
      </c>
      <c r="T212" s="699">
        <f t="shared" si="207"/>
        <v>0</v>
      </c>
      <c r="U212" s="699">
        <f t="shared" si="208"/>
        <v>0</v>
      </c>
      <c r="V212" s="699">
        <f t="shared" si="209"/>
        <v>12</v>
      </c>
      <c r="W212" s="699">
        <f t="shared" si="210"/>
        <v>0</v>
      </c>
      <c r="X212" s="699">
        <f t="shared" si="211"/>
        <v>0</v>
      </c>
      <c r="Y212" s="699">
        <f t="shared" si="212"/>
        <v>0</v>
      </c>
      <c r="Z212" s="699">
        <f t="shared" si="213"/>
        <v>0</v>
      </c>
      <c r="AA212" s="699">
        <f t="shared" si="214"/>
        <v>0</v>
      </c>
      <c r="AB212" s="699">
        <f t="shared" si="215"/>
        <v>0</v>
      </c>
      <c r="AC212" s="699">
        <f t="shared" si="216"/>
        <v>0</v>
      </c>
      <c r="AD212" s="699">
        <f t="shared" si="217"/>
        <v>0</v>
      </c>
      <c r="AE212" s="699">
        <f t="shared" si="218"/>
        <v>0</v>
      </c>
      <c r="AF212" s="699">
        <f t="shared" si="219"/>
        <v>0</v>
      </c>
      <c r="AG212" s="699">
        <f t="shared" si="220"/>
        <v>0</v>
      </c>
      <c r="AI212" s="698">
        <f t="shared" si="203"/>
        <v>0</v>
      </c>
      <c r="AJ212" s="21"/>
      <c r="AK212" s="21"/>
      <c r="AL212" s="4" t="str">
        <f>$A212&amp;$C189&amp;InputSheet!C$47&amp;InputSheet!D$47</f>
        <v>Option Year 1ESDTBD2Contr/Govt</v>
      </c>
      <c r="AM212" s="700">
        <f t="shared" si="204"/>
        <v>0</v>
      </c>
      <c r="AP212" s="387" t="str">
        <f t="shared" si="198"/>
        <v>0</v>
      </c>
    </row>
    <row r="213" spans="1:42" outlineLevel="1">
      <c r="A213" s="6" t="str">
        <f t="shared" si="205"/>
        <v>Option Year 1</v>
      </c>
      <c r="B213" s="6" t="str">
        <f t="shared" si="201"/>
        <v>TBD3</v>
      </c>
      <c r="E213" s="21">
        <f>IF(E205="",0,INDEX(Input_Range,MATCH((C189&amp;B213),Input_Call,0),MATCH(E205,Input_Header,0)))</f>
        <v>0</v>
      </c>
      <c r="F213" s="21">
        <f>IF(F205="",0,INDEX(Input_Range,MATCH((C189&amp;B213),Input_Call,0),MATCH(F205,Input_Header,0)))</f>
        <v>0</v>
      </c>
      <c r="G213" s="21">
        <f>IF(G205="",0,INDEX(Input_Range,MATCH((C189&amp;B213),Input_Call,0),MATCH(G205,Input_Header,0)))</f>
        <v>0</v>
      </c>
      <c r="H213" s="21">
        <f>IF(H205="",0,INDEX(Input_Range,MATCH((C189&amp;B213),Input_Call,0),MATCH(H205,Input_Header,0)))</f>
        <v>0</v>
      </c>
      <c r="I213" s="21">
        <f>IF(I205="",0,INDEX(Input_Range,MATCH((C189&amp;B213),Input_Call,0),MATCH(I205,Input_Header,0)))</f>
        <v>0</v>
      </c>
      <c r="J213" s="21">
        <f>IF(J205="",0,INDEX(Input_Range,MATCH((C189&amp;B213),Input_Call,0),MATCH(J205,Input_Header,0)))</f>
        <v>0</v>
      </c>
      <c r="K213" s="21">
        <f>IF(K205="",0,INDEX(Input_Range,MATCH((C189&amp;B213),Input_Call,0),MATCH(K205,Input_Header,0)))</f>
        <v>0</v>
      </c>
      <c r="L213" s="21">
        <f>IF(L205="",0,INDEX(Input_Range,MATCH((C189&amp;B213),Input_Call,0),MATCH(L205,Input_Header,0)))</f>
        <v>0</v>
      </c>
      <c r="M213" s="21">
        <f>IF(M205="",0,INDEX(Input_Range,MATCH((C189&amp;B213),Input_Call,0),MATCH(M205,Input_Header,0)))</f>
        <v>0</v>
      </c>
      <c r="N213" s="21">
        <f>IF(N205="",0,INDEX(Input_Range,MATCH((C189&amp;B213),Input_Call,0),MATCH(N205,Input_Header,0)))</f>
        <v>0</v>
      </c>
      <c r="O213" s="21">
        <f>IF(O205="",0,INDEX(Input_Range,MATCH((C189&amp;B213),Input_Call,0),MATCH(O205,Input_Header,0)))</f>
        <v>0</v>
      </c>
      <c r="P213" s="21">
        <f>IF(P205="",0,INDEX(Input_Range,MATCH((C189&amp;B213),Input_Call,0),MATCH(P205,Input_Header,0)))</f>
        <v>0</v>
      </c>
      <c r="Q213" s="21">
        <f>IF(Q205="",0,INDEX(Input_Range,MATCH((C189&amp;B213),Input_Call,0),MATCH(Q205,Input_Header,0)))</f>
        <v>0</v>
      </c>
      <c r="R213" s="698">
        <f t="shared" si="206"/>
        <v>0</v>
      </c>
      <c r="T213" s="699">
        <f t="shared" si="207"/>
        <v>0</v>
      </c>
      <c r="U213" s="699">
        <f t="shared" si="208"/>
        <v>0</v>
      </c>
      <c r="V213" s="699">
        <f t="shared" si="209"/>
        <v>12</v>
      </c>
      <c r="W213" s="699">
        <f t="shared" si="210"/>
        <v>0</v>
      </c>
      <c r="X213" s="699">
        <f t="shared" si="211"/>
        <v>0</v>
      </c>
      <c r="Y213" s="699">
        <f t="shared" si="212"/>
        <v>0</v>
      </c>
      <c r="Z213" s="699">
        <f t="shared" si="213"/>
        <v>0</v>
      </c>
      <c r="AA213" s="699">
        <f t="shared" si="214"/>
        <v>0</v>
      </c>
      <c r="AB213" s="699">
        <f t="shared" si="215"/>
        <v>0</v>
      </c>
      <c r="AC213" s="699">
        <f t="shared" si="216"/>
        <v>0</v>
      </c>
      <c r="AD213" s="699">
        <f t="shared" si="217"/>
        <v>0</v>
      </c>
      <c r="AE213" s="699">
        <f t="shared" si="218"/>
        <v>0</v>
      </c>
      <c r="AF213" s="699">
        <f t="shared" si="219"/>
        <v>0</v>
      </c>
      <c r="AG213" s="699">
        <f t="shared" si="220"/>
        <v>0</v>
      </c>
      <c r="AI213" s="698">
        <f t="shared" si="203"/>
        <v>0</v>
      </c>
      <c r="AJ213" s="21"/>
      <c r="AK213" s="21"/>
      <c r="AL213" s="4" t="str">
        <f>$A213&amp;$C189&amp;InputSheet!C$48&amp;InputSheet!D$48</f>
        <v>Option Year 1ESDTBD3Contr/Govt</v>
      </c>
      <c r="AM213" s="700">
        <f t="shared" si="204"/>
        <v>0</v>
      </c>
      <c r="AP213" s="387" t="str">
        <f t="shared" si="198"/>
        <v>0</v>
      </c>
    </row>
    <row r="214" spans="1:42">
      <c r="E214" s="698"/>
      <c r="F214" s="698"/>
      <c r="G214" s="698"/>
      <c r="H214" s="698"/>
      <c r="I214" s="698"/>
      <c r="J214" s="698"/>
      <c r="K214" s="698"/>
      <c r="L214" s="698"/>
      <c r="M214" s="698"/>
      <c r="N214" s="698"/>
      <c r="O214" s="698"/>
      <c r="P214" s="698"/>
      <c r="Q214" s="698"/>
      <c r="R214" s="698"/>
      <c r="AI214" s="21"/>
      <c r="AJ214" s="21"/>
      <c r="AK214" s="21"/>
      <c r="AP214" s="387" t="str">
        <f t="shared" si="198"/>
        <v>1</v>
      </c>
    </row>
    <row r="215" spans="1:42">
      <c r="A215" s="530" t="str">
        <f>B215</f>
        <v>Option Year 2</v>
      </c>
      <c r="B215" s="691" t="str">
        <f>InputSheet!$C$24</f>
        <v>Option Year 2</v>
      </c>
      <c r="C215" s="28"/>
      <c r="AP215" s="387" t="str">
        <f t="shared" si="198"/>
        <v>1</v>
      </c>
    </row>
    <row r="216" spans="1:42">
      <c r="B216" s="314" t="s">
        <v>587</v>
      </c>
      <c r="C216" s="692" t="s">
        <v>588</v>
      </c>
      <c r="E216" s="1216" t="str">
        <f>"Indirect Rates - "&amp;C$189</f>
        <v>Indirect Rates - ESD</v>
      </c>
      <c r="F216" s="1216"/>
      <c r="G216" s="1216"/>
      <c r="H216" s="1216"/>
      <c r="I216" s="1216"/>
      <c r="J216" s="1216"/>
      <c r="K216" s="1216"/>
      <c r="L216" s="1216"/>
      <c r="M216" s="1216"/>
      <c r="N216" s="1216"/>
      <c r="O216" s="1216"/>
      <c r="P216" s="1216"/>
      <c r="Q216" s="1216"/>
      <c r="R216" s="1216"/>
      <c r="S216" s="844"/>
      <c r="T216" s="1217" t="s">
        <v>794</v>
      </c>
      <c r="U216" s="1217"/>
      <c r="V216" s="1217"/>
      <c r="W216" s="1217"/>
      <c r="X216" s="1217"/>
      <c r="Y216" s="1217"/>
      <c r="Z216" s="1217"/>
      <c r="AA216" s="1217"/>
      <c r="AB216" s="1217"/>
      <c r="AC216" s="1217"/>
      <c r="AD216" s="1217"/>
      <c r="AE216" s="1217"/>
      <c r="AF216" s="1217"/>
      <c r="AG216" s="1217"/>
      <c r="AI216" s="692" t="s">
        <v>615</v>
      </c>
      <c r="AJ216" s="50"/>
      <c r="AK216" s="50"/>
      <c r="AP216" s="387" t="str">
        <f t="shared" si="198"/>
        <v>1</v>
      </c>
    </row>
    <row r="217" spans="1:42">
      <c r="B217" s="693">
        <f>VLOOKUP(A215,InputSheet!$C$8:$E$37,2,FALSE)</f>
        <v>40909</v>
      </c>
      <c r="C217" s="694">
        <f>VLOOKUP(A215,InputSheet!$C$8:$E$37,3,FALSE)</f>
        <v>41152</v>
      </c>
      <c r="E217" s="695">
        <f t="shared" ref="E217:R217" si="221">E205</f>
        <v>2009</v>
      </c>
      <c r="F217" s="695">
        <f t="shared" si="221"/>
        <v>2010</v>
      </c>
      <c r="G217" s="695">
        <f t="shared" si="221"/>
        <v>2011</v>
      </c>
      <c r="H217" s="695">
        <f t="shared" si="221"/>
        <v>2012</v>
      </c>
      <c r="I217" s="695">
        <f t="shared" si="221"/>
        <v>2013</v>
      </c>
      <c r="J217" s="695">
        <f t="shared" si="221"/>
        <v>2014</v>
      </c>
      <c r="K217" s="695">
        <f t="shared" si="221"/>
        <v>2015</v>
      </c>
      <c r="L217" s="695">
        <f t="shared" si="221"/>
        <v>2016</v>
      </c>
      <c r="M217" s="695">
        <f t="shared" si="221"/>
        <v>2017</v>
      </c>
      <c r="N217" s="695">
        <f t="shared" si="221"/>
        <v>2018</v>
      </c>
      <c r="O217" s="695">
        <f t="shared" si="221"/>
        <v>2019</v>
      </c>
      <c r="P217" s="695">
        <f t="shared" si="221"/>
        <v>2020</v>
      </c>
      <c r="Q217" s="695">
        <f t="shared" si="221"/>
        <v>2021</v>
      </c>
      <c r="R217" s="695">
        <f t="shared" si="221"/>
        <v>2022</v>
      </c>
      <c r="S217" s="680"/>
      <c r="T217" s="695">
        <f t="shared" ref="T217:AG217" si="222">T205</f>
        <v>2009</v>
      </c>
      <c r="U217" s="695">
        <f t="shared" si="222"/>
        <v>2010</v>
      </c>
      <c r="V217" s="695">
        <f t="shared" si="222"/>
        <v>2011</v>
      </c>
      <c r="W217" s="695">
        <f t="shared" si="222"/>
        <v>2012</v>
      </c>
      <c r="X217" s="695">
        <f t="shared" si="222"/>
        <v>2013</v>
      </c>
      <c r="Y217" s="695">
        <f t="shared" si="222"/>
        <v>2014</v>
      </c>
      <c r="Z217" s="695">
        <f t="shared" si="222"/>
        <v>2015</v>
      </c>
      <c r="AA217" s="695">
        <f t="shared" si="222"/>
        <v>2016</v>
      </c>
      <c r="AB217" s="695">
        <f t="shared" si="222"/>
        <v>2017</v>
      </c>
      <c r="AC217" s="695">
        <f t="shared" si="222"/>
        <v>2018</v>
      </c>
      <c r="AD217" s="695">
        <f t="shared" si="222"/>
        <v>2019</v>
      </c>
      <c r="AE217" s="695">
        <f t="shared" si="222"/>
        <v>2020</v>
      </c>
      <c r="AF217" s="695">
        <f t="shared" si="222"/>
        <v>2021</v>
      </c>
      <c r="AG217" s="695">
        <f t="shared" si="222"/>
        <v>2022</v>
      </c>
      <c r="AI217" s="696" t="str">
        <f>B215</f>
        <v>Option Year 2</v>
      </c>
      <c r="AJ217" s="28"/>
      <c r="AK217" s="28"/>
      <c r="AP217" s="387" t="str">
        <f t="shared" si="198"/>
        <v>1</v>
      </c>
    </row>
    <row r="218" spans="1:42">
      <c r="A218" s="6" t="str">
        <f>A215</f>
        <v>Option Year 2</v>
      </c>
      <c r="B218" s="6" t="str">
        <f t="shared" ref="B218:B225" si="223">B206</f>
        <v>PRB</v>
      </c>
      <c r="E218" s="698">
        <f>IF(E217="",0,INDEX(Input_Range,MATCH((C189&amp;B218),Input_Call,0),MATCH(E217,Input_Header,0)))</f>
        <v>0</v>
      </c>
      <c r="F218" s="698">
        <f>IF(F217="",0,INDEX(Input_Range,MATCH((C189&amp;B218),Input_Call,0),MATCH(F217,Input_Header,0)))</f>
        <v>0</v>
      </c>
      <c r="G218" s="698">
        <f>IF(G217="",0,INDEX(Input_Range,MATCH((C189&amp;B218),Input_Call,0),MATCH(G217,Input_Header,0)))</f>
        <v>0</v>
      </c>
      <c r="H218" s="698">
        <f>IF(H217="",0,INDEX(Input_Range,MATCH((C189&amp;B218),Input_Call,0),MATCH(H217,Input_Header,0)))</f>
        <v>0</v>
      </c>
      <c r="I218" s="698">
        <f>IF(I217="",0,INDEX(Input_Range,MATCH((C189&amp;B218),Input_Call,0),MATCH(I217,Input_Header,0)))</f>
        <v>0</v>
      </c>
      <c r="J218" s="698">
        <f>IF(J217="",0,INDEX(Input_Range,MATCH((C189&amp;B218),Input_Call,0),MATCH(J217,Input_Header,0)))</f>
        <v>0</v>
      </c>
      <c r="K218" s="698">
        <f>IF(K217="",0,INDEX(Input_Range,MATCH((C189&amp;B218),Input_Call,0),MATCH(K217,Input_Header,0)))</f>
        <v>0</v>
      </c>
      <c r="L218" s="698">
        <f>IF(L217="",0,INDEX(Input_Range,MATCH((C189&amp;B218),Input_Call,0),MATCH(L217,Input_Header,0)))</f>
        <v>0</v>
      </c>
      <c r="M218" s="698">
        <f>IF(M217="",0,INDEX(Input_Range,MATCH((C189&amp;B218),Input_Call,0),MATCH(M217,Input_Header,0)))</f>
        <v>0</v>
      </c>
      <c r="N218" s="698">
        <f>IF(N217="",0,INDEX(Input_Range,MATCH((C189&amp;B218),Input_Call,0),MATCH(N217,Input_Header,0)))</f>
        <v>0</v>
      </c>
      <c r="O218" s="698">
        <f>IF(O217="",0,INDEX(Input_Range,MATCH((C189&amp;B218),Input_Call,0),MATCH(O217,Input_Header,0)))</f>
        <v>0</v>
      </c>
      <c r="P218" s="698">
        <f>IF(P217="",0,INDEX(Input_Range,MATCH((C189&amp;B218),Input_Call,0),MATCH(P217,Input_Header,0)))</f>
        <v>0</v>
      </c>
      <c r="Q218" s="698">
        <f>IF(Q217="",0,INDEX(Input_Range,MATCH((C189&amp;B218),Input_Call,0),MATCH(Q217,Input_Header,0)))</f>
        <v>0</v>
      </c>
      <c r="R218" s="698">
        <f>Q218</f>
        <v>0</v>
      </c>
      <c r="T218" s="699">
        <f t="shared" ref="T218:AG218" si="224">ROUND((MAX(0,(MIN($C217,DATE(T217,12,31))-MAX($B217,DATE(T217,1,1))+1)))/30.41667,0)</f>
        <v>0</v>
      </c>
      <c r="U218" s="699">
        <f t="shared" si="224"/>
        <v>0</v>
      </c>
      <c r="V218" s="699">
        <f t="shared" si="224"/>
        <v>0</v>
      </c>
      <c r="W218" s="699">
        <f t="shared" si="224"/>
        <v>8</v>
      </c>
      <c r="X218" s="699">
        <f t="shared" si="224"/>
        <v>0</v>
      </c>
      <c r="Y218" s="699">
        <f t="shared" si="224"/>
        <v>0</v>
      </c>
      <c r="Z218" s="699">
        <f t="shared" si="224"/>
        <v>0</v>
      </c>
      <c r="AA218" s="699">
        <f t="shared" si="224"/>
        <v>0</v>
      </c>
      <c r="AB218" s="699">
        <f t="shared" si="224"/>
        <v>0</v>
      </c>
      <c r="AC218" s="699">
        <f t="shared" si="224"/>
        <v>0</v>
      </c>
      <c r="AD218" s="699">
        <f t="shared" si="224"/>
        <v>0</v>
      </c>
      <c r="AE218" s="699">
        <f t="shared" si="224"/>
        <v>0</v>
      </c>
      <c r="AF218" s="699">
        <f t="shared" si="224"/>
        <v>0</v>
      </c>
      <c r="AG218" s="699">
        <f t="shared" si="224"/>
        <v>0</v>
      </c>
      <c r="AI218" s="698">
        <f t="shared" ref="AI218:AI225" si="225">ROUND(SUMPRODUCT(E218:R218,T218:AG218)/SUM(T218:AG218),4)</f>
        <v>0</v>
      </c>
      <c r="AJ218" s="698"/>
      <c r="AK218" s="698"/>
      <c r="AL218" s="4" t="str">
        <f>$A218&amp;$C189&amp;InputSheet!C$41&amp;InputSheet!D$41</f>
        <v>Option Year 2ESDPRBContr/Govt</v>
      </c>
      <c r="AM218" s="700">
        <f t="shared" ref="AM218:AM225" si="226">AI218</f>
        <v>0</v>
      </c>
      <c r="AP218" s="387" t="str">
        <f t="shared" si="198"/>
        <v>1</v>
      </c>
    </row>
    <row r="219" spans="1:42">
      <c r="A219" s="6" t="str">
        <f t="shared" ref="A219:A225" si="227">A218</f>
        <v>Option Year 2</v>
      </c>
      <c r="B219" s="6" t="str">
        <f t="shared" si="223"/>
        <v>Overhead - Offsite</v>
      </c>
      <c r="E219" s="698">
        <f>IF(E217="",0,INDEX(Input_Range,MATCH((C189&amp;B219),Input_Call,0),MATCH(E217,Input_Header,0)))</f>
        <v>0</v>
      </c>
      <c r="F219" s="698">
        <f>IF(F217="",0,INDEX(Input_Range,MATCH((C189&amp;B219),Input_Call,0),MATCH(F217,Input_Header,0)))</f>
        <v>0</v>
      </c>
      <c r="G219" s="698">
        <f>IF(G217="",0,INDEX(Input_Range,MATCH((C189&amp;B219),Input_Call,0),MATCH(G217,Input_Header,0)))</f>
        <v>0</v>
      </c>
      <c r="H219" s="698">
        <f>IF(H217="",0,INDEX(Input_Range,MATCH((C189&amp;B219),Input_Call,0),MATCH(H217,Input_Header,0)))</f>
        <v>0</v>
      </c>
      <c r="I219" s="698">
        <f>IF(I217="",0,INDEX(Input_Range,MATCH((C189&amp;B219),Input_Call,0),MATCH(I217,Input_Header,0)))</f>
        <v>0</v>
      </c>
      <c r="J219" s="698">
        <f>IF(J217="",0,INDEX(Input_Range,MATCH((C189&amp;B219),Input_Call,0),MATCH(J217,Input_Header,0)))</f>
        <v>0</v>
      </c>
      <c r="K219" s="698">
        <f>IF(K217="",0,INDEX(Input_Range,MATCH((C189&amp;B219),Input_Call,0),MATCH(K217,Input_Header,0)))</f>
        <v>0</v>
      </c>
      <c r="L219" s="698">
        <f>IF(L217="",0,INDEX(Input_Range,MATCH((C189&amp;B219),Input_Call,0),MATCH(L217,Input_Header,0)))</f>
        <v>0</v>
      </c>
      <c r="M219" s="698">
        <f>IF(M217="",0,INDEX(Input_Range,MATCH((C189&amp;B219),Input_Call,0),MATCH(M217,Input_Header,0)))</f>
        <v>0</v>
      </c>
      <c r="N219" s="698">
        <f>IF(N217="",0,INDEX(Input_Range,MATCH((C189&amp;B219),Input_Call,0),MATCH(N217,Input_Header,0)))</f>
        <v>0</v>
      </c>
      <c r="O219" s="698">
        <f>IF(O217="",0,INDEX(Input_Range,MATCH((C189&amp;B219),Input_Call,0),MATCH(O217,Input_Header,0)))</f>
        <v>0</v>
      </c>
      <c r="P219" s="698">
        <f>IF(P217="",0,INDEX(Input_Range,MATCH((C189&amp;B219),Input_Call,0),MATCH(P217,Input_Header,0)))</f>
        <v>0</v>
      </c>
      <c r="Q219" s="698">
        <f>IF(Q217="",0,INDEX(Input_Range,MATCH((C189&amp;B219),Input_Call,0),MATCH(Q217,Input_Header,0)))</f>
        <v>0</v>
      </c>
      <c r="R219" s="698">
        <f t="shared" ref="R219:R225" si="228">Q219</f>
        <v>0</v>
      </c>
      <c r="T219" s="699">
        <f t="shared" ref="T219:T225" si="229">T218</f>
        <v>0</v>
      </c>
      <c r="U219" s="699">
        <f t="shared" ref="U219:U225" si="230">U218</f>
        <v>0</v>
      </c>
      <c r="V219" s="699">
        <f t="shared" ref="V219:V225" si="231">V218</f>
        <v>0</v>
      </c>
      <c r="W219" s="699">
        <f t="shared" ref="W219:W225" si="232">W218</f>
        <v>8</v>
      </c>
      <c r="X219" s="699">
        <f t="shared" ref="X219:X225" si="233">X218</f>
        <v>0</v>
      </c>
      <c r="Y219" s="699">
        <f t="shared" ref="Y219:Y225" si="234">Y218</f>
        <v>0</v>
      </c>
      <c r="Z219" s="699">
        <f t="shared" ref="Z219:Z225" si="235">Z218</f>
        <v>0</v>
      </c>
      <c r="AA219" s="699">
        <f t="shared" ref="AA219:AA225" si="236">AA218</f>
        <v>0</v>
      </c>
      <c r="AB219" s="699">
        <f t="shared" ref="AB219:AB225" si="237">AB218</f>
        <v>0</v>
      </c>
      <c r="AC219" s="699">
        <f t="shared" ref="AC219:AC225" si="238">AC218</f>
        <v>0</v>
      </c>
      <c r="AD219" s="699">
        <f t="shared" ref="AD219:AD225" si="239">AD218</f>
        <v>0</v>
      </c>
      <c r="AE219" s="699">
        <f t="shared" ref="AE219:AE225" si="240">AE218</f>
        <v>0</v>
      </c>
      <c r="AF219" s="699">
        <f t="shared" ref="AF219:AF225" si="241">AF218</f>
        <v>0</v>
      </c>
      <c r="AG219" s="699">
        <f t="shared" ref="AG219:AG225" si="242">AG218</f>
        <v>0</v>
      </c>
      <c r="AI219" s="698">
        <f t="shared" si="225"/>
        <v>0</v>
      </c>
      <c r="AJ219" s="698"/>
      <c r="AK219" s="698"/>
      <c r="AL219" s="4" t="str">
        <f>$A219&amp;$C189&amp;InputSheet!C$42&amp;InputSheet!D$42</f>
        <v>Option Year 2ESDOverheadContr</v>
      </c>
      <c r="AM219" s="700">
        <f t="shared" si="226"/>
        <v>0</v>
      </c>
      <c r="AP219" s="387" t="str">
        <f t="shared" si="198"/>
        <v>0</v>
      </c>
    </row>
    <row r="220" spans="1:42">
      <c r="A220" s="6" t="str">
        <f t="shared" si="227"/>
        <v>Option Year 2</v>
      </c>
      <c r="B220" s="6" t="str">
        <f t="shared" si="223"/>
        <v>Overhead - Onsite</v>
      </c>
      <c r="E220" s="698">
        <f>IF(E217="",0,INDEX(Input_Range,MATCH((C189&amp;B220),Input_Call,0),MATCH(E217,Input_Header,0)))</f>
        <v>0</v>
      </c>
      <c r="F220" s="698">
        <f>IF(F217="",0,INDEX(Input_Range,MATCH((C189&amp;B220),Input_Call,0),MATCH(F217,Input_Header,0)))</f>
        <v>0</v>
      </c>
      <c r="G220" s="698">
        <f>IF(G217="",0,INDEX(Input_Range,MATCH((C189&amp;B220),Input_Call,0),MATCH(G217,Input_Header,0)))</f>
        <v>0</v>
      </c>
      <c r="H220" s="698">
        <f>IF(H217="",0,INDEX(Input_Range,MATCH((C189&amp;B220),Input_Call,0),MATCH(H217,Input_Header,0)))</f>
        <v>0</v>
      </c>
      <c r="I220" s="698">
        <f>IF(I217="",0,INDEX(Input_Range,MATCH((C189&amp;B220),Input_Call,0),MATCH(I217,Input_Header,0)))</f>
        <v>0</v>
      </c>
      <c r="J220" s="698">
        <f>IF(J217="",0,INDEX(Input_Range,MATCH((C189&amp;B220),Input_Call,0),MATCH(J217,Input_Header,0)))</f>
        <v>0</v>
      </c>
      <c r="K220" s="698">
        <f>IF(K217="",0,INDEX(Input_Range,MATCH((C189&amp;B220),Input_Call,0),MATCH(K217,Input_Header,0)))</f>
        <v>0</v>
      </c>
      <c r="L220" s="698">
        <f>IF(L217="",0,INDEX(Input_Range,MATCH((C189&amp;B220),Input_Call,0),MATCH(L217,Input_Header,0)))</f>
        <v>0</v>
      </c>
      <c r="M220" s="698">
        <f>IF(M217="",0,INDEX(Input_Range,MATCH((C189&amp;B220),Input_Call,0),MATCH(M217,Input_Header,0)))</f>
        <v>0</v>
      </c>
      <c r="N220" s="698">
        <f>IF(N217="",0,INDEX(Input_Range,MATCH((C189&amp;B220),Input_Call,0),MATCH(N217,Input_Header,0)))</f>
        <v>0</v>
      </c>
      <c r="O220" s="698">
        <f>IF(O217="",0,INDEX(Input_Range,MATCH((C189&amp;B220),Input_Call,0),MATCH(O217,Input_Header,0)))</f>
        <v>0</v>
      </c>
      <c r="P220" s="698">
        <f>IF(P217="",0,INDEX(Input_Range,MATCH((C189&amp;B220),Input_Call,0),MATCH(P217,Input_Header,0)))</f>
        <v>0</v>
      </c>
      <c r="Q220" s="698">
        <f>IF(Q217="",0,INDEX(Input_Range,MATCH((C189&amp;B220),Input_Call,0),MATCH(Q217,Input_Header,0)))</f>
        <v>0</v>
      </c>
      <c r="R220" s="698">
        <f t="shared" si="228"/>
        <v>0</v>
      </c>
      <c r="T220" s="699">
        <f t="shared" si="229"/>
        <v>0</v>
      </c>
      <c r="U220" s="699">
        <f t="shared" si="230"/>
        <v>0</v>
      </c>
      <c r="V220" s="699">
        <f t="shared" si="231"/>
        <v>0</v>
      </c>
      <c r="W220" s="699">
        <f t="shared" si="232"/>
        <v>8</v>
      </c>
      <c r="X220" s="699">
        <f t="shared" si="233"/>
        <v>0</v>
      </c>
      <c r="Y220" s="699">
        <f t="shared" si="234"/>
        <v>0</v>
      </c>
      <c r="Z220" s="699">
        <f t="shared" si="235"/>
        <v>0</v>
      </c>
      <c r="AA220" s="699">
        <f t="shared" si="236"/>
        <v>0</v>
      </c>
      <c r="AB220" s="699">
        <f t="shared" si="237"/>
        <v>0</v>
      </c>
      <c r="AC220" s="699">
        <f t="shared" si="238"/>
        <v>0</v>
      </c>
      <c r="AD220" s="699">
        <f t="shared" si="239"/>
        <v>0</v>
      </c>
      <c r="AE220" s="699">
        <f t="shared" si="240"/>
        <v>0</v>
      </c>
      <c r="AF220" s="699">
        <f t="shared" si="241"/>
        <v>0</v>
      </c>
      <c r="AG220" s="699">
        <f t="shared" si="242"/>
        <v>0</v>
      </c>
      <c r="AI220" s="698">
        <f t="shared" si="225"/>
        <v>0</v>
      </c>
      <c r="AJ220" s="698"/>
      <c r="AK220" s="698"/>
      <c r="AL220" s="4" t="str">
        <f>$A220&amp;$C189&amp;InputSheet!C$43&amp;InputSheet!D$43</f>
        <v>Option Year 2ESDOverheadGovt</v>
      </c>
      <c r="AM220" s="700">
        <f t="shared" si="226"/>
        <v>0</v>
      </c>
      <c r="AP220" s="387" t="str">
        <f t="shared" si="198"/>
        <v>1</v>
      </c>
    </row>
    <row r="221" spans="1:42">
      <c r="A221" s="6" t="str">
        <f t="shared" si="227"/>
        <v>Option Year 2</v>
      </c>
      <c r="B221" s="6" t="str">
        <f t="shared" si="223"/>
        <v>Material Handling</v>
      </c>
      <c r="E221" s="698">
        <f>IF(E217="",0,INDEX(Input_Range,MATCH((C189&amp;B221),Input_Call,0),MATCH(E217,Input_Header,0)))</f>
        <v>0</v>
      </c>
      <c r="F221" s="698">
        <f>IF(F217="",0,INDEX(Input_Range,MATCH((C189&amp;B221),Input_Call,0),MATCH(F217,Input_Header,0)))</f>
        <v>0</v>
      </c>
      <c r="G221" s="698">
        <f>IF(G217="",0,INDEX(Input_Range,MATCH((C189&amp;B221),Input_Call,0),MATCH(G217,Input_Header,0)))</f>
        <v>0</v>
      </c>
      <c r="H221" s="698">
        <f>IF(H217="",0,INDEX(Input_Range,MATCH((C189&amp;B221),Input_Call,0),MATCH(H217,Input_Header,0)))</f>
        <v>0</v>
      </c>
      <c r="I221" s="698">
        <f>IF(I217="",0,INDEX(Input_Range,MATCH((C189&amp;B221),Input_Call,0),MATCH(I217,Input_Header,0)))</f>
        <v>0</v>
      </c>
      <c r="J221" s="698">
        <f>IF(J217="",0,INDEX(Input_Range,MATCH((C189&amp;B221),Input_Call,0),MATCH(J217,Input_Header,0)))</f>
        <v>0</v>
      </c>
      <c r="K221" s="698">
        <f>IF(K217="",0,INDEX(Input_Range,MATCH((C189&amp;B221),Input_Call,0),MATCH(K217,Input_Header,0)))</f>
        <v>0</v>
      </c>
      <c r="L221" s="698">
        <f>IF(L217="",0,INDEX(Input_Range,MATCH((C189&amp;B221),Input_Call,0),MATCH(L217,Input_Header,0)))</f>
        <v>0</v>
      </c>
      <c r="M221" s="698">
        <f>IF(M217="",0,INDEX(Input_Range,MATCH((C189&amp;B221),Input_Call,0),MATCH(M217,Input_Header,0)))</f>
        <v>0</v>
      </c>
      <c r="N221" s="698">
        <f>IF(N217="",0,INDEX(Input_Range,MATCH((C189&amp;B221),Input_Call,0),MATCH(N217,Input_Header,0)))</f>
        <v>0</v>
      </c>
      <c r="O221" s="698">
        <f>IF(O217="",0,INDEX(Input_Range,MATCH((C189&amp;B221),Input_Call,0),MATCH(O217,Input_Header,0)))</f>
        <v>0</v>
      </c>
      <c r="P221" s="698">
        <f>IF(P217="",0,INDEX(Input_Range,MATCH((C189&amp;B221),Input_Call,0),MATCH(P217,Input_Header,0)))</f>
        <v>0</v>
      </c>
      <c r="Q221" s="698">
        <f>IF(Q217="",0,INDEX(Input_Range,MATCH((C189&amp;B221),Input_Call,0),MATCH(Q217,Input_Header,0)))</f>
        <v>0</v>
      </c>
      <c r="R221" s="698">
        <f t="shared" si="228"/>
        <v>0</v>
      </c>
      <c r="T221" s="699">
        <f t="shared" si="229"/>
        <v>0</v>
      </c>
      <c r="U221" s="699">
        <f t="shared" si="230"/>
        <v>0</v>
      </c>
      <c r="V221" s="699">
        <f t="shared" si="231"/>
        <v>0</v>
      </c>
      <c r="W221" s="699">
        <f t="shared" si="232"/>
        <v>8</v>
      </c>
      <c r="X221" s="699">
        <f t="shared" si="233"/>
        <v>0</v>
      </c>
      <c r="Y221" s="699">
        <f t="shared" si="234"/>
        <v>0</v>
      </c>
      <c r="Z221" s="699">
        <f t="shared" si="235"/>
        <v>0</v>
      </c>
      <c r="AA221" s="699">
        <f t="shared" si="236"/>
        <v>0</v>
      </c>
      <c r="AB221" s="699">
        <f t="shared" si="237"/>
        <v>0</v>
      </c>
      <c r="AC221" s="699">
        <f t="shared" si="238"/>
        <v>0</v>
      </c>
      <c r="AD221" s="699">
        <f t="shared" si="239"/>
        <v>0</v>
      </c>
      <c r="AE221" s="699">
        <f t="shared" si="240"/>
        <v>0</v>
      </c>
      <c r="AF221" s="699">
        <f t="shared" si="241"/>
        <v>0</v>
      </c>
      <c r="AG221" s="699">
        <f t="shared" si="242"/>
        <v>0</v>
      </c>
      <c r="AI221" s="698">
        <f t="shared" si="225"/>
        <v>0</v>
      </c>
      <c r="AJ221" s="698"/>
      <c r="AK221" s="698"/>
      <c r="AL221" s="4" t="str">
        <f>$A221&amp;$C189&amp;InputSheet!C$44&amp;InputSheet!D$44</f>
        <v>Option Year 2ESDMHContr/Govt</v>
      </c>
      <c r="AM221" s="700">
        <f t="shared" si="226"/>
        <v>0</v>
      </c>
      <c r="AP221" s="387" t="str">
        <f t="shared" si="198"/>
        <v>0</v>
      </c>
    </row>
    <row r="222" spans="1:42">
      <c r="A222" s="6" t="str">
        <f t="shared" si="227"/>
        <v>Option Year 2</v>
      </c>
      <c r="B222" s="6" t="str">
        <f t="shared" si="223"/>
        <v>G&amp;A</v>
      </c>
      <c r="E222" s="698">
        <f>IF(E217="",0,INDEX(Input_Range,MATCH((C189&amp;B222),Input_Call,0),MATCH(E217,Input_Header,0)))</f>
        <v>0</v>
      </c>
      <c r="F222" s="698">
        <f>IF(F217="",0,INDEX(Input_Range,MATCH((C189&amp;B222),Input_Call,0),MATCH(F217,Input_Header,0)))</f>
        <v>0</v>
      </c>
      <c r="G222" s="698">
        <f>IF(G217="",0,INDEX(Input_Range,MATCH((C189&amp;B222),Input_Call,0),MATCH(G217,Input_Header,0)))</f>
        <v>0</v>
      </c>
      <c r="H222" s="698">
        <f>IF(H217="",0,INDEX(Input_Range,MATCH((C189&amp;B222),Input_Call,0),MATCH(H217,Input_Header,0)))</f>
        <v>0</v>
      </c>
      <c r="I222" s="698">
        <f>IF(I217="",0,INDEX(Input_Range,MATCH((C189&amp;B222),Input_Call,0),MATCH(I217,Input_Header,0)))</f>
        <v>0</v>
      </c>
      <c r="J222" s="698">
        <f>IF(J217="",0,INDEX(Input_Range,MATCH((C189&amp;B222),Input_Call,0),MATCH(J217,Input_Header,0)))</f>
        <v>0</v>
      </c>
      <c r="K222" s="698">
        <f>IF(K217="",0,INDEX(Input_Range,MATCH((C189&amp;B222),Input_Call,0),MATCH(K217,Input_Header,0)))</f>
        <v>0</v>
      </c>
      <c r="L222" s="698">
        <f>IF(L217="",0,INDEX(Input_Range,MATCH((C189&amp;B222),Input_Call,0),MATCH(L217,Input_Header,0)))</f>
        <v>0</v>
      </c>
      <c r="M222" s="698">
        <f>IF(M217="",0,INDEX(Input_Range,MATCH((C189&amp;B222),Input_Call,0),MATCH(M217,Input_Header,0)))</f>
        <v>0</v>
      </c>
      <c r="N222" s="698">
        <f>IF(N217="",0,INDEX(Input_Range,MATCH((C189&amp;B222),Input_Call,0),MATCH(N217,Input_Header,0)))</f>
        <v>0</v>
      </c>
      <c r="O222" s="698">
        <f>IF(O217="",0,INDEX(Input_Range,MATCH((C189&amp;B222),Input_Call,0),MATCH(O217,Input_Header,0)))</f>
        <v>0</v>
      </c>
      <c r="P222" s="698">
        <f>IF(P217="",0,INDEX(Input_Range,MATCH((C189&amp;B222),Input_Call,0),MATCH(P217,Input_Header,0)))</f>
        <v>0</v>
      </c>
      <c r="Q222" s="698">
        <f>IF(Q217="",0,INDEX(Input_Range,MATCH((C189&amp;B222),Input_Call,0),MATCH(Q217,Input_Header,0)))</f>
        <v>0</v>
      </c>
      <c r="R222" s="698">
        <f t="shared" si="228"/>
        <v>0</v>
      </c>
      <c r="T222" s="699">
        <f t="shared" si="229"/>
        <v>0</v>
      </c>
      <c r="U222" s="699">
        <f t="shared" si="230"/>
        <v>0</v>
      </c>
      <c r="V222" s="699">
        <f t="shared" si="231"/>
        <v>0</v>
      </c>
      <c r="W222" s="699">
        <f t="shared" si="232"/>
        <v>8</v>
      </c>
      <c r="X222" s="699">
        <f t="shared" si="233"/>
        <v>0</v>
      </c>
      <c r="Y222" s="699">
        <f t="shared" si="234"/>
        <v>0</v>
      </c>
      <c r="Z222" s="699">
        <f t="shared" si="235"/>
        <v>0</v>
      </c>
      <c r="AA222" s="699">
        <f t="shared" si="236"/>
        <v>0</v>
      </c>
      <c r="AB222" s="699">
        <f t="shared" si="237"/>
        <v>0</v>
      </c>
      <c r="AC222" s="699">
        <f t="shared" si="238"/>
        <v>0</v>
      </c>
      <c r="AD222" s="699">
        <f t="shared" si="239"/>
        <v>0</v>
      </c>
      <c r="AE222" s="699">
        <f t="shared" si="240"/>
        <v>0</v>
      </c>
      <c r="AF222" s="699">
        <f t="shared" si="241"/>
        <v>0</v>
      </c>
      <c r="AG222" s="699">
        <f t="shared" si="242"/>
        <v>0</v>
      </c>
      <c r="AI222" s="698">
        <f t="shared" si="225"/>
        <v>0</v>
      </c>
      <c r="AJ222" s="698"/>
      <c r="AK222" s="698"/>
      <c r="AL222" s="4" t="str">
        <f>$A222&amp;$C189&amp;InputSheet!C$45&amp;InputSheet!D$45</f>
        <v>Option Year 2ESDG&amp;AContr/Govt</v>
      </c>
      <c r="AM222" s="700">
        <f t="shared" si="226"/>
        <v>0</v>
      </c>
      <c r="AP222" s="387" t="str">
        <f t="shared" si="198"/>
        <v>1</v>
      </c>
    </row>
    <row r="223" spans="1:42" outlineLevel="1">
      <c r="A223" s="6" t="str">
        <f t="shared" si="227"/>
        <v>Option Year 2</v>
      </c>
      <c r="B223" s="6" t="str">
        <f t="shared" si="223"/>
        <v>TBD1</v>
      </c>
      <c r="E223" s="21">
        <f>IF(E217="",0,INDEX(Input_Range,MATCH((C189&amp;B223),Input_Call,0),MATCH(E217,Input_Header,0)))</f>
        <v>0</v>
      </c>
      <c r="F223" s="21">
        <f>IF(F217="",0,INDEX(Input_Range,MATCH((C189&amp;B223),Input_Call,0),MATCH(F217,Input_Header,0)))</f>
        <v>0</v>
      </c>
      <c r="G223" s="21">
        <f>IF(G217="",0,INDEX(Input_Range,MATCH((C189&amp;B223),Input_Call,0),MATCH(G217,Input_Header,0)))</f>
        <v>0</v>
      </c>
      <c r="H223" s="21">
        <f>IF(H217="",0,INDEX(Input_Range,MATCH((C189&amp;B223),Input_Call,0),MATCH(H217,Input_Header,0)))</f>
        <v>0</v>
      </c>
      <c r="I223" s="21">
        <f>IF(I217="",0,INDEX(Input_Range,MATCH((C189&amp;B223),Input_Call,0),MATCH(I217,Input_Header,0)))</f>
        <v>0</v>
      </c>
      <c r="J223" s="21">
        <f>IF(J217="",0,INDEX(Input_Range,MATCH((C189&amp;B223),Input_Call,0),MATCH(J217,Input_Header,0)))</f>
        <v>0</v>
      </c>
      <c r="K223" s="21">
        <f>IF(K217="",0,INDEX(Input_Range,MATCH((C189&amp;B223),Input_Call,0),MATCH(K217,Input_Header,0)))</f>
        <v>0</v>
      </c>
      <c r="L223" s="21">
        <f>IF(L217="",0,INDEX(Input_Range,MATCH((C189&amp;B223),Input_Call,0),MATCH(L217,Input_Header,0)))</f>
        <v>0</v>
      </c>
      <c r="M223" s="21">
        <f>IF(M217="",0,INDEX(Input_Range,MATCH((C189&amp;B223),Input_Call,0),MATCH(M217,Input_Header,0)))</f>
        <v>0</v>
      </c>
      <c r="N223" s="21">
        <f>IF(N217="",0,INDEX(Input_Range,MATCH((C189&amp;B223),Input_Call,0),MATCH(N217,Input_Header,0)))</f>
        <v>0</v>
      </c>
      <c r="O223" s="21">
        <f>IF(O217="",0,INDEX(Input_Range,MATCH((C189&amp;B223),Input_Call,0),MATCH(O217,Input_Header,0)))</f>
        <v>0</v>
      </c>
      <c r="P223" s="21">
        <f>IF(P217="",0,INDEX(Input_Range,MATCH((C189&amp;B223),Input_Call,0),MATCH(P217,Input_Header,0)))</f>
        <v>0</v>
      </c>
      <c r="Q223" s="21">
        <f>IF(Q217="",0,INDEX(Input_Range,MATCH((C189&amp;B223),Input_Call,0),MATCH(Q217,Input_Header,0)))</f>
        <v>0</v>
      </c>
      <c r="R223" s="698">
        <f t="shared" si="228"/>
        <v>0</v>
      </c>
      <c r="T223" s="699">
        <f t="shared" si="229"/>
        <v>0</v>
      </c>
      <c r="U223" s="699">
        <f t="shared" si="230"/>
        <v>0</v>
      </c>
      <c r="V223" s="699">
        <f t="shared" si="231"/>
        <v>0</v>
      </c>
      <c r="W223" s="699">
        <f t="shared" si="232"/>
        <v>8</v>
      </c>
      <c r="X223" s="699">
        <f t="shared" si="233"/>
        <v>0</v>
      </c>
      <c r="Y223" s="699">
        <f t="shared" si="234"/>
        <v>0</v>
      </c>
      <c r="Z223" s="699">
        <f t="shared" si="235"/>
        <v>0</v>
      </c>
      <c r="AA223" s="699">
        <f t="shared" si="236"/>
        <v>0</v>
      </c>
      <c r="AB223" s="699">
        <f t="shared" si="237"/>
        <v>0</v>
      </c>
      <c r="AC223" s="699">
        <f t="shared" si="238"/>
        <v>0</v>
      </c>
      <c r="AD223" s="699">
        <f t="shared" si="239"/>
        <v>0</v>
      </c>
      <c r="AE223" s="699">
        <f t="shared" si="240"/>
        <v>0</v>
      </c>
      <c r="AF223" s="699">
        <f t="shared" si="241"/>
        <v>0</v>
      </c>
      <c r="AG223" s="699">
        <f t="shared" si="242"/>
        <v>0</v>
      </c>
      <c r="AI223" s="698">
        <f t="shared" si="225"/>
        <v>0</v>
      </c>
      <c r="AJ223" s="21"/>
      <c r="AK223" s="21"/>
      <c r="AL223" s="4" t="str">
        <f>$A223&amp;$C189&amp;InputSheet!C$46&amp;InputSheet!D$46</f>
        <v>Option Year 2ESDTBD1Contr/Govt</v>
      </c>
      <c r="AM223" s="700">
        <f t="shared" si="226"/>
        <v>0</v>
      </c>
      <c r="AP223" s="387" t="str">
        <f t="shared" si="198"/>
        <v>0</v>
      </c>
    </row>
    <row r="224" spans="1:42" outlineLevel="1">
      <c r="A224" s="6" t="str">
        <f t="shared" si="227"/>
        <v>Option Year 2</v>
      </c>
      <c r="B224" s="6" t="str">
        <f t="shared" si="223"/>
        <v>TBD2</v>
      </c>
      <c r="E224" s="21">
        <f>IF(E217="",0,INDEX(Input_Range,MATCH((C189&amp;B224),Input_Call,0),MATCH(E217,Input_Header,0)))</f>
        <v>0</v>
      </c>
      <c r="F224" s="21">
        <f>IF(F217="",0,INDEX(Input_Range,MATCH((C189&amp;B224),Input_Call,0),MATCH(F217,Input_Header,0)))</f>
        <v>0</v>
      </c>
      <c r="G224" s="21">
        <f>IF(G217="",0,INDEX(Input_Range,MATCH((C189&amp;B224),Input_Call,0),MATCH(G217,Input_Header,0)))</f>
        <v>0</v>
      </c>
      <c r="H224" s="21">
        <f>IF(H217="",0,INDEX(Input_Range,MATCH((C189&amp;B224),Input_Call,0),MATCH(H217,Input_Header,0)))</f>
        <v>0</v>
      </c>
      <c r="I224" s="21">
        <f>IF(I217="",0,INDEX(Input_Range,MATCH((C189&amp;B224),Input_Call,0),MATCH(I217,Input_Header,0)))</f>
        <v>0</v>
      </c>
      <c r="J224" s="21">
        <f>IF(J217="",0,INDEX(Input_Range,MATCH((C189&amp;B224),Input_Call,0),MATCH(J217,Input_Header,0)))</f>
        <v>0</v>
      </c>
      <c r="K224" s="21">
        <f>IF(K217="",0,INDEX(Input_Range,MATCH((C189&amp;B224),Input_Call,0),MATCH(K217,Input_Header,0)))</f>
        <v>0</v>
      </c>
      <c r="L224" s="21">
        <f>IF(L217="",0,INDEX(Input_Range,MATCH((C189&amp;B224),Input_Call,0),MATCH(L217,Input_Header,0)))</f>
        <v>0</v>
      </c>
      <c r="M224" s="21">
        <f>IF(M217="",0,INDEX(Input_Range,MATCH((C189&amp;B224),Input_Call,0),MATCH(M217,Input_Header,0)))</f>
        <v>0</v>
      </c>
      <c r="N224" s="21">
        <f>IF(N217="",0,INDEX(Input_Range,MATCH((C189&amp;B224),Input_Call,0),MATCH(N217,Input_Header,0)))</f>
        <v>0</v>
      </c>
      <c r="O224" s="21">
        <f>IF(O217="",0,INDEX(Input_Range,MATCH((C189&amp;B224),Input_Call,0),MATCH(O217,Input_Header,0)))</f>
        <v>0</v>
      </c>
      <c r="P224" s="21">
        <f>IF(P217="",0,INDEX(Input_Range,MATCH((C189&amp;B224),Input_Call,0),MATCH(P217,Input_Header,0)))</f>
        <v>0</v>
      </c>
      <c r="Q224" s="21">
        <f>IF(Q217="",0,INDEX(Input_Range,MATCH((C189&amp;B224),Input_Call,0),MATCH(Q217,Input_Header,0)))</f>
        <v>0</v>
      </c>
      <c r="R224" s="698">
        <f t="shared" si="228"/>
        <v>0</v>
      </c>
      <c r="T224" s="699">
        <f t="shared" si="229"/>
        <v>0</v>
      </c>
      <c r="U224" s="699">
        <f t="shared" si="230"/>
        <v>0</v>
      </c>
      <c r="V224" s="699">
        <f t="shared" si="231"/>
        <v>0</v>
      </c>
      <c r="W224" s="699">
        <f t="shared" si="232"/>
        <v>8</v>
      </c>
      <c r="X224" s="699">
        <f t="shared" si="233"/>
        <v>0</v>
      </c>
      <c r="Y224" s="699">
        <f t="shared" si="234"/>
        <v>0</v>
      </c>
      <c r="Z224" s="699">
        <f t="shared" si="235"/>
        <v>0</v>
      </c>
      <c r="AA224" s="699">
        <f t="shared" si="236"/>
        <v>0</v>
      </c>
      <c r="AB224" s="699">
        <f t="shared" si="237"/>
        <v>0</v>
      </c>
      <c r="AC224" s="699">
        <f t="shared" si="238"/>
        <v>0</v>
      </c>
      <c r="AD224" s="699">
        <f t="shared" si="239"/>
        <v>0</v>
      </c>
      <c r="AE224" s="699">
        <f t="shared" si="240"/>
        <v>0</v>
      </c>
      <c r="AF224" s="699">
        <f t="shared" si="241"/>
        <v>0</v>
      </c>
      <c r="AG224" s="699">
        <f t="shared" si="242"/>
        <v>0</v>
      </c>
      <c r="AI224" s="698">
        <f t="shared" si="225"/>
        <v>0</v>
      </c>
      <c r="AJ224" s="21"/>
      <c r="AK224" s="21"/>
      <c r="AL224" s="4" t="str">
        <f>$A224&amp;$C189&amp;InputSheet!C$47&amp;InputSheet!D$47</f>
        <v>Option Year 2ESDTBD2Contr/Govt</v>
      </c>
      <c r="AM224" s="700">
        <f t="shared" si="226"/>
        <v>0</v>
      </c>
      <c r="AP224" s="387" t="str">
        <f t="shared" si="198"/>
        <v>0</v>
      </c>
    </row>
    <row r="225" spans="1:42" outlineLevel="1">
      <c r="A225" s="6" t="str">
        <f t="shared" si="227"/>
        <v>Option Year 2</v>
      </c>
      <c r="B225" s="6" t="str">
        <f t="shared" si="223"/>
        <v>TBD3</v>
      </c>
      <c r="E225" s="21">
        <f>IF(E217="",0,INDEX(Input_Range,MATCH((C189&amp;B225),Input_Call,0),MATCH(E217,Input_Header,0)))</f>
        <v>0</v>
      </c>
      <c r="F225" s="21">
        <f>IF(F217="",0,INDEX(Input_Range,MATCH((C189&amp;B225),Input_Call,0),MATCH(F217,Input_Header,0)))</f>
        <v>0</v>
      </c>
      <c r="G225" s="21">
        <f>IF(G217="",0,INDEX(Input_Range,MATCH((C189&amp;B225),Input_Call,0),MATCH(G217,Input_Header,0)))</f>
        <v>0</v>
      </c>
      <c r="H225" s="21">
        <f>IF(H217="",0,INDEX(Input_Range,MATCH((C189&amp;B225),Input_Call,0),MATCH(H217,Input_Header,0)))</f>
        <v>0</v>
      </c>
      <c r="I225" s="21">
        <f>IF(I217="",0,INDEX(Input_Range,MATCH((C189&amp;B225),Input_Call,0),MATCH(I217,Input_Header,0)))</f>
        <v>0</v>
      </c>
      <c r="J225" s="21">
        <f>IF(J217="",0,INDEX(Input_Range,MATCH((C189&amp;B225),Input_Call,0),MATCH(J217,Input_Header,0)))</f>
        <v>0</v>
      </c>
      <c r="K225" s="21">
        <f>IF(K217="",0,INDEX(Input_Range,MATCH((C189&amp;B225),Input_Call,0),MATCH(K217,Input_Header,0)))</f>
        <v>0</v>
      </c>
      <c r="L225" s="21">
        <f>IF(L217="",0,INDEX(Input_Range,MATCH((C189&amp;B225),Input_Call,0),MATCH(L217,Input_Header,0)))</f>
        <v>0</v>
      </c>
      <c r="M225" s="21">
        <f>IF(M217="",0,INDEX(Input_Range,MATCH((C189&amp;B225),Input_Call,0),MATCH(M217,Input_Header,0)))</f>
        <v>0</v>
      </c>
      <c r="N225" s="21">
        <f>IF(N217="",0,INDEX(Input_Range,MATCH((C189&amp;B225),Input_Call,0),MATCH(N217,Input_Header,0)))</f>
        <v>0</v>
      </c>
      <c r="O225" s="21">
        <f>IF(O217="",0,INDEX(Input_Range,MATCH((C189&amp;B225),Input_Call,0),MATCH(O217,Input_Header,0)))</f>
        <v>0</v>
      </c>
      <c r="P225" s="21">
        <f>IF(P217="",0,INDEX(Input_Range,MATCH((C189&amp;B225),Input_Call,0),MATCH(P217,Input_Header,0)))</f>
        <v>0</v>
      </c>
      <c r="Q225" s="21">
        <f>IF(Q217="",0,INDEX(Input_Range,MATCH((C189&amp;B225),Input_Call,0),MATCH(Q217,Input_Header,0)))</f>
        <v>0</v>
      </c>
      <c r="R225" s="698">
        <f t="shared" si="228"/>
        <v>0</v>
      </c>
      <c r="T225" s="699">
        <f t="shared" si="229"/>
        <v>0</v>
      </c>
      <c r="U225" s="699">
        <f t="shared" si="230"/>
        <v>0</v>
      </c>
      <c r="V225" s="699">
        <f t="shared" si="231"/>
        <v>0</v>
      </c>
      <c r="W225" s="699">
        <f t="shared" si="232"/>
        <v>8</v>
      </c>
      <c r="X225" s="699">
        <f t="shared" si="233"/>
        <v>0</v>
      </c>
      <c r="Y225" s="699">
        <f t="shared" si="234"/>
        <v>0</v>
      </c>
      <c r="Z225" s="699">
        <f t="shared" si="235"/>
        <v>0</v>
      </c>
      <c r="AA225" s="699">
        <f t="shared" si="236"/>
        <v>0</v>
      </c>
      <c r="AB225" s="699">
        <f t="shared" si="237"/>
        <v>0</v>
      </c>
      <c r="AC225" s="699">
        <f t="shared" si="238"/>
        <v>0</v>
      </c>
      <c r="AD225" s="699">
        <f t="shared" si="239"/>
        <v>0</v>
      </c>
      <c r="AE225" s="699">
        <f t="shared" si="240"/>
        <v>0</v>
      </c>
      <c r="AF225" s="699">
        <f t="shared" si="241"/>
        <v>0</v>
      </c>
      <c r="AG225" s="699">
        <f t="shared" si="242"/>
        <v>0</v>
      </c>
      <c r="AI225" s="698">
        <f t="shared" si="225"/>
        <v>0</v>
      </c>
      <c r="AJ225" s="21"/>
      <c r="AK225" s="21"/>
      <c r="AL225" s="4" t="str">
        <f>$A225&amp;$C189&amp;InputSheet!C$48&amp;InputSheet!D$48</f>
        <v>Option Year 2ESDTBD3Contr/Govt</v>
      </c>
      <c r="AM225" s="700">
        <f t="shared" si="226"/>
        <v>0</v>
      </c>
      <c r="AP225" s="387" t="str">
        <f t="shared" si="198"/>
        <v>0</v>
      </c>
    </row>
    <row r="226" spans="1:42">
      <c r="E226" s="698"/>
      <c r="F226" s="698"/>
      <c r="G226" s="698"/>
      <c r="H226" s="698"/>
      <c r="I226" s="698"/>
      <c r="J226" s="698"/>
      <c r="K226" s="698"/>
      <c r="L226" s="698"/>
      <c r="M226" s="698"/>
      <c r="N226" s="698"/>
      <c r="O226" s="698"/>
      <c r="P226" s="698"/>
      <c r="Q226" s="698"/>
      <c r="R226" s="698"/>
      <c r="AI226" s="21"/>
      <c r="AJ226" s="21"/>
      <c r="AK226" s="21"/>
      <c r="AP226" s="387" t="str">
        <f t="shared" si="198"/>
        <v>1</v>
      </c>
    </row>
    <row r="227" spans="1:42">
      <c r="A227" s="530" t="str">
        <f>B227</f>
        <v>Training and Processing</v>
      </c>
      <c r="B227" s="691" t="str">
        <f>InputSheet!$C$25</f>
        <v>Training and Processing</v>
      </c>
      <c r="C227" s="28"/>
      <c r="AP227" s="387" t="str">
        <f t="shared" si="198"/>
        <v>1</v>
      </c>
    </row>
    <row r="228" spans="1:42">
      <c r="B228" s="314" t="s">
        <v>587</v>
      </c>
      <c r="C228" s="692" t="s">
        <v>588</v>
      </c>
      <c r="E228" s="1216" t="str">
        <f>"Indirect Rates - "&amp;C$189</f>
        <v>Indirect Rates - ESD</v>
      </c>
      <c r="F228" s="1216"/>
      <c r="G228" s="1216"/>
      <c r="H228" s="1216"/>
      <c r="I228" s="1216"/>
      <c r="J228" s="1216"/>
      <c r="K228" s="1216"/>
      <c r="L228" s="1216"/>
      <c r="M228" s="1216"/>
      <c r="N228" s="1216"/>
      <c r="O228" s="1216"/>
      <c r="P228" s="1216"/>
      <c r="Q228" s="1216"/>
      <c r="R228" s="1216"/>
      <c r="S228" s="844"/>
      <c r="T228" s="1217" t="s">
        <v>794</v>
      </c>
      <c r="U228" s="1217"/>
      <c r="V228" s="1217"/>
      <c r="W228" s="1217"/>
      <c r="X228" s="1217"/>
      <c r="Y228" s="1217"/>
      <c r="Z228" s="1217"/>
      <c r="AA228" s="1217"/>
      <c r="AB228" s="1217"/>
      <c r="AC228" s="1217"/>
      <c r="AD228" s="1217"/>
      <c r="AE228" s="1217"/>
      <c r="AF228" s="1217"/>
      <c r="AG228" s="1217"/>
      <c r="AI228" s="692" t="s">
        <v>615</v>
      </c>
      <c r="AJ228" s="50"/>
      <c r="AK228" s="50"/>
      <c r="AP228" s="387" t="str">
        <f t="shared" si="198"/>
        <v>1</v>
      </c>
    </row>
    <row r="229" spans="1:42">
      <c r="B229" s="693">
        <f>VLOOKUP(A227,InputSheet!$C$8:$E$37,2,FALSE)</f>
        <v>40179</v>
      </c>
      <c r="C229" s="694">
        <f>VLOOKUP(A227,InputSheet!$C$8:$E$37,3,FALSE)</f>
        <v>41152</v>
      </c>
      <c r="E229" s="695">
        <f t="shared" ref="E229:R229" si="243">E217</f>
        <v>2009</v>
      </c>
      <c r="F229" s="695">
        <f t="shared" si="243"/>
        <v>2010</v>
      </c>
      <c r="G229" s="695">
        <f t="shared" si="243"/>
        <v>2011</v>
      </c>
      <c r="H229" s="695">
        <f t="shared" si="243"/>
        <v>2012</v>
      </c>
      <c r="I229" s="695">
        <f t="shared" si="243"/>
        <v>2013</v>
      </c>
      <c r="J229" s="695">
        <f t="shared" si="243"/>
        <v>2014</v>
      </c>
      <c r="K229" s="695">
        <f t="shared" si="243"/>
        <v>2015</v>
      </c>
      <c r="L229" s="695">
        <f t="shared" si="243"/>
        <v>2016</v>
      </c>
      <c r="M229" s="695">
        <f t="shared" si="243"/>
        <v>2017</v>
      </c>
      <c r="N229" s="695">
        <f t="shared" si="243"/>
        <v>2018</v>
      </c>
      <c r="O229" s="695">
        <f t="shared" si="243"/>
        <v>2019</v>
      </c>
      <c r="P229" s="695">
        <f t="shared" si="243"/>
        <v>2020</v>
      </c>
      <c r="Q229" s="695">
        <f t="shared" si="243"/>
        <v>2021</v>
      </c>
      <c r="R229" s="695">
        <f t="shared" si="243"/>
        <v>2022</v>
      </c>
      <c r="S229" s="680"/>
      <c r="T229" s="695">
        <f t="shared" ref="T229:AG229" si="244">T217</f>
        <v>2009</v>
      </c>
      <c r="U229" s="695">
        <f t="shared" si="244"/>
        <v>2010</v>
      </c>
      <c r="V229" s="695">
        <f t="shared" si="244"/>
        <v>2011</v>
      </c>
      <c r="W229" s="695">
        <f t="shared" si="244"/>
        <v>2012</v>
      </c>
      <c r="X229" s="695">
        <f t="shared" si="244"/>
        <v>2013</v>
      </c>
      <c r="Y229" s="695">
        <f t="shared" si="244"/>
        <v>2014</v>
      </c>
      <c r="Z229" s="695">
        <f t="shared" si="244"/>
        <v>2015</v>
      </c>
      <c r="AA229" s="695">
        <f t="shared" si="244"/>
        <v>2016</v>
      </c>
      <c r="AB229" s="695">
        <f t="shared" si="244"/>
        <v>2017</v>
      </c>
      <c r="AC229" s="695">
        <f t="shared" si="244"/>
        <v>2018</v>
      </c>
      <c r="AD229" s="695">
        <f t="shared" si="244"/>
        <v>2019</v>
      </c>
      <c r="AE229" s="695">
        <f t="shared" si="244"/>
        <v>2020</v>
      </c>
      <c r="AF229" s="695">
        <f t="shared" si="244"/>
        <v>2021</v>
      </c>
      <c r="AG229" s="695">
        <f t="shared" si="244"/>
        <v>2022</v>
      </c>
      <c r="AI229" s="696" t="str">
        <f>B227</f>
        <v>Training and Processing</v>
      </c>
      <c r="AJ229" s="28"/>
      <c r="AK229" s="28"/>
      <c r="AP229" s="387" t="str">
        <f t="shared" si="198"/>
        <v>1</v>
      </c>
    </row>
    <row r="230" spans="1:42">
      <c r="A230" s="6" t="str">
        <f>A227</f>
        <v>Training and Processing</v>
      </c>
      <c r="B230" s="6" t="str">
        <f t="shared" ref="B230:B237" si="245">B218</f>
        <v>PRB</v>
      </c>
      <c r="E230" s="698">
        <f>IF(E229="",0,INDEX(Input_Range,MATCH((C189&amp;B230),Input_Call,0),MATCH(E229,Input_Header,0)))</f>
        <v>0</v>
      </c>
      <c r="F230" s="698">
        <f>IF(F229="",0,INDEX(Input_Range,MATCH((C189&amp;B230),Input_Call,0),MATCH(F229,Input_Header,0)))</f>
        <v>0</v>
      </c>
      <c r="G230" s="698">
        <f>IF(G229="",0,INDEX(Input_Range,MATCH((C189&amp;B230),Input_Call,0),MATCH(G229,Input_Header,0)))</f>
        <v>0</v>
      </c>
      <c r="H230" s="698">
        <f>IF(H229="",0,INDEX(Input_Range,MATCH((C189&amp;B230),Input_Call,0),MATCH(H229,Input_Header,0)))</f>
        <v>0</v>
      </c>
      <c r="I230" s="698">
        <f>IF(I229="",0,INDEX(Input_Range,MATCH((C189&amp;B230),Input_Call,0),MATCH(I229,Input_Header,0)))</f>
        <v>0</v>
      </c>
      <c r="J230" s="698">
        <f>IF(J229="",0,INDEX(Input_Range,MATCH((C189&amp;B230),Input_Call,0),MATCH(J229,Input_Header,0)))</f>
        <v>0</v>
      </c>
      <c r="K230" s="698">
        <f>IF(K229="",0,INDEX(Input_Range,MATCH((C189&amp;B230),Input_Call,0),MATCH(K229,Input_Header,0)))</f>
        <v>0</v>
      </c>
      <c r="L230" s="698">
        <f>IF(L229="",0,INDEX(Input_Range,MATCH((C189&amp;B230),Input_Call,0),MATCH(L229,Input_Header,0)))</f>
        <v>0</v>
      </c>
      <c r="M230" s="698">
        <f>IF(M229="",0,INDEX(Input_Range,MATCH((C189&amp;B230),Input_Call,0),MATCH(M229,Input_Header,0)))</f>
        <v>0</v>
      </c>
      <c r="N230" s="698">
        <f>IF(N229="",0,INDEX(Input_Range,MATCH((C189&amp;B230),Input_Call,0),MATCH(N229,Input_Header,0)))</f>
        <v>0</v>
      </c>
      <c r="O230" s="698">
        <f>IF(O229="",0,INDEX(Input_Range,MATCH((C189&amp;B230),Input_Call,0),MATCH(O229,Input_Header,0)))</f>
        <v>0</v>
      </c>
      <c r="P230" s="698">
        <f>IF(P229="",0,INDEX(Input_Range,MATCH((C189&amp;B230),Input_Call,0),MATCH(P229,Input_Header,0)))</f>
        <v>0</v>
      </c>
      <c r="Q230" s="698">
        <f>IF(Q229="",0,INDEX(Input_Range,MATCH((C189&amp;B230),Input_Call,0),MATCH(Q229,Input_Header,0)))</f>
        <v>0</v>
      </c>
      <c r="R230" s="698">
        <f>Q230</f>
        <v>0</v>
      </c>
      <c r="T230" s="699">
        <f t="shared" ref="T230:AG230" si="246">ROUND((MAX(0,(MIN($C229,DATE(T229,12,31))-MAX($B229,DATE(T229,1,1))+1)))/30.41667,0)</f>
        <v>0</v>
      </c>
      <c r="U230" s="699">
        <f t="shared" si="246"/>
        <v>12</v>
      </c>
      <c r="V230" s="699">
        <f t="shared" si="246"/>
        <v>12</v>
      </c>
      <c r="W230" s="699">
        <f t="shared" si="246"/>
        <v>8</v>
      </c>
      <c r="X230" s="699">
        <f t="shared" si="246"/>
        <v>0</v>
      </c>
      <c r="Y230" s="699">
        <f t="shared" si="246"/>
        <v>0</v>
      </c>
      <c r="Z230" s="699">
        <f t="shared" si="246"/>
        <v>0</v>
      </c>
      <c r="AA230" s="699">
        <f t="shared" si="246"/>
        <v>0</v>
      </c>
      <c r="AB230" s="699">
        <f t="shared" si="246"/>
        <v>0</v>
      </c>
      <c r="AC230" s="699">
        <f t="shared" si="246"/>
        <v>0</v>
      </c>
      <c r="AD230" s="699">
        <f t="shared" si="246"/>
        <v>0</v>
      </c>
      <c r="AE230" s="699">
        <f t="shared" si="246"/>
        <v>0</v>
      </c>
      <c r="AF230" s="699">
        <f t="shared" si="246"/>
        <v>0</v>
      </c>
      <c r="AG230" s="699">
        <f t="shared" si="246"/>
        <v>0</v>
      </c>
      <c r="AI230" s="698">
        <f t="shared" ref="AI230:AI237" si="247">ROUND(SUMPRODUCT(E230:R230,T230:AG230)/SUM(T230:AG230),4)</f>
        <v>0</v>
      </c>
      <c r="AJ230" s="698"/>
      <c r="AK230" s="698"/>
      <c r="AL230" s="4" t="str">
        <f>$A230&amp;$C189&amp;InputSheet!C$41&amp;InputSheet!D$41</f>
        <v>Training and ProcessingESDPRBContr/Govt</v>
      </c>
      <c r="AM230" s="700">
        <f t="shared" ref="AM230:AM237" si="248">AI230</f>
        <v>0</v>
      </c>
      <c r="AP230" s="387" t="str">
        <f t="shared" si="198"/>
        <v>1</v>
      </c>
    </row>
    <row r="231" spans="1:42">
      <c r="A231" s="6" t="str">
        <f t="shared" ref="A231:A237" si="249">A230</f>
        <v>Training and Processing</v>
      </c>
      <c r="B231" s="6" t="str">
        <f t="shared" si="245"/>
        <v>Overhead - Offsite</v>
      </c>
      <c r="E231" s="698">
        <f>IF(E229="",0,INDEX(Input_Range,MATCH((C189&amp;B231),Input_Call,0),MATCH(E229,Input_Header,0)))</f>
        <v>0</v>
      </c>
      <c r="F231" s="698">
        <f>IF(F229="",0,INDEX(Input_Range,MATCH((C189&amp;B231),Input_Call,0),MATCH(F229,Input_Header,0)))</f>
        <v>0</v>
      </c>
      <c r="G231" s="698">
        <f>IF(G229="",0,INDEX(Input_Range,MATCH((C189&amp;B231),Input_Call,0),MATCH(G229,Input_Header,0)))</f>
        <v>0</v>
      </c>
      <c r="H231" s="698">
        <f>IF(H229="",0,INDEX(Input_Range,MATCH((C189&amp;B231),Input_Call,0),MATCH(H229,Input_Header,0)))</f>
        <v>0</v>
      </c>
      <c r="I231" s="698">
        <f>IF(I229="",0,INDEX(Input_Range,MATCH((C189&amp;B231),Input_Call,0),MATCH(I229,Input_Header,0)))</f>
        <v>0</v>
      </c>
      <c r="J231" s="698">
        <f>IF(J229="",0,INDEX(Input_Range,MATCH((C189&amp;B231),Input_Call,0),MATCH(J229,Input_Header,0)))</f>
        <v>0</v>
      </c>
      <c r="K231" s="698">
        <f>IF(K229="",0,INDEX(Input_Range,MATCH((C189&amp;B231),Input_Call,0),MATCH(K229,Input_Header,0)))</f>
        <v>0</v>
      </c>
      <c r="L231" s="698">
        <f>IF(L229="",0,INDEX(Input_Range,MATCH((C189&amp;B231),Input_Call,0),MATCH(L229,Input_Header,0)))</f>
        <v>0</v>
      </c>
      <c r="M231" s="698">
        <f>IF(M229="",0,INDEX(Input_Range,MATCH((C189&amp;B231),Input_Call,0),MATCH(M229,Input_Header,0)))</f>
        <v>0</v>
      </c>
      <c r="N231" s="698">
        <f>IF(N229="",0,INDEX(Input_Range,MATCH((C189&amp;B231),Input_Call,0),MATCH(N229,Input_Header,0)))</f>
        <v>0</v>
      </c>
      <c r="O231" s="698">
        <f>IF(O229="",0,INDEX(Input_Range,MATCH((C189&amp;B231),Input_Call,0),MATCH(O229,Input_Header,0)))</f>
        <v>0</v>
      </c>
      <c r="P231" s="698">
        <f>IF(P229="",0,INDEX(Input_Range,MATCH((C189&amp;B231),Input_Call,0),MATCH(P229,Input_Header,0)))</f>
        <v>0</v>
      </c>
      <c r="Q231" s="698">
        <f>IF(Q229="",0,INDEX(Input_Range,MATCH((C189&amp;B231),Input_Call,0),MATCH(Q229,Input_Header,0)))</f>
        <v>0</v>
      </c>
      <c r="R231" s="698">
        <f t="shared" ref="R231:R237" si="250">Q231</f>
        <v>0</v>
      </c>
      <c r="T231" s="699">
        <f t="shared" ref="T231:T237" si="251">T230</f>
        <v>0</v>
      </c>
      <c r="U231" s="699">
        <f t="shared" ref="U231:U237" si="252">U230</f>
        <v>12</v>
      </c>
      <c r="V231" s="699">
        <f t="shared" ref="V231:V237" si="253">V230</f>
        <v>12</v>
      </c>
      <c r="W231" s="699">
        <f t="shared" ref="W231:W237" si="254">W230</f>
        <v>8</v>
      </c>
      <c r="X231" s="699">
        <f t="shared" ref="X231:X237" si="255">X230</f>
        <v>0</v>
      </c>
      <c r="Y231" s="699">
        <f t="shared" ref="Y231:Y237" si="256">Y230</f>
        <v>0</v>
      </c>
      <c r="Z231" s="699">
        <f t="shared" ref="Z231:Z237" si="257">Z230</f>
        <v>0</v>
      </c>
      <c r="AA231" s="699">
        <f t="shared" ref="AA231:AA237" si="258">AA230</f>
        <v>0</v>
      </c>
      <c r="AB231" s="699">
        <f t="shared" ref="AB231:AB237" si="259">AB230</f>
        <v>0</v>
      </c>
      <c r="AC231" s="699">
        <f t="shared" ref="AC231:AC237" si="260">AC230</f>
        <v>0</v>
      </c>
      <c r="AD231" s="699">
        <f t="shared" ref="AD231:AD237" si="261">AD230</f>
        <v>0</v>
      </c>
      <c r="AE231" s="699">
        <f t="shared" ref="AE231:AE237" si="262">AE230</f>
        <v>0</v>
      </c>
      <c r="AF231" s="699">
        <f t="shared" ref="AF231:AF237" si="263">AF230</f>
        <v>0</v>
      </c>
      <c r="AG231" s="699">
        <f t="shared" ref="AG231:AG237" si="264">AG230</f>
        <v>0</v>
      </c>
      <c r="AI231" s="698">
        <f t="shared" si="247"/>
        <v>0</v>
      </c>
      <c r="AJ231" s="698"/>
      <c r="AK231" s="698"/>
      <c r="AL231" s="4" t="str">
        <f>$A231&amp;$C189&amp;InputSheet!C$42&amp;InputSheet!D$42</f>
        <v>Training and ProcessingESDOverheadContr</v>
      </c>
      <c r="AM231" s="700">
        <f t="shared" si="248"/>
        <v>0</v>
      </c>
      <c r="AP231" s="387" t="str">
        <f t="shared" si="198"/>
        <v>0</v>
      </c>
    </row>
    <row r="232" spans="1:42">
      <c r="A232" s="6" t="str">
        <f t="shared" si="249"/>
        <v>Training and Processing</v>
      </c>
      <c r="B232" s="6" t="str">
        <f t="shared" si="245"/>
        <v>Overhead - Onsite</v>
      </c>
      <c r="E232" s="698">
        <f>IF(E229="",0,INDEX(Input_Range,MATCH((C189&amp;B232),Input_Call,0),MATCH(E229,Input_Header,0)))</f>
        <v>0</v>
      </c>
      <c r="F232" s="698">
        <f>IF(F229="",0,INDEX(Input_Range,MATCH((C189&amp;B232),Input_Call,0),MATCH(F229,Input_Header,0)))</f>
        <v>0</v>
      </c>
      <c r="G232" s="698">
        <f>IF(G229="",0,INDEX(Input_Range,MATCH((C189&amp;B232),Input_Call,0),MATCH(G229,Input_Header,0)))</f>
        <v>0</v>
      </c>
      <c r="H232" s="698">
        <f>IF(H229="",0,INDEX(Input_Range,MATCH((C189&amp;B232),Input_Call,0),MATCH(H229,Input_Header,0)))</f>
        <v>0</v>
      </c>
      <c r="I232" s="698">
        <f>IF(I229="",0,INDEX(Input_Range,MATCH((C189&amp;B232),Input_Call,0),MATCH(I229,Input_Header,0)))</f>
        <v>0</v>
      </c>
      <c r="J232" s="698">
        <f>IF(J229="",0,INDEX(Input_Range,MATCH((C189&amp;B232),Input_Call,0),MATCH(J229,Input_Header,0)))</f>
        <v>0</v>
      </c>
      <c r="K232" s="698">
        <f>IF(K229="",0,INDEX(Input_Range,MATCH((C189&amp;B232),Input_Call,0),MATCH(K229,Input_Header,0)))</f>
        <v>0</v>
      </c>
      <c r="L232" s="698">
        <f>IF(L229="",0,INDEX(Input_Range,MATCH((C189&amp;B232),Input_Call,0),MATCH(L229,Input_Header,0)))</f>
        <v>0</v>
      </c>
      <c r="M232" s="698">
        <f>IF(M229="",0,INDEX(Input_Range,MATCH((C189&amp;B232),Input_Call,0),MATCH(M229,Input_Header,0)))</f>
        <v>0</v>
      </c>
      <c r="N232" s="698">
        <f>IF(N229="",0,INDEX(Input_Range,MATCH((C189&amp;B232),Input_Call,0),MATCH(N229,Input_Header,0)))</f>
        <v>0</v>
      </c>
      <c r="O232" s="698">
        <f>IF(O229="",0,INDEX(Input_Range,MATCH((C189&amp;B232),Input_Call,0),MATCH(O229,Input_Header,0)))</f>
        <v>0</v>
      </c>
      <c r="P232" s="698">
        <f>IF(P229="",0,INDEX(Input_Range,MATCH((C189&amp;B232),Input_Call,0),MATCH(P229,Input_Header,0)))</f>
        <v>0</v>
      </c>
      <c r="Q232" s="698">
        <f>IF(Q229="",0,INDEX(Input_Range,MATCH((C189&amp;B232),Input_Call,0),MATCH(Q229,Input_Header,0)))</f>
        <v>0</v>
      </c>
      <c r="R232" s="698">
        <f t="shared" si="250"/>
        <v>0</v>
      </c>
      <c r="T232" s="699">
        <f t="shared" si="251"/>
        <v>0</v>
      </c>
      <c r="U232" s="699">
        <f t="shared" si="252"/>
        <v>12</v>
      </c>
      <c r="V232" s="699">
        <f t="shared" si="253"/>
        <v>12</v>
      </c>
      <c r="W232" s="699">
        <f t="shared" si="254"/>
        <v>8</v>
      </c>
      <c r="X232" s="699">
        <f t="shared" si="255"/>
        <v>0</v>
      </c>
      <c r="Y232" s="699">
        <f t="shared" si="256"/>
        <v>0</v>
      </c>
      <c r="Z232" s="699">
        <f t="shared" si="257"/>
        <v>0</v>
      </c>
      <c r="AA232" s="699">
        <f t="shared" si="258"/>
        <v>0</v>
      </c>
      <c r="AB232" s="699">
        <f t="shared" si="259"/>
        <v>0</v>
      </c>
      <c r="AC232" s="699">
        <f t="shared" si="260"/>
        <v>0</v>
      </c>
      <c r="AD232" s="699">
        <f t="shared" si="261"/>
        <v>0</v>
      </c>
      <c r="AE232" s="699">
        <f t="shared" si="262"/>
        <v>0</v>
      </c>
      <c r="AF232" s="699">
        <f t="shared" si="263"/>
        <v>0</v>
      </c>
      <c r="AG232" s="699">
        <f t="shared" si="264"/>
        <v>0</v>
      </c>
      <c r="AI232" s="698">
        <f t="shared" si="247"/>
        <v>0</v>
      </c>
      <c r="AJ232" s="698"/>
      <c r="AK232" s="698"/>
      <c r="AL232" s="4" t="str">
        <f>$A232&amp;$C189&amp;InputSheet!C$43&amp;InputSheet!D$43</f>
        <v>Training and ProcessingESDOverheadGovt</v>
      </c>
      <c r="AM232" s="700">
        <f t="shared" si="248"/>
        <v>0</v>
      </c>
      <c r="AP232" s="387" t="str">
        <f t="shared" si="198"/>
        <v>1</v>
      </c>
    </row>
    <row r="233" spans="1:42">
      <c r="A233" s="6" t="str">
        <f t="shared" si="249"/>
        <v>Training and Processing</v>
      </c>
      <c r="B233" s="6" t="str">
        <f t="shared" si="245"/>
        <v>Material Handling</v>
      </c>
      <c r="E233" s="698">
        <f>IF(E229="",0,INDEX(Input_Range,MATCH((C189&amp;B233),Input_Call,0),MATCH(E229,Input_Header,0)))</f>
        <v>0</v>
      </c>
      <c r="F233" s="698">
        <f>IF(F229="",0,INDEX(Input_Range,MATCH((C189&amp;B233),Input_Call,0),MATCH(F229,Input_Header,0)))</f>
        <v>0</v>
      </c>
      <c r="G233" s="698">
        <f>IF(G229="",0,INDEX(Input_Range,MATCH((C189&amp;B233),Input_Call,0),MATCH(G229,Input_Header,0)))</f>
        <v>0</v>
      </c>
      <c r="H233" s="698">
        <f>IF(H229="",0,INDEX(Input_Range,MATCH((C189&amp;B233),Input_Call,0),MATCH(H229,Input_Header,0)))</f>
        <v>0</v>
      </c>
      <c r="I233" s="698">
        <f>IF(I229="",0,INDEX(Input_Range,MATCH((C189&amp;B233),Input_Call,0),MATCH(I229,Input_Header,0)))</f>
        <v>0</v>
      </c>
      <c r="J233" s="698">
        <f>IF(J229="",0,INDEX(Input_Range,MATCH((C189&amp;B233),Input_Call,0),MATCH(J229,Input_Header,0)))</f>
        <v>0</v>
      </c>
      <c r="K233" s="698">
        <f>IF(K229="",0,INDEX(Input_Range,MATCH((C189&amp;B233),Input_Call,0),MATCH(K229,Input_Header,0)))</f>
        <v>0</v>
      </c>
      <c r="L233" s="698">
        <f>IF(L229="",0,INDEX(Input_Range,MATCH((C189&amp;B233),Input_Call,0),MATCH(L229,Input_Header,0)))</f>
        <v>0</v>
      </c>
      <c r="M233" s="698">
        <f>IF(M229="",0,INDEX(Input_Range,MATCH((C189&amp;B233),Input_Call,0),MATCH(M229,Input_Header,0)))</f>
        <v>0</v>
      </c>
      <c r="N233" s="698">
        <f>IF(N229="",0,INDEX(Input_Range,MATCH((C189&amp;B233),Input_Call,0),MATCH(N229,Input_Header,0)))</f>
        <v>0</v>
      </c>
      <c r="O233" s="698">
        <f>IF(O229="",0,INDEX(Input_Range,MATCH((C189&amp;B233),Input_Call,0),MATCH(O229,Input_Header,0)))</f>
        <v>0</v>
      </c>
      <c r="P233" s="698">
        <f>IF(P229="",0,INDEX(Input_Range,MATCH((C189&amp;B233),Input_Call,0),MATCH(P229,Input_Header,0)))</f>
        <v>0</v>
      </c>
      <c r="Q233" s="698">
        <f>IF(Q229="",0,INDEX(Input_Range,MATCH((C189&amp;B233),Input_Call,0),MATCH(Q229,Input_Header,0)))</f>
        <v>0</v>
      </c>
      <c r="R233" s="698">
        <f t="shared" si="250"/>
        <v>0</v>
      </c>
      <c r="T233" s="699">
        <f t="shared" si="251"/>
        <v>0</v>
      </c>
      <c r="U233" s="699">
        <f t="shared" si="252"/>
        <v>12</v>
      </c>
      <c r="V233" s="699">
        <f t="shared" si="253"/>
        <v>12</v>
      </c>
      <c r="W233" s="699">
        <f t="shared" si="254"/>
        <v>8</v>
      </c>
      <c r="X233" s="699">
        <f t="shared" si="255"/>
        <v>0</v>
      </c>
      <c r="Y233" s="699">
        <f t="shared" si="256"/>
        <v>0</v>
      </c>
      <c r="Z233" s="699">
        <f t="shared" si="257"/>
        <v>0</v>
      </c>
      <c r="AA233" s="699">
        <f t="shared" si="258"/>
        <v>0</v>
      </c>
      <c r="AB233" s="699">
        <f t="shared" si="259"/>
        <v>0</v>
      </c>
      <c r="AC233" s="699">
        <f t="shared" si="260"/>
        <v>0</v>
      </c>
      <c r="AD233" s="699">
        <f t="shared" si="261"/>
        <v>0</v>
      </c>
      <c r="AE233" s="699">
        <f t="shared" si="262"/>
        <v>0</v>
      </c>
      <c r="AF233" s="699">
        <f t="shared" si="263"/>
        <v>0</v>
      </c>
      <c r="AG233" s="699">
        <f t="shared" si="264"/>
        <v>0</v>
      </c>
      <c r="AI233" s="698">
        <f t="shared" si="247"/>
        <v>0</v>
      </c>
      <c r="AJ233" s="698"/>
      <c r="AK233" s="698"/>
      <c r="AL233" s="4" t="str">
        <f>$A233&amp;$C189&amp;InputSheet!C$44&amp;InputSheet!D$44</f>
        <v>Training and ProcessingESDMHContr/Govt</v>
      </c>
      <c r="AM233" s="700">
        <f t="shared" si="248"/>
        <v>0</v>
      </c>
      <c r="AP233" s="387" t="str">
        <f t="shared" si="198"/>
        <v>0</v>
      </c>
    </row>
    <row r="234" spans="1:42">
      <c r="A234" s="6" t="str">
        <f t="shared" si="249"/>
        <v>Training and Processing</v>
      </c>
      <c r="B234" s="6" t="str">
        <f t="shared" si="245"/>
        <v>G&amp;A</v>
      </c>
      <c r="E234" s="698">
        <f>IF(E229="",0,INDEX(Input_Range,MATCH((C189&amp;B234),Input_Call,0),MATCH(E229,Input_Header,0)))</f>
        <v>0</v>
      </c>
      <c r="F234" s="698">
        <f>IF(F229="",0,INDEX(Input_Range,MATCH((C189&amp;B234),Input_Call,0),MATCH(F229,Input_Header,0)))</f>
        <v>0</v>
      </c>
      <c r="G234" s="698">
        <f>IF(G229="",0,INDEX(Input_Range,MATCH((C189&amp;B234),Input_Call,0),MATCH(G229,Input_Header,0)))</f>
        <v>0</v>
      </c>
      <c r="H234" s="698">
        <f>IF(H229="",0,INDEX(Input_Range,MATCH((C189&amp;B234),Input_Call,0),MATCH(H229,Input_Header,0)))</f>
        <v>0</v>
      </c>
      <c r="I234" s="698">
        <f>IF(I229="",0,INDEX(Input_Range,MATCH((C189&amp;B234),Input_Call,0),MATCH(I229,Input_Header,0)))</f>
        <v>0</v>
      </c>
      <c r="J234" s="698">
        <f>IF(J229="",0,INDEX(Input_Range,MATCH((C189&amp;B234),Input_Call,0),MATCH(J229,Input_Header,0)))</f>
        <v>0</v>
      </c>
      <c r="K234" s="698">
        <f>IF(K229="",0,INDEX(Input_Range,MATCH((C189&amp;B234),Input_Call,0),MATCH(K229,Input_Header,0)))</f>
        <v>0</v>
      </c>
      <c r="L234" s="698">
        <f>IF(L229="",0,INDEX(Input_Range,MATCH((C189&amp;B234),Input_Call,0),MATCH(L229,Input_Header,0)))</f>
        <v>0</v>
      </c>
      <c r="M234" s="698">
        <f>IF(M229="",0,INDEX(Input_Range,MATCH((C189&amp;B234),Input_Call,0),MATCH(M229,Input_Header,0)))</f>
        <v>0</v>
      </c>
      <c r="N234" s="698">
        <f>IF(N229="",0,INDEX(Input_Range,MATCH((C189&amp;B234),Input_Call,0),MATCH(N229,Input_Header,0)))</f>
        <v>0</v>
      </c>
      <c r="O234" s="698">
        <f>IF(O229="",0,INDEX(Input_Range,MATCH((C189&amp;B234),Input_Call,0),MATCH(O229,Input_Header,0)))</f>
        <v>0</v>
      </c>
      <c r="P234" s="698">
        <f>IF(P229="",0,INDEX(Input_Range,MATCH((C189&amp;B234),Input_Call,0),MATCH(P229,Input_Header,0)))</f>
        <v>0</v>
      </c>
      <c r="Q234" s="698">
        <f>IF(Q229="",0,INDEX(Input_Range,MATCH((C189&amp;B234),Input_Call,0),MATCH(Q229,Input_Header,0)))</f>
        <v>0</v>
      </c>
      <c r="R234" s="698">
        <f t="shared" si="250"/>
        <v>0</v>
      </c>
      <c r="T234" s="699">
        <f t="shared" si="251"/>
        <v>0</v>
      </c>
      <c r="U234" s="699">
        <f t="shared" si="252"/>
        <v>12</v>
      </c>
      <c r="V234" s="699">
        <f t="shared" si="253"/>
        <v>12</v>
      </c>
      <c r="W234" s="699">
        <f t="shared" si="254"/>
        <v>8</v>
      </c>
      <c r="X234" s="699">
        <f t="shared" si="255"/>
        <v>0</v>
      </c>
      <c r="Y234" s="699">
        <f t="shared" si="256"/>
        <v>0</v>
      </c>
      <c r="Z234" s="699">
        <f t="shared" si="257"/>
        <v>0</v>
      </c>
      <c r="AA234" s="699">
        <f t="shared" si="258"/>
        <v>0</v>
      </c>
      <c r="AB234" s="699">
        <f t="shared" si="259"/>
        <v>0</v>
      </c>
      <c r="AC234" s="699">
        <f t="shared" si="260"/>
        <v>0</v>
      </c>
      <c r="AD234" s="699">
        <f t="shared" si="261"/>
        <v>0</v>
      </c>
      <c r="AE234" s="699">
        <f t="shared" si="262"/>
        <v>0</v>
      </c>
      <c r="AF234" s="699">
        <f t="shared" si="263"/>
        <v>0</v>
      </c>
      <c r="AG234" s="699">
        <f t="shared" si="264"/>
        <v>0</v>
      </c>
      <c r="AI234" s="698">
        <f t="shared" si="247"/>
        <v>0</v>
      </c>
      <c r="AJ234" s="698"/>
      <c r="AK234" s="698"/>
      <c r="AL234" s="4" t="str">
        <f>$A234&amp;$C189&amp;InputSheet!C$45&amp;InputSheet!D$45</f>
        <v>Training and ProcessingESDG&amp;AContr/Govt</v>
      </c>
      <c r="AM234" s="700">
        <f t="shared" si="248"/>
        <v>0</v>
      </c>
      <c r="AP234" s="387" t="str">
        <f t="shared" si="198"/>
        <v>1</v>
      </c>
    </row>
    <row r="235" spans="1:42" outlineLevel="1">
      <c r="A235" s="6" t="str">
        <f t="shared" si="249"/>
        <v>Training and Processing</v>
      </c>
      <c r="B235" s="6" t="str">
        <f t="shared" si="245"/>
        <v>TBD1</v>
      </c>
      <c r="E235" s="21">
        <f>IF(E229="",0,INDEX(Input_Range,MATCH((C189&amp;B235),Input_Call,0),MATCH(E229,Input_Header,0)))</f>
        <v>0</v>
      </c>
      <c r="F235" s="21">
        <f>IF(F229="",0,INDEX(Input_Range,MATCH((C189&amp;B235),Input_Call,0),MATCH(F229,Input_Header,0)))</f>
        <v>0</v>
      </c>
      <c r="G235" s="21">
        <f>IF(G229="",0,INDEX(Input_Range,MATCH((C189&amp;B235),Input_Call,0),MATCH(G229,Input_Header,0)))</f>
        <v>0</v>
      </c>
      <c r="H235" s="21">
        <f>IF(H229="",0,INDEX(Input_Range,MATCH((C189&amp;B235),Input_Call,0),MATCH(H229,Input_Header,0)))</f>
        <v>0</v>
      </c>
      <c r="I235" s="21">
        <f>IF(I229="",0,INDEX(Input_Range,MATCH((C189&amp;B235),Input_Call,0),MATCH(I229,Input_Header,0)))</f>
        <v>0</v>
      </c>
      <c r="J235" s="21">
        <f>IF(J229="",0,INDEX(Input_Range,MATCH((C189&amp;B235),Input_Call,0),MATCH(J229,Input_Header,0)))</f>
        <v>0</v>
      </c>
      <c r="K235" s="21">
        <f>IF(K229="",0,INDEX(Input_Range,MATCH((C189&amp;B235),Input_Call,0),MATCH(K229,Input_Header,0)))</f>
        <v>0</v>
      </c>
      <c r="L235" s="21">
        <f>IF(L229="",0,INDEX(Input_Range,MATCH((C189&amp;B235),Input_Call,0),MATCH(L229,Input_Header,0)))</f>
        <v>0</v>
      </c>
      <c r="M235" s="21">
        <f>IF(M229="",0,INDEX(Input_Range,MATCH((C189&amp;B235),Input_Call,0),MATCH(M229,Input_Header,0)))</f>
        <v>0</v>
      </c>
      <c r="N235" s="21">
        <f>IF(N229="",0,INDEX(Input_Range,MATCH((C189&amp;B235),Input_Call,0),MATCH(N229,Input_Header,0)))</f>
        <v>0</v>
      </c>
      <c r="O235" s="21">
        <f>IF(O229="",0,INDEX(Input_Range,MATCH((C189&amp;B235),Input_Call,0),MATCH(O229,Input_Header,0)))</f>
        <v>0</v>
      </c>
      <c r="P235" s="21">
        <f>IF(P229="",0,INDEX(Input_Range,MATCH((C189&amp;B235),Input_Call,0),MATCH(P229,Input_Header,0)))</f>
        <v>0</v>
      </c>
      <c r="Q235" s="21">
        <f>IF(Q229="",0,INDEX(Input_Range,MATCH((C189&amp;B235),Input_Call,0),MATCH(Q229,Input_Header,0)))</f>
        <v>0</v>
      </c>
      <c r="R235" s="698">
        <f t="shared" si="250"/>
        <v>0</v>
      </c>
      <c r="T235" s="699">
        <f t="shared" si="251"/>
        <v>0</v>
      </c>
      <c r="U235" s="699">
        <f t="shared" si="252"/>
        <v>12</v>
      </c>
      <c r="V235" s="699">
        <f t="shared" si="253"/>
        <v>12</v>
      </c>
      <c r="W235" s="699">
        <f t="shared" si="254"/>
        <v>8</v>
      </c>
      <c r="X235" s="699">
        <f t="shared" si="255"/>
        <v>0</v>
      </c>
      <c r="Y235" s="699">
        <f t="shared" si="256"/>
        <v>0</v>
      </c>
      <c r="Z235" s="699">
        <f t="shared" si="257"/>
        <v>0</v>
      </c>
      <c r="AA235" s="699">
        <f t="shared" si="258"/>
        <v>0</v>
      </c>
      <c r="AB235" s="699">
        <f t="shared" si="259"/>
        <v>0</v>
      </c>
      <c r="AC235" s="699">
        <f t="shared" si="260"/>
        <v>0</v>
      </c>
      <c r="AD235" s="699">
        <f t="shared" si="261"/>
        <v>0</v>
      </c>
      <c r="AE235" s="699">
        <f t="shared" si="262"/>
        <v>0</v>
      </c>
      <c r="AF235" s="699">
        <f t="shared" si="263"/>
        <v>0</v>
      </c>
      <c r="AG235" s="699">
        <f t="shared" si="264"/>
        <v>0</v>
      </c>
      <c r="AI235" s="698">
        <f t="shared" si="247"/>
        <v>0</v>
      </c>
      <c r="AJ235" s="21"/>
      <c r="AK235" s="21"/>
      <c r="AL235" s="4" t="str">
        <f>$A235&amp;$C189&amp;InputSheet!C$46&amp;InputSheet!D$46</f>
        <v>Training and ProcessingESDTBD1Contr/Govt</v>
      </c>
      <c r="AM235" s="700">
        <f t="shared" si="248"/>
        <v>0</v>
      </c>
      <c r="AP235" s="387" t="str">
        <f t="shared" si="198"/>
        <v>0</v>
      </c>
    </row>
    <row r="236" spans="1:42" outlineLevel="1">
      <c r="A236" s="6" t="str">
        <f t="shared" si="249"/>
        <v>Training and Processing</v>
      </c>
      <c r="B236" s="6" t="str">
        <f t="shared" si="245"/>
        <v>TBD2</v>
      </c>
      <c r="E236" s="21">
        <f>IF(E229="",0,INDEX(Input_Range,MATCH((C189&amp;B236),Input_Call,0),MATCH(E229,Input_Header,0)))</f>
        <v>0</v>
      </c>
      <c r="F236" s="21">
        <f>IF(F229="",0,INDEX(Input_Range,MATCH((C189&amp;B236),Input_Call,0),MATCH(F229,Input_Header,0)))</f>
        <v>0</v>
      </c>
      <c r="G236" s="21">
        <f>IF(G229="",0,INDEX(Input_Range,MATCH((C189&amp;B236),Input_Call,0),MATCH(G229,Input_Header,0)))</f>
        <v>0</v>
      </c>
      <c r="H236" s="21">
        <f>IF(H229="",0,INDEX(Input_Range,MATCH((C189&amp;B236),Input_Call,0),MATCH(H229,Input_Header,0)))</f>
        <v>0</v>
      </c>
      <c r="I236" s="21">
        <f>IF(I229="",0,INDEX(Input_Range,MATCH((C189&amp;B236),Input_Call,0),MATCH(I229,Input_Header,0)))</f>
        <v>0</v>
      </c>
      <c r="J236" s="21">
        <f>IF(J229="",0,INDEX(Input_Range,MATCH((C189&amp;B236),Input_Call,0),MATCH(J229,Input_Header,0)))</f>
        <v>0</v>
      </c>
      <c r="K236" s="21">
        <f>IF(K229="",0,INDEX(Input_Range,MATCH((C189&amp;B236),Input_Call,0),MATCH(K229,Input_Header,0)))</f>
        <v>0</v>
      </c>
      <c r="L236" s="21">
        <f>IF(L229="",0,INDEX(Input_Range,MATCH((C189&amp;B236),Input_Call,0),MATCH(L229,Input_Header,0)))</f>
        <v>0</v>
      </c>
      <c r="M236" s="21">
        <f>IF(M229="",0,INDEX(Input_Range,MATCH((C189&amp;B236),Input_Call,0),MATCH(M229,Input_Header,0)))</f>
        <v>0</v>
      </c>
      <c r="N236" s="21">
        <f>IF(N229="",0,INDEX(Input_Range,MATCH((C189&amp;B236),Input_Call,0),MATCH(N229,Input_Header,0)))</f>
        <v>0</v>
      </c>
      <c r="O236" s="21">
        <f>IF(O229="",0,INDEX(Input_Range,MATCH((C189&amp;B236),Input_Call,0),MATCH(O229,Input_Header,0)))</f>
        <v>0</v>
      </c>
      <c r="P236" s="21">
        <f>IF(P229="",0,INDEX(Input_Range,MATCH((C189&amp;B236),Input_Call,0),MATCH(P229,Input_Header,0)))</f>
        <v>0</v>
      </c>
      <c r="Q236" s="21">
        <f>IF(Q229="",0,INDEX(Input_Range,MATCH((C189&amp;B236),Input_Call,0),MATCH(Q229,Input_Header,0)))</f>
        <v>0</v>
      </c>
      <c r="R236" s="698">
        <f t="shared" si="250"/>
        <v>0</v>
      </c>
      <c r="T236" s="699">
        <f t="shared" si="251"/>
        <v>0</v>
      </c>
      <c r="U236" s="699">
        <f t="shared" si="252"/>
        <v>12</v>
      </c>
      <c r="V236" s="699">
        <f t="shared" si="253"/>
        <v>12</v>
      </c>
      <c r="W236" s="699">
        <f t="shared" si="254"/>
        <v>8</v>
      </c>
      <c r="X236" s="699">
        <f t="shared" si="255"/>
        <v>0</v>
      </c>
      <c r="Y236" s="699">
        <f t="shared" si="256"/>
        <v>0</v>
      </c>
      <c r="Z236" s="699">
        <f t="shared" si="257"/>
        <v>0</v>
      </c>
      <c r="AA236" s="699">
        <f t="shared" si="258"/>
        <v>0</v>
      </c>
      <c r="AB236" s="699">
        <f t="shared" si="259"/>
        <v>0</v>
      </c>
      <c r="AC236" s="699">
        <f t="shared" si="260"/>
        <v>0</v>
      </c>
      <c r="AD236" s="699">
        <f t="shared" si="261"/>
        <v>0</v>
      </c>
      <c r="AE236" s="699">
        <f t="shared" si="262"/>
        <v>0</v>
      </c>
      <c r="AF236" s="699">
        <f t="shared" si="263"/>
        <v>0</v>
      </c>
      <c r="AG236" s="699">
        <f t="shared" si="264"/>
        <v>0</v>
      </c>
      <c r="AI236" s="698">
        <f t="shared" si="247"/>
        <v>0</v>
      </c>
      <c r="AJ236" s="21"/>
      <c r="AK236" s="21"/>
      <c r="AL236" s="4" t="str">
        <f>$A236&amp;$C189&amp;InputSheet!C$47&amp;InputSheet!D$47</f>
        <v>Training and ProcessingESDTBD2Contr/Govt</v>
      </c>
      <c r="AM236" s="700">
        <f t="shared" si="248"/>
        <v>0</v>
      </c>
      <c r="AP236" s="387" t="str">
        <f t="shared" si="198"/>
        <v>0</v>
      </c>
    </row>
    <row r="237" spans="1:42" outlineLevel="1">
      <c r="A237" s="6" t="str">
        <f t="shared" si="249"/>
        <v>Training and Processing</v>
      </c>
      <c r="B237" s="6" t="str">
        <f t="shared" si="245"/>
        <v>TBD3</v>
      </c>
      <c r="E237" s="21">
        <f>IF(E229="",0,INDEX(Input_Range,MATCH((C189&amp;B237),Input_Call,0),MATCH(E229,Input_Header,0)))</f>
        <v>0</v>
      </c>
      <c r="F237" s="21">
        <f>IF(F229="",0,INDEX(Input_Range,MATCH((C189&amp;B237),Input_Call,0),MATCH(F229,Input_Header,0)))</f>
        <v>0</v>
      </c>
      <c r="G237" s="21">
        <f>IF(G229="",0,INDEX(Input_Range,MATCH((C189&amp;B237),Input_Call,0),MATCH(G229,Input_Header,0)))</f>
        <v>0</v>
      </c>
      <c r="H237" s="21">
        <f>IF(H229="",0,INDEX(Input_Range,MATCH((C189&amp;B237),Input_Call,0),MATCH(H229,Input_Header,0)))</f>
        <v>0</v>
      </c>
      <c r="I237" s="21">
        <f>IF(I229="",0,INDEX(Input_Range,MATCH((C189&amp;B237),Input_Call,0),MATCH(I229,Input_Header,0)))</f>
        <v>0</v>
      </c>
      <c r="J237" s="21">
        <f>IF(J229="",0,INDEX(Input_Range,MATCH((C189&amp;B237),Input_Call,0),MATCH(J229,Input_Header,0)))</f>
        <v>0</v>
      </c>
      <c r="K237" s="21">
        <f>IF(K229="",0,INDEX(Input_Range,MATCH((C189&amp;B237),Input_Call,0),MATCH(K229,Input_Header,0)))</f>
        <v>0</v>
      </c>
      <c r="L237" s="21">
        <f>IF(L229="",0,INDEX(Input_Range,MATCH((C189&amp;B237),Input_Call,0),MATCH(L229,Input_Header,0)))</f>
        <v>0</v>
      </c>
      <c r="M237" s="21">
        <f>IF(M229="",0,INDEX(Input_Range,MATCH((C189&amp;B237),Input_Call,0),MATCH(M229,Input_Header,0)))</f>
        <v>0</v>
      </c>
      <c r="N237" s="21">
        <f>IF(N229="",0,INDEX(Input_Range,MATCH((C189&amp;B237),Input_Call,0),MATCH(N229,Input_Header,0)))</f>
        <v>0</v>
      </c>
      <c r="O237" s="21">
        <f>IF(O229="",0,INDEX(Input_Range,MATCH((C189&amp;B237),Input_Call,0),MATCH(O229,Input_Header,0)))</f>
        <v>0</v>
      </c>
      <c r="P237" s="21">
        <f>IF(P229="",0,INDEX(Input_Range,MATCH((C189&amp;B237),Input_Call,0),MATCH(P229,Input_Header,0)))</f>
        <v>0</v>
      </c>
      <c r="Q237" s="21">
        <f>IF(Q229="",0,INDEX(Input_Range,MATCH((C189&amp;B237),Input_Call,0),MATCH(Q229,Input_Header,0)))</f>
        <v>0</v>
      </c>
      <c r="R237" s="698">
        <f t="shared" si="250"/>
        <v>0</v>
      </c>
      <c r="T237" s="699">
        <f t="shared" si="251"/>
        <v>0</v>
      </c>
      <c r="U237" s="699">
        <f t="shared" si="252"/>
        <v>12</v>
      </c>
      <c r="V237" s="699">
        <f t="shared" si="253"/>
        <v>12</v>
      </c>
      <c r="W237" s="699">
        <f t="shared" si="254"/>
        <v>8</v>
      </c>
      <c r="X237" s="699">
        <f t="shared" si="255"/>
        <v>0</v>
      </c>
      <c r="Y237" s="699">
        <f t="shared" si="256"/>
        <v>0</v>
      </c>
      <c r="Z237" s="699">
        <f t="shared" si="257"/>
        <v>0</v>
      </c>
      <c r="AA237" s="699">
        <f t="shared" si="258"/>
        <v>0</v>
      </c>
      <c r="AB237" s="699">
        <f t="shared" si="259"/>
        <v>0</v>
      </c>
      <c r="AC237" s="699">
        <f t="shared" si="260"/>
        <v>0</v>
      </c>
      <c r="AD237" s="699">
        <f t="shared" si="261"/>
        <v>0</v>
      </c>
      <c r="AE237" s="699">
        <f t="shared" si="262"/>
        <v>0</v>
      </c>
      <c r="AF237" s="699">
        <f t="shared" si="263"/>
        <v>0</v>
      </c>
      <c r="AG237" s="699">
        <f t="shared" si="264"/>
        <v>0</v>
      </c>
      <c r="AI237" s="698">
        <f t="shared" si="247"/>
        <v>0</v>
      </c>
      <c r="AJ237" s="21"/>
      <c r="AK237" s="21"/>
      <c r="AL237" s="4" t="str">
        <f>$A237&amp;$C189&amp;InputSheet!C$48&amp;InputSheet!D$48</f>
        <v>Training and ProcessingESDTBD3Contr/Govt</v>
      </c>
      <c r="AM237" s="700">
        <f t="shared" si="248"/>
        <v>0</v>
      </c>
      <c r="AP237" s="387" t="str">
        <f t="shared" si="198"/>
        <v>0</v>
      </c>
    </row>
    <row r="238" spans="1:42">
      <c r="E238" s="698"/>
      <c r="F238" s="698"/>
      <c r="G238" s="698"/>
      <c r="H238" s="698"/>
      <c r="I238" s="698"/>
      <c r="J238" s="698"/>
      <c r="K238" s="698"/>
      <c r="L238" s="698"/>
      <c r="M238" s="698"/>
      <c r="N238" s="698"/>
      <c r="O238" s="698"/>
      <c r="P238" s="698"/>
      <c r="Q238" s="698"/>
      <c r="R238" s="698"/>
      <c r="AI238" s="21"/>
      <c r="AJ238" s="21"/>
      <c r="AK238" s="21"/>
      <c r="AP238" s="387" t="str">
        <f t="shared" si="198"/>
        <v>1</v>
      </c>
    </row>
    <row r="239" spans="1:42">
      <c r="A239" s="530">
        <f>B239</f>
        <v>0</v>
      </c>
      <c r="B239" s="691">
        <f>InputSheet!$C$26</f>
        <v>0</v>
      </c>
      <c r="C239" s="28"/>
      <c r="AP239" s="387" t="str">
        <f t="shared" si="198"/>
        <v>1</v>
      </c>
    </row>
    <row r="240" spans="1:42">
      <c r="B240" s="314" t="s">
        <v>587</v>
      </c>
      <c r="C240" s="692" t="s">
        <v>588</v>
      </c>
      <c r="E240" s="1216" t="str">
        <f>"Indirect Rates - "&amp;C$189</f>
        <v>Indirect Rates - ESD</v>
      </c>
      <c r="F240" s="1216"/>
      <c r="G240" s="1216"/>
      <c r="H240" s="1216"/>
      <c r="I240" s="1216"/>
      <c r="J240" s="1216"/>
      <c r="K240" s="1216"/>
      <c r="L240" s="1216"/>
      <c r="M240" s="1216"/>
      <c r="N240" s="1216"/>
      <c r="O240" s="1216"/>
      <c r="P240" s="1216"/>
      <c r="Q240" s="1216"/>
      <c r="R240" s="1216"/>
      <c r="S240" s="844"/>
      <c r="T240" s="1217" t="s">
        <v>794</v>
      </c>
      <c r="U240" s="1217"/>
      <c r="V240" s="1217"/>
      <c r="W240" s="1217"/>
      <c r="X240" s="1217"/>
      <c r="Y240" s="1217"/>
      <c r="Z240" s="1217"/>
      <c r="AA240" s="1217"/>
      <c r="AB240" s="1217"/>
      <c r="AC240" s="1217"/>
      <c r="AD240" s="1217"/>
      <c r="AE240" s="1217"/>
      <c r="AF240" s="1217"/>
      <c r="AG240" s="1217"/>
      <c r="AI240" s="692" t="s">
        <v>615</v>
      </c>
      <c r="AJ240" s="50"/>
      <c r="AK240" s="50"/>
      <c r="AP240" s="387" t="str">
        <f t="shared" si="198"/>
        <v>1</v>
      </c>
    </row>
    <row r="241" spans="1:42">
      <c r="B241" s="693" t="e">
        <f>VLOOKUP(A239,InputSheet!$C$8:$E$37,2,FALSE)</f>
        <v>#N/A</v>
      </c>
      <c r="C241" s="694" t="e">
        <f>VLOOKUP(A239,InputSheet!$C$8:$E$37,3,FALSE)</f>
        <v>#N/A</v>
      </c>
      <c r="E241" s="695">
        <f t="shared" ref="E241:R241" si="265">E229</f>
        <v>2009</v>
      </c>
      <c r="F241" s="695">
        <f t="shared" si="265"/>
        <v>2010</v>
      </c>
      <c r="G241" s="695">
        <f t="shared" si="265"/>
        <v>2011</v>
      </c>
      <c r="H241" s="695">
        <f t="shared" si="265"/>
        <v>2012</v>
      </c>
      <c r="I241" s="695">
        <f t="shared" si="265"/>
        <v>2013</v>
      </c>
      <c r="J241" s="695">
        <f t="shared" si="265"/>
        <v>2014</v>
      </c>
      <c r="K241" s="695">
        <f t="shared" si="265"/>
        <v>2015</v>
      </c>
      <c r="L241" s="695">
        <f t="shared" si="265"/>
        <v>2016</v>
      </c>
      <c r="M241" s="695">
        <f t="shared" si="265"/>
        <v>2017</v>
      </c>
      <c r="N241" s="695">
        <f t="shared" si="265"/>
        <v>2018</v>
      </c>
      <c r="O241" s="695">
        <f t="shared" si="265"/>
        <v>2019</v>
      </c>
      <c r="P241" s="695">
        <f t="shared" si="265"/>
        <v>2020</v>
      </c>
      <c r="Q241" s="695">
        <f t="shared" si="265"/>
        <v>2021</v>
      </c>
      <c r="R241" s="695">
        <f t="shared" si="265"/>
        <v>2022</v>
      </c>
      <c r="S241" s="680"/>
      <c r="T241" s="695">
        <f t="shared" ref="T241:AG241" si="266">T229</f>
        <v>2009</v>
      </c>
      <c r="U241" s="695">
        <f t="shared" si="266"/>
        <v>2010</v>
      </c>
      <c r="V241" s="695">
        <f t="shared" si="266"/>
        <v>2011</v>
      </c>
      <c r="W241" s="695">
        <f t="shared" si="266"/>
        <v>2012</v>
      </c>
      <c r="X241" s="695">
        <f t="shared" si="266"/>
        <v>2013</v>
      </c>
      <c r="Y241" s="695">
        <f t="shared" si="266"/>
        <v>2014</v>
      </c>
      <c r="Z241" s="695">
        <f t="shared" si="266"/>
        <v>2015</v>
      </c>
      <c r="AA241" s="695">
        <f t="shared" si="266"/>
        <v>2016</v>
      </c>
      <c r="AB241" s="695">
        <f t="shared" si="266"/>
        <v>2017</v>
      </c>
      <c r="AC241" s="695">
        <f t="shared" si="266"/>
        <v>2018</v>
      </c>
      <c r="AD241" s="695">
        <f t="shared" si="266"/>
        <v>2019</v>
      </c>
      <c r="AE241" s="695">
        <f t="shared" si="266"/>
        <v>2020</v>
      </c>
      <c r="AF241" s="695">
        <f t="shared" si="266"/>
        <v>2021</v>
      </c>
      <c r="AG241" s="695">
        <f t="shared" si="266"/>
        <v>2022</v>
      </c>
      <c r="AI241" s="696">
        <f>B239</f>
        <v>0</v>
      </c>
      <c r="AJ241" s="28"/>
      <c r="AK241" s="28"/>
      <c r="AP241" s="387" t="str">
        <f t="shared" si="198"/>
        <v>1</v>
      </c>
    </row>
    <row r="242" spans="1:42">
      <c r="A242" s="6">
        <f>A239</f>
        <v>0</v>
      </c>
      <c r="B242" s="6" t="str">
        <f t="shared" ref="B242:B249" si="267">B230</f>
        <v>PRB</v>
      </c>
      <c r="E242" s="698">
        <f>IF(E241="",0,INDEX(Input_Range,MATCH((C189&amp;B242),Input_Call,0),MATCH(E241,Input_Header,0)))</f>
        <v>0</v>
      </c>
      <c r="F242" s="698">
        <f>IF(F241="",0,INDEX(Input_Range,MATCH((C189&amp;B242),Input_Call,0),MATCH(F241,Input_Header,0)))</f>
        <v>0</v>
      </c>
      <c r="G242" s="698">
        <f>IF(G241="",0,INDEX(Input_Range,MATCH((C189&amp;B242),Input_Call,0),MATCH(G241,Input_Header,0)))</f>
        <v>0</v>
      </c>
      <c r="H242" s="698">
        <f>IF(H241="",0,INDEX(Input_Range,MATCH((C189&amp;B242),Input_Call,0),MATCH(H241,Input_Header,0)))</f>
        <v>0</v>
      </c>
      <c r="I242" s="698">
        <f>IF(I241="",0,INDEX(Input_Range,MATCH((C189&amp;B242),Input_Call,0),MATCH(I241,Input_Header,0)))</f>
        <v>0</v>
      </c>
      <c r="J242" s="698">
        <f>IF(J241="",0,INDEX(Input_Range,MATCH((C189&amp;B242),Input_Call,0),MATCH(J241,Input_Header,0)))</f>
        <v>0</v>
      </c>
      <c r="K242" s="698">
        <f>IF(K241="",0,INDEX(Input_Range,MATCH((C189&amp;B242),Input_Call,0),MATCH(K241,Input_Header,0)))</f>
        <v>0</v>
      </c>
      <c r="L242" s="698">
        <f>IF(L241="",0,INDEX(Input_Range,MATCH((C189&amp;B242),Input_Call,0),MATCH(L241,Input_Header,0)))</f>
        <v>0</v>
      </c>
      <c r="M242" s="698">
        <f>IF(M241="",0,INDEX(Input_Range,MATCH((C189&amp;B242),Input_Call,0),MATCH(M241,Input_Header,0)))</f>
        <v>0</v>
      </c>
      <c r="N242" s="698">
        <f>IF(N241="",0,INDEX(Input_Range,MATCH((C189&amp;B242),Input_Call,0),MATCH(N241,Input_Header,0)))</f>
        <v>0</v>
      </c>
      <c r="O242" s="698">
        <f>IF(O241="",0,INDEX(Input_Range,MATCH((C189&amp;B242),Input_Call,0),MATCH(O241,Input_Header,0)))</f>
        <v>0</v>
      </c>
      <c r="P242" s="698">
        <f>IF(P241="",0,INDEX(Input_Range,MATCH((C189&amp;B242),Input_Call,0),MATCH(P241,Input_Header,0)))</f>
        <v>0</v>
      </c>
      <c r="Q242" s="698">
        <f>IF(Q241="",0,INDEX(Input_Range,MATCH((C189&amp;B242),Input_Call,0),MATCH(Q241,Input_Header,0)))</f>
        <v>0</v>
      </c>
      <c r="R242" s="698">
        <f>Q242</f>
        <v>0</v>
      </c>
      <c r="T242" s="699" t="e">
        <f t="shared" ref="T242:AG242" si="268">ROUND((MAX(0,(MIN($C241,DATE(T241,12,31))-MAX($B241,DATE(T241,1,1))+1)))/30.41667,0)</f>
        <v>#N/A</v>
      </c>
      <c r="U242" s="699" t="e">
        <f t="shared" si="268"/>
        <v>#N/A</v>
      </c>
      <c r="V242" s="699" t="e">
        <f t="shared" si="268"/>
        <v>#N/A</v>
      </c>
      <c r="W242" s="699" t="e">
        <f t="shared" si="268"/>
        <v>#N/A</v>
      </c>
      <c r="X242" s="699" t="e">
        <f t="shared" si="268"/>
        <v>#N/A</v>
      </c>
      <c r="Y242" s="699" t="e">
        <f t="shared" si="268"/>
        <v>#N/A</v>
      </c>
      <c r="Z242" s="699" t="e">
        <f t="shared" si="268"/>
        <v>#N/A</v>
      </c>
      <c r="AA242" s="699" t="e">
        <f t="shared" si="268"/>
        <v>#N/A</v>
      </c>
      <c r="AB242" s="699" t="e">
        <f t="shared" si="268"/>
        <v>#N/A</v>
      </c>
      <c r="AC242" s="699" t="e">
        <f t="shared" si="268"/>
        <v>#N/A</v>
      </c>
      <c r="AD242" s="699" t="e">
        <f t="shared" si="268"/>
        <v>#N/A</v>
      </c>
      <c r="AE242" s="699" t="e">
        <f t="shared" si="268"/>
        <v>#N/A</v>
      </c>
      <c r="AF242" s="699" t="e">
        <f t="shared" si="268"/>
        <v>#N/A</v>
      </c>
      <c r="AG242" s="699" t="e">
        <f t="shared" si="268"/>
        <v>#N/A</v>
      </c>
      <c r="AI242" s="698" t="e">
        <f t="shared" ref="AI242:AI249" si="269">ROUND(SUMPRODUCT(E242:R242,T242:AG242)/SUM(T242:AG242),4)</f>
        <v>#N/A</v>
      </c>
      <c r="AJ242" s="698"/>
      <c r="AK242" s="698"/>
      <c r="AL242" s="4" t="str">
        <f>$A242&amp;$C189&amp;InputSheet!C$41&amp;InputSheet!D$41</f>
        <v>0ESDPRBContr/Govt</v>
      </c>
      <c r="AM242" s="700" t="e">
        <f t="shared" ref="AM242:AM249" si="270">AI242</f>
        <v>#N/A</v>
      </c>
      <c r="AP242" s="387" t="e">
        <f t="shared" si="198"/>
        <v>#N/A</v>
      </c>
    </row>
    <row r="243" spans="1:42">
      <c r="A243" s="6">
        <f t="shared" ref="A243:A249" si="271">A242</f>
        <v>0</v>
      </c>
      <c r="B243" s="6" t="str">
        <f t="shared" si="267"/>
        <v>Overhead - Offsite</v>
      </c>
      <c r="E243" s="698">
        <f>IF(E241="",0,INDEX(Input_Range,MATCH((C189&amp;B243),Input_Call,0),MATCH(E241,Input_Header,0)))</f>
        <v>0</v>
      </c>
      <c r="F243" s="698">
        <f>IF(F241="",0,INDEX(Input_Range,MATCH((C189&amp;B243),Input_Call,0),MATCH(F241,Input_Header,0)))</f>
        <v>0</v>
      </c>
      <c r="G243" s="698">
        <f>IF(G241="",0,INDEX(Input_Range,MATCH((C189&amp;B243),Input_Call,0),MATCH(G241,Input_Header,0)))</f>
        <v>0</v>
      </c>
      <c r="H243" s="698">
        <f>IF(H241="",0,INDEX(Input_Range,MATCH((C189&amp;B243),Input_Call,0),MATCH(H241,Input_Header,0)))</f>
        <v>0</v>
      </c>
      <c r="I243" s="698">
        <f>IF(I241="",0,INDEX(Input_Range,MATCH((C189&amp;B243),Input_Call,0),MATCH(I241,Input_Header,0)))</f>
        <v>0</v>
      </c>
      <c r="J243" s="698">
        <f>IF(J241="",0,INDEX(Input_Range,MATCH((C189&amp;B243),Input_Call,0),MATCH(J241,Input_Header,0)))</f>
        <v>0</v>
      </c>
      <c r="K243" s="698">
        <f>IF(K241="",0,INDEX(Input_Range,MATCH((C189&amp;B243),Input_Call,0),MATCH(K241,Input_Header,0)))</f>
        <v>0</v>
      </c>
      <c r="L243" s="698">
        <f>IF(L241="",0,INDEX(Input_Range,MATCH((C189&amp;B243),Input_Call,0),MATCH(L241,Input_Header,0)))</f>
        <v>0</v>
      </c>
      <c r="M243" s="698">
        <f>IF(M241="",0,INDEX(Input_Range,MATCH((C189&amp;B243),Input_Call,0),MATCH(M241,Input_Header,0)))</f>
        <v>0</v>
      </c>
      <c r="N243" s="698">
        <f>IF(N241="",0,INDEX(Input_Range,MATCH((C189&amp;B243),Input_Call,0),MATCH(N241,Input_Header,0)))</f>
        <v>0</v>
      </c>
      <c r="O243" s="698">
        <f>IF(O241="",0,INDEX(Input_Range,MATCH((C189&amp;B243),Input_Call,0),MATCH(O241,Input_Header,0)))</f>
        <v>0</v>
      </c>
      <c r="P243" s="698">
        <f>IF(P241="",0,INDEX(Input_Range,MATCH((C189&amp;B243),Input_Call,0),MATCH(P241,Input_Header,0)))</f>
        <v>0</v>
      </c>
      <c r="Q243" s="698">
        <f>IF(Q241="",0,INDEX(Input_Range,MATCH((C189&amp;B243),Input_Call,0),MATCH(Q241,Input_Header,0)))</f>
        <v>0</v>
      </c>
      <c r="R243" s="698">
        <f t="shared" ref="R243:R249" si="272">Q243</f>
        <v>0</v>
      </c>
      <c r="T243" s="699" t="e">
        <f t="shared" ref="T243:T249" si="273">T242</f>
        <v>#N/A</v>
      </c>
      <c r="U243" s="699" t="e">
        <f t="shared" ref="U243:U249" si="274">U242</f>
        <v>#N/A</v>
      </c>
      <c r="V243" s="699" t="e">
        <f t="shared" ref="V243:V249" si="275">V242</f>
        <v>#N/A</v>
      </c>
      <c r="W243" s="699" t="e">
        <f t="shared" ref="W243:W249" si="276">W242</f>
        <v>#N/A</v>
      </c>
      <c r="X243" s="699" t="e">
        <f t="shared" ref="X243:X249" si="277">X242</f>
        <v>#N/A</v>
      </c>
      <c r="Y243" s="699" t="e">
        <f t="shared" ref="Y243:Y249" si="278">Y242</f>
        <v>#N/A</v>
      </c>
      <c r="Z243" s="699" t="e">
        <f t="shared" ref="Z243:Z249" si="279">Z242</f>
        <v>#N/A</v>
      </c>
      <c r="AA243" s="699" t="e">
        <f t="shared" ref="AA243:AA249" si="280">AA242</f>
        <v>#N/A</v>
      </c>
      <c r="AB243" s="699" t="e">
        <f t="shared" ref="AB243:AB249" si="281">AB242</f>
        <v>#N/A</v>
      </c>
      <c r="AC243" s="699" t="e">
        <f t="shared" ref="AC243:AC249" si="282">AC242</f>
        <v>#N/A</v>
      </c>
      <c r="AD243" s="699" t="e">
        <f t="shared" ref="AD243:AD249" si="283">AD242</f>
        <v>#N/A</v>
      </c>
      <c r="AE243" s="699" t="e">
        <f t="shared" ref="AE243:AE249" si="284">AE242</f>
        <v>#N/A</v>
      </c>
      <c r="AF243" s="699" t="e">
        <f t="shared" ref="AF243:AF249" si="285">AF242</f>
        <v>#N/A</v>
      </c>
      <c r="AG243" s="699" t="e">
        <f t="shared" ref="AG243:AG249" si="286">AG242</f>
        <v>#N/A</v>
      </c>
      <c r="AI243" s="698" t="e">
        <f t="shared" si="269"/>
        <v>#N/A</v>
      </c>
      <c r="AJ243" s="698"/>
      <c r="AK243" s="698"/>
      <c r="AL243" s="4" t="str">
        <f>$A243&amp;$C189&amp;InputSheet!C$42&amp;InputSheet!D$42</f>
        <v>0ESDOverheadContr</v>
      </c>
      <c r="AM243" s="700" t="e">
        <f t="shared" si="270"/>
        <v>#N/A</v>
      </c>
      <c r="AP243" s="387" t="e">
        <f t="shared" si="198"/>
        <v>#N/A</v>
      </c>
    </row>
    <row r="244" spans="1:42">
      <c r="A244" s="6">
        <f t="shared" si="271"/>
        <v>0</v>
      </c>
      <c r="B244" s="6" t="str">
        <f t="shared" si="267"/>
        <v>Overhead - Onsite</v>
      </c>
      <c r="E244" s="698">
        <f>IF(E241="",0,INDEX(Input_Range,MATCH((C189&amp;B244),Input_Call,0),MATCH(E241,Input_Header,0)))</f>
        <v>0</v>
      </c>
      <c r="F244" s="698">
        <f>IF(F241="",0,INDEX(Input_Range,MATCH((C189&amp;B244),Input_Call,0),MATCH(F241,Input_Header,0)))</f>
        <v>0</v>
      </c>
      <c r="G244" s="698">
        <f>IF(G241="",0,INDEX(Input_Range,MATCH((C189&amp;B244),Input_Call,0),MATCH(G241,Input_Header,0)))</f>
        <v>0</v>
      </c>
      <c r="H244" s="698">
        <f>IF(H241="",0,INDEX(Input_Range,MATCH((C189&amp;B244),Input_Call,0),MATCH(H241,Input_Header,0)))</f>
        <v>0</v>
      </c>
      <c r="I244" s="698">
        <f>IF(I241="",0,INDEX(Input_Range,MATCH((C189&amp;B244),Input_Call,0),MATCH(I241,Input_Header,0)))</f>
        <v>0</v>
      </c>
      <c r="J244" s="698">
        <f>IF(J241="",0,INDEX(Input_Range,MATCH((C189&amp;B244),Input_Call,0),MATCH(J241,Input_Header,0)))</f>
        <v>0</v>
      </c>
      <c r="K244" s="698">
        <f>IF(K241="",0,INDEX(Input_Range,MATCH((C189&amp;B244),Input_Call,0),MATCH(K241,Input_Header,0)))</f>
        <v>0</v>
      </c>
      <c r="L244" s="698">
        <f>IF(L241="",0,INDEX(Input_Range,MATCH((C189&amp;B244),Input_Call,0),MATCH(L241,Input_Header,0)))</f>
        <v>0</v>
      </c>
      <c r="M244" s="698">
        <f>IF(M241="",0,INDEX(Input_Range,MATCH((C189&amp;B244),Input_Call,0),MATCH(M241,Input_Header,0)))</f>
        <v>0</v>
      </c>
      <c r="N244" s="698">
        <f>IF(N241="",0,INDEX(Input_Range,MATCH((C189&amp;B244),Input_Call,0),MATCH(N241,Input_Header,0)))</f>
        <v>0</v>
      </c>
      <c r="O244" s="698">
        <f>IF(O241="",0,INDEX(Input_Range,MATCH((C189&amp;B244),Input_Call,0),MATCH(O241,Input_Header,0)))</f>
        <v>0</v>
      </c>
      <c r="P244" s="698">
        <f>IF(P241="",0,INDEX(Input_Range,MATCH((C189&amp;B244),Input_Call,0),MATCH(P241,Input_Header,0)))</f>
        <v>0</v>
      </c>
      <c r="Q244" s="698">
        <f>IF(Q241="",0,INDEX(Input_Range,MATCH((C189&amp;B244),Input_Call,0),MATCH(Q241,Input_Header,0)))</f>
        <v>0</v>
      </c>
      <c r="R244" s="698">
        <f t="shared" si="272"/>
        <v>0</v>
      </c>
      <c r="T244" s="699" t="e">
        <f t="shared" si="273"/>
        <v>#N/A</v>
      </c>
      <c r="U244" s="699" t="e">
        <f t="shared" si="274"/>
        <v>#N/A</v>
      </c>
      <c r="V244" s="699" t="e">
        <f t="shared" si="275"/>
        <v>#N/A</v>
      </c>
      <c r="W244" s="699" t="e">
        <f t="shared" si="276"/>
        <v>#N/A</v>
      </c>
      <c r="X244" s="699" t="e">
        <f t="shared" si="277"/>
        <v>#N/A</v>
      </c>
      <c r="Y244" s="699" t="e">
        <f t="shared" si="278"/>
        <v>#N/A</v>
      </c>
      <c r="Z244" s="699" t="e">
        <f t="shared" si="279"/>
        <v>#N/A</v>
      </c>
      <c r="AA244" s="699" t="e">
        <f t="shared" si="280"/>
        <v>#N/A</v>
      </c>
      <c r="AB244" s="699" t="e">
        <f t="shared" si="281"/>
        <v>#N/A</v>
      </c>
      <c r="AC244" s="699" t="e">
        <f t="shared" si="282"/>
        <v>#N/A</v>
      </c>
      <c r="AD244" s="699" t="e">
        <f t="shared" si="283"/>
        <v>#N/A</v>
      </c>
      <c r="AE244" s="699" t="e">
        <f t="shared" si="284"/>
        <v>#N/A</v>
      </c>
      <c r="AF244" s="699" t="e">
        <f t="shared" si="285"/>
        <v>#N/A</v>
      </c>
      <c r="AG244" s="699" t="e">
        <f t="shared" si="286"/>
        <v>#N/A</v>
      </c>
      <c r="AI244" s="698" t="e">
        <f t="shared" si="269"/>
        <v>#N/A</v>
      </c>
      <c r="AJ244" s="698"/>
      <c r="AK244" s="698"/>
      <c r="AL244" s="4" t="str">
        <f>$A244&amp;$C189&amp;InputSheet!C$43&amp;InputSheet!D$43</f>
        <v>0ESDOverheadGovt</v>
      </c>
      <c r="AM244" s="700" t="e">
        <f t="shared" si="270"/>
        <v>#N/A</v>
      </c>
      <c r="AP244" s="387" t="e">
        <f t="shared" si="198"/>
        <v>#N/A</v>
      </c>
    </row>
    <row r="245" spans="1:42">
      <c r="A245" s="6">
        <f t="shared" si="271"/>
        <v>0</v>
      </c>
      <c r="B245" s="6" t="str">
        <f t="shared" si="267"/>
        <v>Material Handling</v>
      </c>
      <c r="E245" s="698">
        <f>IF(E241="",0,INDEX(Input_Range,MATCH((C189&amp;B245),Input_Call,0),MATCH(E241,Input_Header,0)))</f>
        <v>0</v>
      </c>
      <c r="F245" s="698">
        <f>IF(F241="",0,INDEX(Input_Range,MATCH((C189&amp;B245),Input_Call,0),MATCH(F241,Input_Header,0)))</f>
        <v>0</v>
      </c>
      <c r="G245" s="698">
        <f>IF(G241="",0,INDEX(Input_Range,MATCH((C189&amp;B245),Input_Call,0),MATCH(G241,Input_Header,0)))</f>
        <v>0</v>
      </c>
      <c r="H245" s="698">
        <f>IF(H241="",0,INDEX(Input_Range,MATCH((C189&amp;B245),Input_Call,0),MATCH(H241,Input_Header,0)))</f>
        <v>0</v>
      </c>
      <c r="I245" s="698">
        <f>IF(I241="",0,INDEX(Input_Range,MATCH((C189&amp;B245),Input_Call,0),MATCH(I241,Input_Header,0)))</f>
        <v>0</v>
      </c>
      <c r="J245" s="698">
        <f>IF(J241="",0,INDEX(Input_Range,MATCH((C189&amp;B245),Input_Call,0),MATCH(J241,Input_Header,0)))</f>
        <v>0</v>
      </c>
      <c r="K245" s="698">
        <f>IF(K241="",0,INDEX(Input_Range,MATCH((C189&amp;B245),Input_Call,0),MATCH(K241,Input_Header,0)))</f>
        <v>0</v>
      </c>
      <c r="L245" s="698">
        <f>IF(L241="",0,INDEX(Input_Range,MATCH((C189&amp;B245),Input_Call,0),MATCH(L241,Input_Header,0)))</f>
        <v>0</v>
      </c>
      <c r="M245" s="698">
        <f>IF(M241="",0,INDEX(Input_Range,MATCH((C189&amp;B245),Input_Call,0),MATCH(M241,Input_Header,0)))</f>
        <v>0</v>
      </c>
      <c r="N245" s="698">
        <f>IF(N241="",0,INDEX(Input_Range,MATCH((C189&amp;B245),Input_Call,0),MATCH(N241,Input_Header,0)))</f>
        <v>0</v>
      </c>
      <c r="O245" s="698">
        <f>IF(O241="",0,INDEX(Input_Range,MATCH((C189&amp;B245),Input_Call,0),MATCH(O241,Input_Header,0)))</f>
        <v>0</v>
      </c>
      <c r="P245" s="698">
        <f>IF(P241="",0,INDEX(Input_Range,MATCH((C189&amp;B245),Input_Call,0),MATCH(P241,Input_Header,0)))</f>
        <v>0</v>
      </c>
      <c r="Q245" s="698">
        <f>IF(Q241="",0,INDEX(Input_Range,MATCH((C189&amp;B245),Input_Call,0),MATCH(Q241,Input_Header,0)))</f>
        <v>0</v>
      </c>
      <c r="R245" s="698">
        <f t="shared" si="272"/>
        <v>0</v>
      </c>
      <c r="T245" s="699" t="e">
        <f t="shared" si="273"/>
        <v>#N/A</v>
      </c>
      <c r="U245" s="699" t="e">
        <f t="shared" si="274"/>
        <v>#N/A</v>
      </c>
      <c r="V245" s="699" t="e">
        <f t="shared" si="275"/>
        <v>#N/A</v>
      </c>
      <c r="W245" s="699" t="e">
        <f t="shared" si="276"/>
        <v>#N/A</v>
      </c>
      <c r="X245" s="699" t="e">
        <f t="shared" si="277"/>
        <v>#N/A</v>
      </c>
      <c r="Y245" s="699" t="e">
        <f t="shared" si="278"/>
        <v>#N/A</v>
      </c>
      <c r="Z245" s="699" t="e">
        <f t="shared" si="279"/>
        <v>#N/A</v>
      </c>
      <c r="AA245" s="699" t="e">
        <f t="shared" si="280"/>
        <v>#N/A</v>
      </c>
      <c r="AB245" s="699" t="e">
        <f t="shared" si="281"/>
        <v>#N/A</v>
      </c>
      <c r="AC245" s="699" t="e">
        <f t="shared" si="282"/>
        <v>#N/A</v>
      </c>
      <c r="AD245" s="699" t="e">
        <f t="shared" si="283"/>
        <v>#N/A</v>
      </c>
      <c r="AE245" s="699" t="e">
        <f t="shared" si="284"/>
        <v>#N/A</v>
      </c>
      <c r="AF245" s="699" t="e">
        <f t="shared" si="285"/>
        <v>#N/A</v>
      </c>
      <c r="AG245" s="699" t="e">
        <f t="shared" si="286"/>
        <v>#N/A</v>
      </c>
      <c r="AI245" s="698" t="e">
        <f t="shared" si="269"/>
        <v>#N/A</v>
      </c>
      <c r="AJ245" s="698"/>
      <c r="AK245" s="698"/>
      <c r="AL245" s="4" t="str">
        <f>$A245&amp;$C189&amp;InputSheet!C$44&amp;InputSheet!D$44</f>
        <v>0ESDMHContr/Govt</v>
      </c>
      <c r="AM245" s="700" t="e">
        <f t="shared" si="270"/>
        <v>#N/A</v>
      </c>
      <c r="AP245" s="387" t="e">
        <f t="shared" si="198"/>
        <v>#N/A</v>
      </c>
    </row>
    <row r="246" spans="1:42">
      <c r="A246" s="6">
        <f t="shared" si="271"/>
        <v>0</v>
      </c>
      <c r="B246" s="6" t="str">
        <f t="shared" si="267"/>
        <v>G&amp;A</v>
      </c>
      <c r="E246" s="698">
        <f>IF(E241="",0,INDEX(Input_Range,MATCH((C189&amp;B246),Input_Call,0),MATCH(E241,Input_Header,0)))</f>
        <v>0</v>
      </c>
      <c r="F246" s="698">
        <f>IF(F241="",0,INDEX(Input_Range,MATCH((C189&amp;B246),Input_Call,0),MATCH(F241,Input_Header,0)))</f>
        <v>0</v>
      </c>
      <c r="G246" s="698">
        <f>IF(G241="",0,INDEX(Input_Range,MATCH((C189&amp;B246),Input_Call,0),MATCH(G241,Input_Header,0)))</f>
        <v>0</v>
      </c>
      <c r="H246" s="698">
        <f>IF(H241="",0,INDEX(Input_Range,MATCH((C189&amp;B246),Input_Call,0),MATCH(H241,Input_Header,0)))</f>
        <v>0</v>
      </c>
      <c r="I246" s="698">
        <f>IF(I241="",0,INDEX(Input_Range,MATCH((C189&amp;B246),Input_Call,0),MATCH(I241,Input_Header,0)))</f>
        <v>0</v>
      </c>
      <c r="J246" s="698">
        <f>IF(J241="",0,INDEX(Input_Range,MATCH((C189&amp;B246),Input_Call,0),MATCH(J241,Input_Header,0)))</f>
        <v>0</v>
      </c>
      <c r="K246" s="698">
        <f>IF(K241="",0,INDEX(Input_Range,MATCH((C189&amp;B246),Input_Call,0),MATCH(K241,Input_Header,0)))</f>
        <v>0</v>
      </c>
      <c r="L246" s="698">
        <f>IF(L241="",0,INDEX(Input_Range,MATCH((C189&amp;B246),Input_Call,0),MATCH(L241,Input_Header,0)))</f>
        <v>0</v>
      </c>
      <c r="M246" s="698">
        <f>IF(M241="",0,INDEX(Input_Range,MATCH((C189&amp;B246),Input_Call,0),MATCH(M241,Input_Header,0)))</f>
        <v>0</v>
      </c>
      <c r="N246" s="698">
        <f>IF(N241="",0,INDEX(Input_Range,MATCH((C189&amp;B246),Input_Call,0),MATCH(N241,Input_Header,0)))</f>
        <v>0</v>
      </c>
      <c r="O246" s="698">
        <f>IF(O241="",0,INDEX(Input_Range,MATCH((C189&amp;B246),Input_Call,0),MATCH(O241,Input_Header,0)))</f>
        <v>0</v>
      </c>
      <c r="P246" s="698">
        <f>IF(P241="",0,INDEX(Input_Range,MATCH((C189&amp;B246),Input_Call,0),MATCH(P241,Input_Header,0)))</f>
        <v>0</v>
      </c>
      <c r="Q246" s="698">
        <f>IF(Q241="",0,INDEX(Input_Range,MATCH((C189&amp;B246),Input_Call,0),MATCH(Q241,Input_Header,0)))</f>
        <v>0</v>
      </c>
      <c r="R246" s="698">
        <f t="shared" si="272"/>
        <v>0</v>
      </c>
      <c r="T246" s="699" t="e">
        <f t="shared" si="273"/>
        <v>#N/A</v>
      </c>
      <c r="U246" s="699" t="e">
        <f t="shared" si="274"/>
        <v>#N/A</v>
      </c>
      <c r="V246" s="699" t="e">
        <f t="shared" si="275"/>
        <v>#N/A</v>
      </c>
      <c r="W246" s="699" t="e">
        <f t="shared" si="276"/>
        <v>#N/A</v>
      </c>
      <c r="X246" s="699" t="e">
        <f t="shared" si="277"/>
        <v>#N/A</v>
      </c>
      <c r="Y246" s="699" t="e">
        <f t="shared" si="278"/>
        <v>#N/A</v>
      </c>
      <c r="Z246" s="699" t="e">
        <f t="shared" si="279"/>
        <v>#N/A</v>
      </c>
      <c r="AA246" s="699" t="e">
        <f t="shared" si="280"/>
        <v>#N/A</v>
      </c>
      <c r="AB246" s="699" t="e">
        <f t="shared" si="281"/>
        <v>#N/A</v>
      </c>
      <c r="AC246" s="699" t="e">
        <f t="shared" si="282"/>
        <v>#N/A</v>
      </c>
      <c r="AD246" s="699" t="e">
        <f t="shared" si="283"/>
        <v>#N/A</v>
      </c>
      <c r="AE246" s="699" t="e">
        <f t="shared" si="284"/>
        <v>#N/A</v>
      </c>
      <c r="AF246" s="699" t="e">
        <f t="shared" si="285"/>
        <v>#N/A</v>
      </c>
      <c r="AG246" s="699" t="e">
        <f t="shared" si="286"/>
        <v>#N/A</v>
      </c>
      <c r="AI246" s="698" t="e">
        <f t="shared" si="269"/>
        <v>#N/A</v>
      </c>
      <c r="AJ246" s="698"/>
      <c r="AK246" s="698"/>
      <c r="AL246" s="4" t="str">
        <f>$A246&amp;$C189&amp;InputSheet!C$45&amp;InputSheet!D$45</f>
        <v>0ESDG&amp;AContr/Govt</v>
      </c>
      <c r="AM246" s="700" t="e">
        <f t="shared" si="270"/>
        <v>#N/A</v>
      </c>
      <c r="AP246" s="387" t="e">
        <f t="shared" si="198"/>
        <v>#N/A</v>
      </c>
    </row>
    <row r="247" spans="1:42" outlineLevel="1">
      <c r="A247" s="6">
        <f t="shared" si="271"/>
        <v>0</v>
      </c>
      <c r="B247" s="6" t="str">
        <f t="shared" si="267"/>
        <v>TBD1</v>
      </c>
      <c r="E247" s="21">
        <f>IF(E241="",0,INDEX(Input_Range,MATCH((C189&amp;B247),Input_Call,0),MATCH(E241,Input_Header,0)))</f>
        <v>0</v>
      </c>
      <c r="F247" s="21">
        <f>IF(F241="",0,INDEX(Input_Range,MATCH((C189&amp;B247),Input_Call,0),MATCH(F241,Input_Header,0)))</f>
        <v>0</v>
      </c>
      <c r="G247" s="21">
        <f>IF(G241="",0,INDEX(Input_Range,MATCH((C189&amp;B247),Input_Call,0),MATCH(G241,Input_Header,0)))</f>
        <v>0</v>
      </c>
      <c r="H247" s="21">
        <f>IF(H241="",0,INDEX(Input_Range,MATCH((C189&amp;B247),Input_Call,0),MATCH(H241,Input_Header,0)))</f>
        <v>0</v>
      </c>
      <c r="I247" s="21">
        <f>IF(I241="",0,INDEX(Input_Range,MATCH((C189&amp;B247),Input_Call,0),MATCH(I241,Input_Header,0)))</f>
        <v>0</v>
      </c>
      <c r="J247" s="21">
        <f>IF(J241="",0,INDEX(Input_Range,MATCH((C189&amp;B247),Input_Call,0),MATCH(J241,Input_Header,0)))</f>
        <v>0</v>
      </c>
      <c r="K247" s="21">
        <f>IF(K241="",0,INDEX(Input_Range,MATCH((C189&amp;B247),Input_Call,0),MATCH(K241,Input_Header,0)))</f>
        <v>0</v>
      </c>
      <c r="L247" s="21">
        <f>IF(L241="",0,INDEX(Input_Range,MATCH((C189&amp;B247),Input_Call,0),MATCH(L241,Input_Header,0)))</f>
        <v>0</v>
      </c>
      <c r="M247" s="21">
        <f>IF(M241="",0,INDEX(Input_Range,MATCH((C189&amp;B247),Input_Call,0),MATCH(M241,Input_Header,0)))</f>
        <v>0</v>
      </c>
      <c r="N247" s="21">
        <f>IF(N241="",0,INDEX(Input_Range,MATCH((C189&amp;B247),Input_Call,0),MATCH(N241,Input_Header,0)))</f>
        <v>0</v>
      </c>
      <c r="O247" s="21">
        <f>IF(O241="",0,INDEX(Input_Range,MATCH((C189&amp;B247),Input_Call,0),MATCH(O241,Input_Header,0)))</f>
        <v>0</v>
      </c>
      <c r="P247" s="21">
        <f>IF(P241="",0,INDEX(Input_Range,MATCH((C189&amp;B247),Input_Call,0),MATCH(P241,Input_Header,0)))</f>
        <v>0</v>
      </c>
      <c r="Q247" s="21">
        <f>IF(Q241="",0,INDEX(Input_Range,MATCH((C189&amp;B247),Input_Call,0),MATCH(Q241,Input_Header,0)))</f>
        <v>0</v>
      </c>
      <c r="R247" s="698">
        <f t="shared" si="272"/>
        <v>0</v>
      </c>
      <c r="T247" s="699" t="e">
        <f t="shared" si="273"/>
        <v>#N/A</v>
      </c>
      <c r="U247" s="699" t="e">
        <f t="shared" si="274"/>
        <v>#N/A</v>
      </c>
      <c r="V247" s="699" t="e">
        <f t="shared" si="275"/>
        <v>#N/A</v>
      </c>
      <c r="W247" s="699" t="e">
        <f t="shared" si="276"/>
        <v>#N/A</v>
      </c>
      <c r="X247" s="699" t="e">
        <f t="shared" si="277"/>
        <v>#N/A</v>
      </c>
      <c r="Y247" s="699" t="e">
        <f t="shared" si="278"/>
        <v>#N/A</v>
      </c>
      <c r="Z247" s="699" t="e">
        <f t="shared" si="279"/>
        <v>#N/A</v>
      </c>
      <c r="AA247" s="699" t="e">
        <f t="shared" si="280"/>
        <v>#N/A</v>
      </c>
      <c r="AB247" s="699" t="e">
        <f t="shared" si="281"/>
        <v>#N/A</v>
      </c>
      <c r="AC247" s="699" t="e">
        <f t="shared" si="282"/>
        <v>#N/A</v>
      </c>
      <c r="AD247" s="699" t="e">
        <f t="shared" si="283"/>
        <v>#N/A</v>
      </c>
      <c r="AE247" s="699" t="e">
        <f t="shared" si="284"/>
        <v>#N/A</v>
      </c>
      <c r="AF247" s="699" t="e">
        <f t="shared" si="285"/>
        <v>#N/A</v>
      </c>
      <c r="AG247" s="699" t="e">
        <f t="shared" si="286"/>
        <v>#N/A</v>
      </c>
      <c r="AI247" s="698" t="e">
        <f t="shared" si="269"/>
        <v>#N/A</v>
      </c>
      <c r="AJ247" s="21"/>
      <c r="AK247" s="21"/>
      <c r="AL247" s="4" t="str">
        <f>$A247&amp;$C189&amp;InputSheet!C$46&amp;InputSheet!D$46</f>
        <v>0ESDTBD1Contr/Govt</v>
      </c>
      <c r="AM247" s="700" t="e">
        <f t="shared" si="270"/>
        <v>#N/A</v>
      </c>
      <c r="AP247" s="387" t="e">
        <f t="shared" si="198"/>
        <v>#N/A</v>
      </c>
    </row>
    <row r="248" spans="1:42" outlineLevel="1">
      <c r="A248" s="6">
        <f t="shared" si="271"/>
        <v>0</v>
      </c>
      <c r="B248" s="6" t="str">
        <f t="shared" si="267"/>
        <v>TBD2</v>
      </c>
      <c r="E248" s="21">
        <f>IF(E241="",0,INDEX(Input_Range,MATCH((C189&amp;B248),Input_Call,0),MATCH(E241,Input_Header,0)))</f>
        <v>0</v>
      </c>
      <c r="F248" s="21">
        <f>IF(F241="",0,INDEX(Input_Range,MATCH((C189&amp;B248),Input_Call,0),MATCH(F241,Input_Header,0)))</f>
        <v>0</v>
      </c>
      <c r="G248" s="21">
        <f>IF(G241="",0,INDEX(Input_Range,MATCH((C189&amp;B248),Input_Call,0),MATCH(G241,Input_Header,0)))</f>
        <v>0</v>
      </c>
      <c r="H248" s="21">
        <f>IF(H241="",0,INDEX(Input_Range,MATCH((C189&amp;B248),Input_Call,0),MATCH(H241,Input_Header,0)))</f>
        <v>0</v>
      </c>
      <c r="I248" s="21">
        <f>IF(I241="",0,INDEX(Input_Range,MATCH((C189&amp;B248),Input_Call,0),MATCH(I241,Input_Header,0)))</f>
        <v>0</v>
      </c>
      <c r="J248" s="21">
        <f>IF(J241="",0,INDEX(Input_Range,MATCH((C189&amp;B248),Input_Call,0),MATCH(J241,Input_Header,0)))</f>
        <v>0</v>
      </c>
      <c r="K248" s="21">
        <f>IF(K241="",0,INDEX(Input_Range,MATCH((C189&amp;B248),Input_Call,0),MATCH(K241,Input_Header,0)))</f>
        <v>0</v>
      </c>
      <c r="L248" s="21">
        <f>IF(L241="",0,INDEX(Input_Range,MATCH((C189&amp;B248),Input_Call,0),MATCH(L241,Input_Header,0)))</f>
        <v>0</v>
      </c>
      <c r="M248" s="21">
        <f>IF(M241="",0,INDEX(Input_Range,MATCH((C189&amp;B248),Input_Call,0),MATCH(M241,Input_Header,0)))</f>
        <v>0</v>
      </c>
      <c r="N248" s="21">
        <f>IF(N241="",0,INDEX(Input_Range,MATCH((C189&amp;B248),Input_Call,0),MATCH(N241,Input_Header,0)))</f>
        <v>0</v>
      </c>
      <c r="O248" s="21">
        <f>IF(O241="",0,INDEX(Input_Range,MATCH((C189&amp;B248),Input_Call,0),MATCH(O241,Input_Header,0)))</f>
        <v>0</v>
      </c>
      <c r="P248" s="21">
        <f>IF(P241="",0,INDEX(Input_Range,MATCH((C189&amp;B248),Input_Call,0),MATCH(P241,Input_Header,0)))</f>
        <v>0</v>
      </c>
      <c r="Q248" s="21">
        <f>IF(Q241="",0,INDEX(Input_Range,MATCH((C189&amp;B248),Input_Call,0),MATCH(Q241,Input_Header,0)))</f>
        <v>0</v>
      </c>
      <c r="R248" s="698">
        <f t="shared" si="272"/>
        <v>0</v>
      </c>
      <c r="T248" s="699" t="e">
        <f t="shared" si="273"/>
        <v>#N/A</v>
      </c>
      <c r="U248" s="699" t="e">
        <f t="shared" si="274"/>
        <v>#N/A</v>
      </c>
      <c r="V248" s="699" t="e">
        <f t="shared" si="275"/>
        <v>#N/A</v>
      </c>
      <c r="W248" s="699" t="e">
        <f t="shared" si="276"/>
        <v>#N/A</v>
      </c>
      <c r="X248" s="699" t="e">
        <f t="shared" si="277"/>
        <v>#N/A</v>
      </c>
      <c r="Y248" s="699" t="e">
        <f t="shared" si="278"/>
        <v>#N/A</v>
      </c>
      <c r="Z248" s="699" t="e">
        <f t="shared" si="279"/>
        <v>#N/A</v>
      </c>
      <c r="AA248" s="699" t="e">
        <f t="shared" si="280"/>
        <v>#N/A</v>
      </c>
      <c r="AB248" s="699" t="e">
        <f t="shared" si="281"/>
        <v>#N/A</v>
      </c>
      <c r="AC248" s="699" t="e">
        <f t="shared" si="282"/>
        <v>#N/A</v>
      </c>
      <c r="AD248" s="699" t="e">
        <f t="shared" si="283"/>
        <v>#N/A</v>
      </c>
      <c r="AE248" s="699" t="e">
        <f t="shared" si="284"/>
        <v>#N/A</v>
      </c>
      <c r="AF248" s="699" t="e">
        <f t="shared" si="285"/>
        <v>#N/A</v>
      </c>
      <c r="AG248" s="699" t="e">
        <f t="shared" si="286"/>
        <v>#N/A</v>
      </c>
      <c r="AI248" s="698" t="e">
        <f t="shared" si="269"/>
        <v>#N/A</v>
      </c>
      <c r="AJ248" s="21"/>
      <c r="AK248" s="21"/>
      <c r="AL248" s="4" t="str">
        <f>$A248&amp;$C189&amp;InputSheet!C$47&amp;InputSheet!D$47</f>
        <v>0ESDTBD2Contr/Govt</v>
      </c>
      <c r="AM248" s="700" t="e">
        <f t="shared" si="270"/>
        <v>#N/A</v>
      </c>
      <c r="AP248" s="387" t="e">
        <f t="shared" si="198"/>
        <v>#N/A</v>
      </c>
    </row>
    <row r="249" spans="1:42" outlineLevel="1">
      <c r="A249" s="6">
        <f t="shared" si="271"/>
        <v>0</v>
      </c>
      <c r="B249" s="6" t="str">
        <f t="shared" si="267"/>
        <v>TBD3</v>
      </c>
      <c r="E249" s="21">
        <f>IF(E241="",0,INDEX(Input_Range,MATCH((C189&amp;B249),Input_Call,0),MATCH(E241,Input_Header,0)))</f>
        <v>0</v>
      </c>
      <c r="F249" s="21">
        <f>IF(F241="",0,INDEX(Input_Range,MATCH((C189&amp;B249),Input_Call,0),MATCH(F241,Input_Header,0)))</f>
        <v>0</v>
      </c>
      <c r="G249" s="21">
        <f>IF(G241="",0,INDEX(Input_Range,MATCH((C189&amp;B249),Input_Call,0),MATCH(G241,Input_Header,0)))</f>
        <v>0</v>
      </c>
      <c r="H249" s="21">
        <f>IF(H241="",0,INDEX(Input_Range,MATCH((C189&amp;B249),Input_Call,0),MATCH(H241,Input_Header,0)))</f>
        <v>0</v>
      </c>
      <c r="I249" s="21">
        <f>IF(I241="",0,INDEX(Input_Range,MATCH((C189&amp;B249),Input_Call,0),MATCH(I241,Input_Header,0)))</f>
        <v>0</v>
      </c>
      <c r="J249" s="21">
        <f>IF(J241="",0,INDEX(Input_Range,MATCH((C189&amp;B249),Input_Call,0),MATCH(J241,Input_Header,0)))</f>
        <v>0</v>
      </c>
      <c r="K249" s="21">
        <f>IF(K241="",0,INDEX(Input_Range,MATCH((C189&amp;B249),Input_Call,0),MATCH(K241,Input_Header,0)))</f>
        <v>0</v>
      </c>
      <c r="L249" s="21">
        <f>IF(L241="",0,INDEX(Input_Range,MATCH((C189&amp;B249),Input_Call,0),MATCH(L241,Input_Header,0)))</f>
        <v>0</v>
      </c>
      <c r="M249" s="21">
        <f>IF(M241="",0,INDEX(Input_Range,MATCH((C189&amp;B249),Input_Call,0),MATCH(M241,Input_Header,0)))</f>
        <v>0</v>
      </c>
      <c r="N249" s="21">
        <f>IF(N241="",0,INDEX(Input_Range,MATCH((C189&amp;B249),Input_Call,0),MATCH(N241,Input_Header,0)))</f>
        <v>0</v>
      </c>
      <c r="O249" s="21">
        <f>IF(O241="",0,INDEX(Input_Range,MATCH((C189&amp;B249),Input_Call,0),MATCH(O241,Input_Header,0)))</f>
        <v>0</v>
      </c>
      <c r="P249" s="21">
        <f>IF(P241="",0,INDEX(Input_Range,MATCH((C189&amp;B249),Input_Call,0),MATCH(P241,Input_Header,0)))</f>
        <v>0</v>
      </c>
      <c r="Q249" s="21">
        <f>IF(Q241="",0,INDEX(Input_Range,MATCH((C189&amp;B249),Input_Call,0),MATCH(Q241,Input_Header,0)))</f>
        <v>0</v>
      </c>
      <c r="R249" s="698">
        <f t="shared" si="272"/>
        <v>0</v>
      </c>
      <c r="T249" s="699" t="e">
        <f t="shared" si="273"/>
        <v>#N/A</v>
      </c>
      <c r="U249" s="699" t="e">
        <f t="shared" si="274"/>
        <v>#N/A</v>
      </c>
      <c r="V249" s="699" t="e">
        <f t="shared" si="275"/>
        <v>#N/A</v>
      </c>
      <c r="W249" s="699" t="e">
        <f t="shared" si="276"/>
        <v>#N/A</v>
      </c>
      <c r="X249" s="699" t="e">
        <f t="shared" si="277"/>
        <v>#N/A</v>
      </c>
      <c r="Y249" s="699" t="e">
        <f t="shared" si="278"/>
        <v>#N/A</v>
      </c>
      <c r="Z249" s="699" t="e">
        <f t="shared" si="279"/>
        <v>#N/A</v>
      </c>
      <c r="AA249" s="699" t="e">
        <f t="shared" si="280"/>
        <v>#N/A</v>
      </c>
      <c r="AB249" s="699" t="e">
        <f t="shared" si="281"/>
        <v>#N/A</v>
      </c>
      <c r="AC249" s="699" t="e">
        <f t="shared" si="282"/>
        <v>#N/A</v>
      </c>
      <c r="AD249" s="699" t="e">
        <f t="shared" si="283"/>
        <v>#N/A</v>
      </c>
      <c r="AE249" s="699" t="e">
        <f t="shared" si="284"/>
        <v>#N/A</v>
      </c>
      <c r="AF249" s="699" t="e">
        <f t="shared" si="285"/>
        <v>#N/A</v>
      </c>
      <c r="AG249" s="699" t="e">
        <f t="shared" si="286"/>
        <v>#N/A</v>
      </c>
      <c r="AI249" s="698" t="e">
        <f t="shared" si="269"/>
        <v>#N/A</v>
      </c>
      <c r="AJ249" s="21"/>
      <c r="AK249" s="21"/>
      <c r="AL249" s="4" t="str">
        <f>$A249&amp;$C189&amp;InputSheet!C$48&amp;InputSheet!D$48</f>
        <v>0ESDTBD3Contr/Govt</v>
      </c>
      <c r="AM249" s="700" t="e">
        <f t="shared" si="270"/>
        <v>#N/A</v>
      </c>
      <c r="AP249" s="387" t="e">
        <f t="shared" si="198"/>
        <v>#N/A</v>
      </c>
    </row>
    <row r="250" spans="1:42">
      <c r="E250" s="698"/>
      <c r="F250" s="698"/>
      <c r="G250" s="698"/>
      <c r="H250" s="698"/>
      <c r="I250" s="698"/>
      <c r="J250" s="698"/>
      <c r="K250" s="698"/>
      <c r="L250" s="698"/>
      <c r="M250" s="698"/>
      <c r="N250" s="698"/>
      <c r="O250" s="698"/>
      <c r="P250" s="698"/>
      <c r="Q250" s="698"/>
      <c r="R250" s="698"/>
      <c r="AI250" s="21"/>
      <c r="AJ250" s="21"/>
      <c r="AK250" s="21"/>
      <c r="AP250" s="387" t="str">
        <f t="shared" si="198"/>
        <v>1</v>
      </c>
    </row>
    <row r="251" spans="1:42">
      <c r="A251" s="530" t="str">
        <f>B251</f>
        <v>Option Year 5</v>
      </c>
      <c r="B251" s="691" t="str">
        <f>InputSheet!$C$27</f>
        <v>Option Year 5</v>
      </c>
      <c r="C251" s="28"/>
      <c r="AP251" s="387" t="str">
        <f t="shared" si="198"/>
        <v>1</v>
      </c>
    </row>
    <row r="252" spans="1:42">
      <c r="B252" s="314" t="s">
        <v>587</v>
      </c>
      <c r="C252" s="692" t="s">
        <v>588</v>
      </c>
      <c r="E252" s="1216" t="str">
        <f>"Indirect Rates - "&amp;C$189</f>
        <v>Indirect Rates - ESD</v>
      </c>
      <c r="F252" s="1216"/>
      <c r="G252" s="1216"/>
      <c r="H252" s="1216"/>
      <c r="I252" s="1216"/>
      <c r="J252" s="1216"/>
      <c r="K252" s="1216"/>
      <c r="L252" s="1216"/>
      <c r="M252" s="1216"/>
      <c r="N252" s="1216"/>
      <c r="O252" s="1216"/>
      <c r="P252" s="1216"/>
      <c r="Q252" s="1216"/>
      <c r="R252" s="1216"/>
      <c r="S252" s="844"/>
      <c r="T252" s="1217" t="s">
        <v>794</v>
      </c>
      <c r="U252" s="1217"/>
      <c r="V252" s="1217"/>
      <c r="W252" s="1217"/>
      <c r="X252" s="1217"/>
      <c r="Y252" s="1217"/>
      <c r="Z252" s="1217"/>
      <c r="AA252" s="1217"/>
      <c r="AB252" s="1217"/>
      <c r="AC252" s="1217"/>
      <c r="AD252" s="1217"/>
      <c r="AE252" s="1217"/>
      <c r="AF252" s="1217"/>
      <c r="AG252" s="1217"/>
      <c r="AI252" s="692" t="s">
        <v>615</v>
      </c>
      <c r="AJ252" s="50"/>
      <c r="AK252" s="50"/>
      <c r="AP252" s="387" t="str">
        <f t="shared" si="198"/>
        <v>1</v>
      </c>
    </row>
    <row r="253" spans="1:42">
      <c r="B253" s="693">
        <f>VLOOKUP(A251,InputSheet!$C$8:$E$37,2,FALSE)</f>
        <v>1</v>
      </c>
      <c r="C253" s="694">
        <f>VLOOKUP(A251,InputSheet!$C$8:$E$37,3,FALSE)</f>
        <v>365</v>
      </c>
      <c r="E253" s="695">
        <f t="shared" ref="E253:R253" si="287">E241</f>
        <v>2009</v>
      </c>
      <c r="F253" s="695">
        <f t="shared" si="287"/>
        <v>2010</v>
      </c>
      <c r="G253" s="695">
        <f t="shared" si="287"/>
        <v>2011</v>
      </c>
      <c r="H253" s="695">
        <f t="shared" si="287"/>
        <v>2012</v>
      </c>
      <c r="I253" s="695">
        <f t="shared" si="287"/>
        <v>2013</v>
      </c>
      <c r="J253" s="695">
        <f t="shared" si="287"/>
        <v>2014</v>
      </c>
      <c r="K253" s="695">
        <f t="shared" si="287"/>
        <v>2015</v>
      </c>
      <c r="L253" s="695">
        <f t="shared" si="287"/>
        <v>2016</v>
      </c>
      <c r="M253" s="695">
        <f t="shared" si="287"/>
        <v>2017</v>
      </c>
      <c r="N253" s="695">
        <f t="shared" si="287"/>
        <v>2018</v>
      </c>
      <c r="O253" s="695">
        <f t="shared" si="287"/>
        <v>2019</v>
      </c>
      <c r="P253" s="695">
        <f t="shared" si="287"/>
        <v>2020</v>
      </c>
      <c r="Q253" s="695">
        <f t="shared" si="287"/>
        <v>2021</v>
      </c>
      <c r="R253" s="695">
        <f t="shared" si="287"/>
        <v>2022</v>
      </c>
      <c r="S253" s="680"/>
      <c r="T253" s="695">
        <f t="shared" ref="T253:AG253" si="288">T241</f>
        <v>2009</v>
      </c>
      <c r="U253" s="695">
        <f t="shared" si="288"/>
        <v>2010</v>
      </c>
      <c r="V253" s="695">
        <f t="shared" si="288"/>
        <v>2011</v>
      </c>
      <c r="W253" s="695">
        <f t="shared" si="288"/>
        <v>2012</v>
      </c>
      <c r="X253" s="695">
        <f t="shared" si="288"/>
        <v>2013</v>
      </c>
      <c r="Y253" s="695">
        <f t="shared" si="288"/>
        <v>2014</v>
      </c>
      <c r="Z253" s="695">
        <f t="shared" si="288"/>
        <v>2015</v>
      </c>
      <c r="AA253" s="695">
        <f t="shared" si="288"/>
        <v>2016</v>
      </c>
      <c r="AB253" s="695">
        <f t="shared" si="288"/>
        <v>2017</v>
      </c>
      <c r="AC253" s="695">
        <f t="shared" si="288"/>
        <v>2018</v>
      </c>
      <c r="AD253" s="695">
        <f t="shared" si="288"/>
        <v>2019</v>
      </c>
      <c r="AE253" s="695">
        <f t="shared" si="288"/>
        <v>2020</v>
      </c>
      <c r="AF253" s="695">
        <f t="shared" si="288"/>
        <v>2021</v>
      </c>
      <c r="AG253" s="695">
        <f t="shared" si="288"/>
        <v>2022</v>
      </c>
      <c r="AI253" s="696" t="str">
        <f>B251</f>
        <v>Option Year 5</v>
      </c>
      <c r="AJ253" s="28"/>
      <c r="AK253" s="28"/>
      <c r="AP253" s="387" t="str">
        <f t="shared" si="198"/>
        <v>1</v>
      </c>
    </row>
    <row r="254" spans="1:42">
      <c r="A254" s="6" t="str">
        <f>A251</f>
        <v>Option Year 5</v>
      </c>
      <c r="B254" s="6" t="str">
        <f t="shared" ref="B254:B261" si="289">B242</f>
        <v>PRB</v>
      </c>
      <c r="E254" s="698">
        <f>IF(E253="",0,INDEX(Input_Range,MATCH((C189&amp;B254),Input_Call,0),MATCH(E253,Input_Header,0)))</f>
        <v>0</v>
      </c>
      <c r="F254" s="698">
        <f>IF(F253="",0,INDEX(Input_Range,MATCH((C189&amp;B254),Input_Call,0),MATCH(F253,Input_Header,0)))</f>
        <v>0</v>
      </c>
      <c r="G254" s="698">
        <f>IF(G253="",0,INDEX(Input_Range,MATCH((C189&amp;B254),Input_Call,0),MATCH(G253,Input_Header,0)))</f>
        <v>0</v>
      </c>
      <c r="H254" s="698">
        <f>IF(H253="",0,INDEX(Input_Range,MATCH((C189&amp;B254),Input_Call,0),MATCH(H253,Input_Header,0)))</f>
        <v>0</v>
      </c>
      <c r="I254" s="698">
        <f>IF(I253="",0,INDEX(Input_Range,MATCH((C189&amp;B254),Input_Call,0),MATCH(I253,Input_Header,0)))</f>
        <v>0</v>
      </c>
      <c r="J254" s="698">
        <f>IF(J253="",0,INDEX(Input_Range,MATCH((C189&amp;B254),Input_Call,0),MATCH(J253,Input_Header,0)))</f>
        <v>0</v>
      </c>
      <c r="K254" s="698">
        <f>IF(K253="",0,INDEX(Input_Range,MATCH((C189&amp;B254),Input_Call,0),MATCH(K253,Input_Header,0)))</f>
        <v>0</v>
      </c>
      <c r="L254" s="698">
        <f>IF(L253="",0,INDEX(Input_Range,MATCH((C189&amp;B254),Input_Call,0),MATCH(L253,Input_Header,0)))</f>
        <v>0</v>
      </c>
      <c r="M254" s="698">
        <f>IF(M253="",0,INDEX(Input_Range,MATCH((C189&amp;B254),Input_Call,0),MATCH(M253,Input_Header,0)))</f>
        <v>0</v>
      </c>
      <c r="N254" s="698">
        <f>IF(N253="",0,INDEX(Input_Range,MATCH((C189&amp;B254),Input_Call,0),MATCH(N253,Input_Header,0)))</f>
        <v>0</v>
      </c>
      <c r="O254" s="698">
        <f>IF(O253="",0,INDEX(Input_Range,MATCH((C189&amp;B254),Input_Call,0),MATCH(O253,Input_Header,0)))</f>
        <v>0</v>
      </c>
      <c r="P254" s="698">
        <f>IF(P253="",0,INDEX(Input_Range,MATCH((C189&amp;B254),Input_Call,0),MATCH(P253,Input_Header,0)))</f>
        <v>0</v>
      </c>
      <c r="Q254" s="698">
        <f>IF(Q253="",0,INDEX(Input_Range,MATCH((C189&amp;B254),Input_Call,0),MATCH(Q253,Input_Header,0)))</f>
        <v>0</v>
      </c>
      <c r="R254" s="698">
        <f>Q254</f>
        <v>0</v>
      </c>
      <c r="T254" s="699">
        <f t="shared" ref="T254:AG254" si="290">ROUND((MAX(0,(MIN($C253,DATE(T253,12,31))-MAX($B253,DATE(T253,1,1))+1)))/30.41667,0)</f>
        <v>0</v>
      </c>
      <c r="U254" s="699">
        <f t="shared" si="290"/>
        <v>0</v>
      </c>
      <c r="V254" s="699">
        <f t="shared" si="290"/>
        <v>0</v>
      </c>
      <c r="W254" s="699">
        <f t="shared" si="290"/>
        <v>0</v>
      </c>
      <c r="X254" s="699">
        <f t="shared" si="290"/>
        <v>0</v>
      </c>
      <c r="Y254" s="699">
        <f t="shared" si="290"/>
        <v>0</v>
      </c>
      <c r="Z254" s="699">
        <f t="shared" si="290"/>
        <v>0</v>
      </c>
      <c r="AA254" s="699">
        <f t="shared" si="290"/>
        <v>0</v>
      </c>
      <c r="AB254" s="699">
        <f t="shared" si="290"/>
        <v>0</v>
      </c>
      <c r="AC254" s="699">
        <f t="shared" si="290"/>
        <v>0</v>
      </c>
      <c r="AD254" s="699">
        <f t="shared" si="290"/>
        <v>0</v>
      </c>
      <c r="AE254" s="699">
        <f t="shared" si="290"/>
        <v>0</v>
      </c>
      <c r="AF254" s="699">
        <f t="shared" si="290"/>
        <v>0</v>
      </c>
      <c r="AG254" s="699">
        <f t="shared" si="290"/>
        <v>0</v>
      </c>
      <c r="AI254" s="698" t="e">
        <f t="shared" ref="AI254:AI261" si="291">ROUND(SUMPRODUCT(E254:R254,T254:AG254)/SUM(T254:AG254),4)</f>
        <v>#DIV/0!</v>
      </c>
      <c r="AJ254" s="698"/>
      <c r="AK254" s="698"/>
      <c r="AL254" s="4" t="str">
        <f>$A254&amp;$C189&amp;InputSheet!C$41&amp;InputSheet!D$41</f>
        <v>Option Year 5ESDPRBContr/Govt</v>
      </c>
      <c r="AM254" s="700" t="e">
        <f t="shared" ref="AM254:AM261" si="292">AI254</f>
        <v>#DIV/0!</v>
      </c>
      <c r="AP254" s="387" t="e">
        <f t="shared" si="198"/>
        <v>#DIV/0!</v>
      </c>
    </row>
    <row r="255" spans="1:42">
      <c r="A255" s="6" t="str">
        <f t="shared" ref="A255:A261" si="293">A254</f>
        <v>Option Year 5</v>
      </c>
      <c r="B255" s="6" t="str">
        <f t="shared" si="289"/>
        <v>Overhead - Offsite</v>
      </c>
      <c r="E255" s="698">
        <f>IF(E253="",0,INDEX(Input_Range,MATCH((C189&amp;B255),Input_Call,0),MATCH(E253,Input_Header,0)))</f>
        <v>0</v>
      </c>
      <c r="F255" s="698">
        <f>IF(F253="",0,INDEX(Input_Range,MATCH((C189&amp;B255),Input_Call,0),MATCH(F253,Input_Header,0)))</f>
        <v>0</v>
      </c>
      <c r="G255" s="698">
        <f>IF(G253="",0,INDEX(Input_Range,MATCH((C189&amp;B255),Input_Call,0),MATCH(G253,Input_Header,0)))</f>
        <v>0</v>
      </c>
      <c r="H255" s="698">
        <f>IF(H253="",0,INDEX(Input_Range,MATCH((C189&amp;B255),Input_Call,0),MATCH(H253,Input_Header,0)))</f>
        <v>0</v>
      </c>
      <c r="I255" s="698">
        <f>IF(I253="",0,INDEX(Input_Range,MATCH((C189&amp;B255),Input_Call,0),MATCH(I253,Input_Header,0)))</f>
        <v>0</v>
      </c>
      <c r="J255" s="698">
        <f>IF(J253="",0,INDEX(Input_Range,MATCH((C189&amp;B255),Input_Call,0),MATCH(J253,Input_Header,0)))</f>
        <v>0</v>
      </c>
      <c r="K255" s="698">
        <f>IF(K253="",0,INDEX(Input_Range,MATCH((C189&amp;B255),Input_Call,0),MATCH(K253,Input_Header,0)))</f>
        <v>0</v>
      </c>
      <c r="L255" s="698">
        <f>IF(L253="",0,INDEX(Input_Range,MATCH((C189&amp;B255),Input_Call,0),MATCH(L253,Input_Header,0)))</f>
        <v>0</v>
      </c>
      <c r="M255" s="698">
        <f>IF(M253="",0,INDEX(Input_Range,MATCH((C189&amp;B255),Input_Call,0),MATCH(M253,Input_Header,0)))</f>
        <v>0</v>
      </c>
      <c r="N255" s="698">
        <f>IF(N253="",0,INDEX(Input_Range,MATCH((C189&amp;B255),Input_Call,0),MATCH(N253,Input_Header,0)))</f>
        <v>0</v>
      </c>
      <c r="O255" s="698">
        <f>IF(O253="",0,INDEX(Input_Range,MATCH((C189&amp;B255),Input_Call,0),MATCH(O253,Input_Header,0)))</f>
        <v>0</v>
      </c>
      <c r="P255" s="698">
        <f>IF(P253="",0,INDEX(Input_Range,MATCH((C189&amp;B255),Input_Call,0),MATCH(P253,Input_Header,0)))</f>
        <v>0</v>
      </c>
      <c r="Q255" s="698">
        <f>IF(Q253="",0,INDEX(Input_Range,MATCH((C189&amp;B255),Input_Call,0),MATCH(Q253,Input_Header,0)))</f>
        <v>0</v>
      </c>
      <c r="R255" s="698">
        <f t="shared" ref="R255:R261" si="294">Q255</f>
        <v>0</v>
      </c>
      <c r="T255" s="699">
        <f t="shared" ref="T255:T261" si="295">T254</f>
        <v>0</v>
      </c>
      <c r="U255" s="699">
        <f t="shared" ref="U255:U261" si="296">U254</f>
        <v>0</v>
      </c>
      <c r="V255" s="699">
        <f t="shared" ref="V255:V261" si="297">V254</f>
        <v>0</v>
      </c>
      <c r="W255" s="699">
        <f t="shared" ref="W255:W261" si="298">W254</f>
        <v>0</v>
      </c>
      <c r="X255" s="699">
        <f t="shared" ref="X255:X261" si="299">X254</f>
        <v>0</v>
      </c>
      <c r="Y255" s="699">
        <f t="shared" ref="Y255:Y261" si="300">Y254</f>
        <v>0</v>
      </c>
      <c r="Z255" s="699">
        <f t="shared" ref="Z255:Z261" si="301">Z254</f>
        <v>0</v>
      </c>
      <c r="AA255" s="699">
        <f t="shared" ref="AA255:AA261" si="302">AA254</f>
        <v>0</v>
      </c>
      <c r="AB255" s="699">
        <f t="shared" ref="AB255:AB261" si="303">AB254</f>
        <v>0</v>
      </c>
      <c r="AC255" s="699">
        <f t="shared" ref="AC255:AC261" si="304">AC254</f>
        <v>0</v>
      </c>
      <c r="AD255" s="699">
        <f t="shared" ref="AD255:AD261" si="305">AD254</f>
        <v>0</v>
      </c>
      <c r="AE255" s="699">
        <f t="shared" ref="AE255:AE261" si="306">AE254</f>
        <v>0</v>
      </c>
      <c r="AF255" s="699">
        <f t="shared" ref="AF255:AF261" si="307">AF254</f>
        <v>0</v>
      </c>
      <c r="AG255" s="699">
        <f t="shared" ref="AG255:AG261" si="308">AG254</f>
        <v>0</v>
      </c>
      <c r="AI255" s="698" t="e">
        <f t="shared" si="291"/>
        <v>#DIV/0!</v>
      </c>
      <c r="AJ255" s="698"/>
      <c r="AK255" s="698"/>
      <c r="AL255" s="4" t="str">
        <f>$A255&amp;$C189&amp;InputSheet!C$42&amp;InputSheet!D$42</f>
        <v>Option Year 5ESDOverheadContr</v>
      </c>
      <c r="AM255" s="700" t="e">
        <f t="shared" si="292"/>
        <v>#DIV/0!</v>
      </c>
      <c r="AP255" s="387" t="e">
        <f t="shared" si="198"/>
        <v>#DIV/0!</v>
      </c>
    </row>
    <row r="256" spans="1:42">
      <c r="A256" s="6" t="str">
        <f t="shared" si="293"/>
        <v>Option Year 5</v>
      </c>
      <c r="B256" s="6" t="str">
        <f t="shared" si="289"/>
        <v>Overhead - Onsite</v>
      </c>
      <c r="E256" s="698">
        <f>IF(E253="",0,INDEX(Input_Range,MATCH((C189&amp;B256),Input_Call,0),MATCH(E253,Input_Header,0)))</f>
        <v>0</v>
      </c>
      <c r="F256" s="698">
        <f>IF(F253="",0,INDEX(Input_Range,MATCH((C189&amp;B256),Input_Call,0),MATCH(F253,Input_Header,0)))</f>
        <v>0</v>
      </c>
      <c r="G256" s="698">
        <f>IF(G253="",0,INDEX(Input_Range,MATCH((C189&amp;B256),Input_Call,0),MATCH(G253,Input_Header,0)))</f>
        <v>0</v>
      </c>
      <c r="H256" s="698">
        <f>IF(H253="",0,INDEX(Input_Range,MATCH((C189&amp;B256),Input_Call,0),MATCH(H253,Input_Header,0)))</f>
        <v>0</v>
      </c>
      <c r="I256" s="698">
        <f>IF(I253="",0,INDEX(Input_Range,MATCH((C189&amp;B256),Input_Call,0),MATCH(I253,Input_Header,0)))</f>
        <v>0</v>
      </c>
      <c r="J256" s="698">
        <f>IF(J253="",0,INDEX(Input_Range,MATCH((C189&amp;B256),Input_Call,0),MATCH(J253,Input_Header,0)))</f>
        <v>0</v>
      </c>
      <c r="K256" s="698">
        <f>IF(K253="",0,INDEX(Input_Range,MATCH((C189&amp;B256),Input_Call,0),MATCH(K253,Input_Header,0)))</f>
        <v>0</v>
      </c>
      <c r="L256" s="698">
        <f>IF(L253="",0,INDEX(Input_Range,MATCH((C189&amp;B256),Input_Call,0),MATCH(L253,Input_Header,0)))</f>
        <v>0</v>
      </c>
      <c r="M256" s="698">
        <f>IF(M253="",0,INDEX(Input_Range,MATCH((C189&amp;B256),Input_Call,0),MATCH(M253,Input_Header,0)))</f>
        <v>0</v>
      </c>
      <c r="N256" s="698">
        <f>IF(N253="",0,INDEX(Input_Range,MATCH((C189&amp;B256),Input_Call,0),MATCH(N253,Input_Header,0)))</f>
        <v>0</v>
      </c>
      <c r="O256" s="698">
        <f>IF(O253="",0,INDEX(Input_Range,MATCH((C189&amp;B256),Input_Call,0),MATCH(O253,Input_Header,0)))</f>
        <v>0</v>
      </c>
      <c r="P256" s="698">
        <f>IF(P253="",0,INDEX(Input_Range,MATCH((C189&amp;B256),Input_Call,0),MATCH(P253,Input_Header,0)))</f>
        <v>0</v>
      </c>
      <c r="Q256" s="698">
        <f>IF(Q253="",0,INDEX(Input_Range,MATCH((C189&amp;B256),Input_Call,0),MATCH(Q253,Input_Header,0)))</f>
        <v>0</v>
      </c>
      <c r="R256" s="698">
        <f t="shared" si="294"/>
        <v>0</v>
      </c>
      <c r="T256" s="699">
        <f t="shared" si="295"/>
        <v>0</v>
      </c>
      <c r="U256" s="699">
        <f t="shared" si="296"/>
        <v>0</v>
      </c>
      <c r="V256" s="699">
        <f t="shared" si="297"/>
        <v>0</v>
      </c>
      <c r="W256" s="699">
        <f t="shared" si="298"/>
        <v>0</v>
      </c>
      <c r="X256" s="699">
        <f t="shared" si="299"/>
        <v>0</v>
      </c>
      <c r="Y256" s="699">
        <f t="shared" si="300"/>
        <v>0</v>
      </c>
      <c r="Z256" s="699">
        <f t="shared" si="301"/>
        <v>0</v>
      </c>
      <c r="AA256" s="699">
        <f t="shared" si="302"/>
        <v>0</v>
      </c>
      <c r="AB256" s="699">
        <f t="shared" si="303"/>
        <v>0</v>
      </c>
      <c r="AC256" s="699">
        <f t="shared" si="304"/>
        <v>0</v>
      </c>
      <c r="AD256" s="699">
        <f t="shared" si="305"/>
        <v>0</v>
      </c>
      <c r="AE256" s="699">
        <f t="shared" si="306"/>
        <v>0</v>
      </c>
      <c r="AF256" s="699">
        <f t="shared" si="307"/>
        <v>0</v>
      </c>
      <c r="AG256" s="699">
        <f t="shared" si="308"/>
        <v>0</v>
      </c>
      <c r="AI256" s="698" t="e">
        <f t="shared" si="291"/>
        <v>#DIV/0!</v>
      </c>
      <c r="AJ256" s="698"/>
      <c r="AK256" s="698"/>
      <c r="AL256" s="4" t="str">
        <f>$A256&amp;$C189&amp;InputSheet!C$43&amp;InputSheet!D$43</f>
        <v>Option Year 5ESDOverheadGovt</v>
      </c>
      <c r="AM256" s="700" t="e">
        <f t="shared" si="292"/>
        <v>#DIV/0!</v>
      </c>
      <c r="AP256" s="387" t="e">
        <f t="shared" si="198"/>
        <v>#DIV/0!</v>
      </c>
    </row>
    <row r="257" spans="1:42">
      <c r="A257" s="6" t="str">
        <f t="shared" si="293"/>
        <v>Option Year 5</v>
      </c>
      <c r="B257" s="6" t="str">
        <f t="shared" si="289"/>
        <v>Material Handling</v>
      </c>
      <c r="E257" s="698">
        <f>IF(E253="",0,INDEX(Input_Range,MATCH((C189&amp;B257),Input_Call,0),MATCH(E253,Input_Header,0)))</f>
        <v>0</v>
      </c>
      <c r="F257" s="698">
        <f>IF(F253="",0,INDEX(Input_Range,MATCH((C189&amp;B257),Input_Call,0),MATCH(F253,Input_Header,0)))</f>
        <v>0</v>
      </c>
      <c r="G257" s="698">
        <f>IF(G253="",0,INDEX(Input_Range,MATCH((C189&amp;B257),Input_Call,0),MATCH(G253,Input_Header,0)))</f>
        <v>0</v>
      </c>
      <c r="H257" s="698">
        <f>IF(H253="",0,INDEX(Input_Range,MATCH((C189&amp;B257),Input_Call,0),MATCH(H253,Input_Header,0)))</f>
        <v>0</v>
      </c>
      <c r="I257" s="698">
        <f>IF(I253="",0,INDEX(Input_Range,MATCH((C189&amp;B257),Input_Call,0),MATCH(I253,Input_Header,0)))</f>
        <v>0</v>
      </c>
      <c r="J257" s="698">
        <f>IF(J253="",0,INDEX(Input_Range,MATCH((C189&amp;B257),Input_Call,0),MATCH(J253,Input_Header,0)))</f>
        <v>0</v>
      </c>
      <c r="K257" s="698">
        <f>IF(K253="",0,INDEX(Input_Range,MATCH((C189&amp;B257),Input_Call,0),MATCH(K253,Input_Header,0)))</f>
        <v>0</v>
      </c>
      <c r="L257" s="698">
        <f>IF(L253="",0,INDEX(Input_Range,MATCH((C189&amp;B257),Input_Call,0),MATCH(L253,Input_Header,0)))</f>
        <v>0</v>
      </c>
      <c r="M257" s="698">
        <f>IF(M253="",0,INDEX(Input_Range,MATCH((C189&amp;B257),Input_Call,0),MATCH(M253,Input_Header,0)))</f>
        <v>0</v>
      </c>
      <c r="N257" s="698">
        <f>IF(N253="",0,INDEX(Input_Range,MATCH((C189&amp;B257),Input_Call,0),MATCH(N253,Input_Header,0)))</f>
        <v>0</v>
      </c>
      <c r="O257" s="698">
        <f>IF(O253="",0,INDEX(Input_Range,MATCH((C189&amp;B257),Input_Call,0),MATCH(O253,Input_Header,0)))</f>
        <v>0</v>
      </c>
      <c r="P257" s="698">
        <f>IF(P253="",0,INDEX(Input_Range,MATCH((C189&amp;B257),Input_Call,0),MATCH(P253,Input_Header,0)))</f>
        <v>0</v>
      </c>
      <c r="Q257" s="698">
        <f>IF(Q253="",0,INDEX(Input_Range,MATCH((C189&amp;B257),Input_Call,0),MATCH(Q253,Input_Header,0)))</f>
        <v>0</v>
      </c>
      <c r="R257" s="698">
        <f t="shared" si="294"/>
        <v>0</v>
      </c>
      <c r="T257" s="699">
        <f t="shared" si="295"/>
        <v>0</v>
      </c>
      <c r="U257" s="699">
        <f t="shared" si="296"/>
        <v>0</v>
      </c>
      <c r="V257" s="699">
        <f t="shared" si="297"/>
        <v>0</v>
      </c>
      <c r="W257" s="699">
        <f t="shared" si="298"/>
        <v>0</v>
      </c>
      <c r="X257" s="699">
        <f t="shared" si="299"/>
        <v>0</v>
      </c>
      <c r="Y257" s="699">
        <f t="shared" si="300"/>
        <v>0</v>
      </c>
      <c r="Z257" s="699">
        <f t="shared" si="301"/>
        <v>0</v>
      </c>
      <c r="AA257" s="699">
        <f t="shared" si="302"/>
        <v>0</v>
      </c>
      <c r="AB257" s="699">
        <f t="shared" si="303"/>
        <v>0</v>
      </c>
      <c r="AC257" s="699">
        <f t="shared" si="304"/>
        <v>0</v>
      </c>
      <c r="AD257" s="699">
        <f t="shared" si="305"/>
        <v>0</v>
      </c>
      <c r="AE257" s="699">
        <f t="shared" si="306"/>
        <v>0</v>
      </c>
      <c r="AF257" s="699">
        <f t="shared" si="307"/>
        <v>0</v>
      </c>
      <c r="AG257" s="699">
        <f t="shared" si="308"/>
        <v>0</v>
      </c>
      <c r="AI257" s="698" t="e">
        <f t="shared" si="291"/>
        <v>#DIV/0!</v>
      </c>
      <c r="AJ257" s="698"/>
      <c r="AK257" s="698"/>
      <c r="AL257" s="4" t="str">
        <f>$A257&amp;$C189&amp;InputSheet!C$44&amp;InputSheet!D$44</f>
        <v>Option Year 5ESDMHContr/Govt</v>
      </c>
      <c r="AM257" s="700" t="e">
        <f t="shared" si="292"/>
        <v>#DIV/0!</v>
      </c>
      <c r="AP257" s="387" t="e">
        <f t="shared" si="198"/>
        <v>#DIV/0!</v>
      </c>
    </row>
    <row r="258" spans="1:42">
      <c r="A258" s="6" t="str">
        <f t="shared" si="293"/>
        <v>Option Year 5</v>
      </c>
      <c r="B258" s="6" t="str">
        <f t="shared" si="289"/>
        <v>G&amp;A</v>
      </c>
      <c r="E258" s="698">
        <f>IF(E253="",0,INDEX(Input_Range,MATCH((C189&amp;B258),Input_Call,0),MATCH(E253,Input_Header,0)))</f>
        <v>0</v>
      </c>
      <c r="F258" s="698">
        <f>IF(F253="",0,INDEX(Input_Range,MATCH((C189&amp;B258),Input_Call,0),MATCH(F253,Input_Header,0)))</f>
        <v>0</v>
      </c>
      <c r="G258" s="698">
        <f>IF(G253="",0,INDEX(Input_Range,MATCH((C189&amp;B258),Input_Call,0),MATCH(G253,Input_Header,0)))</f>
        <v>0</v>
      </c>
      <c r="H258" s="698">
        <f>IF(H253="",0,INDEX(Input_Range,MATCH((C189&amp;B258),Input_Call,0),MATCH(H253,Input_Header,0)))</f>
        <v>0</v>
      </c>
      <c r="I258" s="698">
        <f>IF(I253="",0,INDEX(Input_Range,MATCH((C189&amp;B258),Input_Call,0),MATCH(I253,Input_Header,0)))</f>
        <v>0</v>
      </c>
      <c r="J258" s="698">
        <f>IF(J253="",0,INDEX(Input_Range,MATCH((C189&amp;B258),Input_Call,0),MATCH(J253,Input_Header,0)))</f>
        <v>0</v>
      </c>
      <c r="K258" s="698">
        <f>IF(K253="",0,INDEX(Input_Range,MATCH((C189&amp;B258),Input_Call,0),MATCH(K253,Input_Header,0)))</f>
        <v>0</v>
      </c>
      <c r="L258" s="698">
        <f>IF(L253="",0,INDEX(Input_Range,MATCH((C189&amp;B258),Input_Call,0),MATCH(L253,Input_Header,0)))</f>
        <v>0</v>
      </c>
      <c r="M258" s="698">
        <f>IF(M253="",0,INDEX(Input_Range,MATCH((C189&amp;B258),Input_Call,0),MATCH(M253,Input_Header,0)))</f>
        <v>0</v>
      </c>
      <c r="N258" s="698">
        <f>IF(N253="",0,INDEX(Input_Range,MATCH((C189&amp;B258),Input_Call,0),MATCH(N253,Input_Header,0)))</f>
        <v>0</v>
      </c>
      <c r="O258" s="698">
        <f>IF(O253="",0,INDEX(Input_Range,MATCH((C189&amp;B258),Input_Call,0),MATCH(O253,Input_Header,0)))</f>
        <v>0</v>
      </c>
      <c r="P258" s="698">
        <f>IF(P253="",0,INDEX(Input_Range,MATCH((C189&amp;B258),Input_Call,0),MATCH(P253,Input_Header,0)))</f>
        <v>0</v>
      </c>
      <c r="Q258" s="698">
        <f>IF(Q253="",0,INDEX(Input_Range,MATCH((C189&amp;B258),Input_Call,0),MATCH(Q253,Input_Header,0)))</f>
        <v>0</v>
      </c>
      <c r="R258" s="698">
        <f t="shared" si="294"/>
        <v>0</v>
      </c>
      <c r="T258" s="699">
        <f t="shared" si="295"/>
        <v>0</v>
      </c>
      <c r="U258" s="699">
        <f t="shared" si="296"/>
        <v>0</v>
      </c>
      <c r="V258" s="699">
        <f t="shared" si="297"/>
        <v>0</v>
      </c>
      <c r="W258" s="699">
        <f t="shared" si="298"/>
        <v>0</v>
      </c>
      <c r="X258" s="699">
        <f t="shared" si="299"/>
        <v>0</v>
      </c>
      <c r="Y258" s="699">
        <f t="shared" si="300"/>
        <v>0</v>
      </c>
      <c r="Z258" s="699">
        <f t="shared" si="301"/>
        <v>0</v>
      </c>
      <c r="AA258" s="699">
        <f t="shared" si="302"/>
        <v>0</v>
      </c>
      <c r="AB258" s="699">
        <f t="shared" si="303"/>
        <v>0</v>
      </c>
      <c r="AC258" s="699">
        <f t="shared" si="304"/>
        <v>0</v>
      </c>
      <c r="AD258" s="699">
        <f t="shared" si="305"/>
        <v>0</v>
      </c>
      <c r="AE258" s="699">
        <f t="shared" si="306"/>
        <v>0</v>
      </c>
      <c r="AF258" s="699">
        <f t="shared" si="307"/>
        <v>0</v>
      </c>
      <c r="AG258" s="699">
        <f t="shared" si="308"/>
        <v>0</v>
      </c>
      <c r="AI258" s="698" t="e">
        <f t="shared" si="291"/>
        <v>#DIV/0!</v>
      </c>
      <c r="AJ258" s="698"/>
      <c r="AK258" s="698"/>
      <c r="AL258" s="4" t="str">
        <f>$A258&amp;$C189&amp;InputSheet!C$45&amp;InputSheet!D$45</f>
        <v>Option Year 5ESDG&amp;AContr/Govt</v>
      </c>
      <c r="AM258" s="700" t="e">
        <f t="shared" si="292"/>
        <v>#DIV/0!</v>
      </c>
      <c r="AP258" s="387" t="e">
        <f t="shared" si="198"/>
        <v>#DIV/0!</v>
      </c>
    </row>
    <row r="259" spans="1:42" outlineLevel="1">
      <c r="A259" s="6" t="str">
        <f t="shared" si="293"/>
        <v>Option Year 5</v>
      </c>
      <c r="B259" s="6" t="str">
        <f t="shared" si="289"/>
        <v>TBD1</v>
      </c>
      <c r="E259" s="21">
        <f>IF(E253="",0,INDEX(Input_Range,MATCH((C189&amp;B259),Input_Call,0),MATCH(E253,Input_Header,0)))</f>
        <v>0</v>
      </c>
      <c r="F259" s="21">
        <f>IF(F253="",0,INDEX(Input_Range,MATCH((C189&amp;B259),Input_Call,0),MATCH(F253,Input_Header,0)))</f>
        <v>0</v>
      </c>
      <c r="G259" s="21">
        <f>IF(G253="",0,INDEX(Input_Range,MATCH((C189&amp;B259),Input_Call,0),MATCH(G253,Input_Header,0)))</f>
        <v>0</v>
      </c>
      <c r="H259" s="21">
        <f>IF(H253="",0,INDEX(Input_Range,MATCH((C189&amp;B259),Input_Call,0),MATCH(H253,Input_Header,0)))</f>
        <v>0</v>
      </c>
      <c r="I259" s="21">
        <f>IF(I253="",0,INDEX(Input_Range,MATCH((C189&amp;B259),Input_Call,0),MATCH(I253,Input_Header,0)))</f>
        <v>0</v>
      </c>
      <c r="J259" s="21">
        <f>IF(J253="",0,INDEX(Input_Range,MATCH((C189&amp;B259),Input_Call,0),MATCH(J253,Input_Header,0)))</f>
        <v>0</v>
      </c>
      <c r="K259" s="21">
        <f>IF(K253="",0,INDEX(Input_Range,MATCH((C189&amp;B259),Input_Call,0),MATCH(K253,Input_Header,0)))</f>
        <v>0</v>
      </c>
      <c r="L259" s="21">
        <f>IF(L253="",0,INDEX(Input_Range,MATCH((C189&amp;B259),Input_Call,0),MATCH(L253,Input_Header,0)))</f>
        <v>0</v>
      </c>
      <c r="M259" s="21">
        <f>IF(M253="",0,INDEX(Input_Range,MATCH((C189&amp;B259),Input_Call,0),MATCH(M253,Input_Header,0)))</f>
        <v>0</v>
      </c>
      <c r="N259" s="21">
        <f>IF(N253="",0,INDEX(Input_Range,MATCH((C189&amp;B259),Input_Call,0),MATCH(N253,Input_Header,0)))</f>
        <v>0</v>
      </c>
      <c r="O259" s="21">
        <f>IF(O253="",0,INDEX(Input_Range,MATCH((C189&amp;B259),Input_Call,0),MATCH(O253,Input_Header,0)))</f>
        <v>0</v>
      </c>
      <c r="P259" s="21">
        <f>IF(P253="",0,INDEX(Input_Range,MATCH((C189&amp;B259),Input_Call,0),MATCH(P253,Input_Header,0)))</f>
        <v>0</v>
      </c>
      <c r="Q259" s="21">
        <f>IF(Q253="",0,INDEX(Input_Range,MATCH((C189&amp;B259),Input_Call,0),MATCH(Q253,Input_Header,0)))</f>
        <v>0</v>
      </c>
      <c r="R259" s="698">
        <f t="shared" si="294"/>
        <v>0</v>
      </c>
      <c r="T259" s="699">
        <f t="shared" si="295"/>
        <v>0</v>
      </c>
      <c r="U259" s="699">
        <f t="shared" si="296"/>
        <v>0</v>
      </c>
      <c r="V259" s="699">
        <f t="shared" si="297"/>
        <v>0</v>
      </c>
      <c r="W259" s="699">
        <f t="shared" si="298"/>
        <v>0</v>
      </c>
      <c r="X259" s="699">
        <f t="shared" si="299"/>
        <v>0</v>
      </c>
      <c r="Y259" s="699">
        <f t="shared" si="300"/>
        <v>0</v>
      </c>
      <c r="Z259" s="699">
        <f t="shared" si="301"/>
        <v>0</v>
      </c>
      <c r="AA259" s="699">
        <f t="shared" si="302"/>
        <v>0</v>
      </c>
      <c r="AB259" s="699">
        <f t="shared" si="303"/>
        <v>0</v>
      </c>
      <c r="AC259" s="699">
        <f t="shared" si="304"/>
        <v>0</v>
      </c>
      <c r="AD259" s="699">
        <f t="shared" si="305"/>
        <v>0</v>
      </c>
      <c r="AE259" s="699">
        <f t="shared" si="306"/>
        <v>0</v>
      </c>
      <c r="AF259" s="699">
        <f t="shared" si="307"/>
        <v>0</v>
      </c>
      <c r="AG259" s="699">
        <f t="shared" si="308"/>
        <v>0</v>
      </c>
      <c r="AI259" s="698" t="e">
        <f t="shared" si="291"/>
        <v>#DIV/0!</v>
      </c>
      <c r="AJ259" s="21"/>
      <c r="AK259" s="21"/>
      <c r="AL259" s="4" t="str">
        <f>$A259&amp;$C189&amp;InputSheet!C$46&amp;InputSheet!D$46</f>
        <v>Option Year 5ESDTBD1Contr/Govt</v>
      </c>
      <c r="AM259" s="700" t="e">
        <f t="shared" si="292"/>
        <v>#DIV/0!</v>
      </c>
      <c r="AP259" s="387" t="e">
        <f t="shared" si="198"/>
        <v>#DIV/0!</v>
      </c>
    </row>
    <row r="260" spans="1:42" outlineLevel="1">
      <c r="A260" s="6" t="str">
        <f t="shared" si="293"/>
        <v>Option Year 5</v>
      </c>
      <c r="B260" s="6" t="str">
        <f t="shared" si="289"/>
        <v>TBD2</v>
      </c>
      <c r="E260" s="21">
        <f>IF(E253="",0,INDEX(Input_Range,MATCH((C189&amp;B260),Input_Call,0),MATCH(E253,Input_Header,0)))</f>
        <v>0</v>
      </c>
      <c r="F260" s="21">
        <f>IF(F253="",0,INDEX(Input_Range,MATCH((C189&amp;B260),Input_Call,0),MATCH(F253,Input_Header,0)))</f>
        <v>0</v>
      </c>
      <c r="G260" s="21">
        <f>IF(G253="",0,INDEX(Input_Range,MATCH((C189&amp;B260),Input_Call,0),MATCH(G253,Input_Header,0)))</f>
        <v>0</v>
      </c>
      <c r="H260" s="21">
        <f>IF(H253="",0,INDEX(Input_Range,MATCH((C189&amp;B260),Input_Call,0),MATCH(H253,Input_Header,0)))</f>
        <v>0</v>
      </c>
      <c r="I260" s="21">
        <f>IF(I253="",0,INDEX(Input_Range,MATCH((C189&amp;B260),Input_Call,0),MATCH(I253,Input_Header,0)))</f>
        <v>0</v>
      </c>
      <c r="J260" s="21">
        <f>IF(J253="",0,INDEX(Input_Range,MATCH((C189&amp;B260),Input_Call,0),MATCH(J253,Input_Header,0)))</f>
        <v>0</v>
      </c>
      <c r="K260" s="21">
        <f>IF(K253="",0,INDEX(Input_Range,MATCH((C189&amp;B260),Input_Call,0),MATCH(K253,Input_Header,0)))</f>
        <v>0</v>
      </c>
      <c r="L260" s="21">
        <f>IF(L253="",0,INDEX(Input_Range,MATCH((C189&amp;B260),Input_Call,0),MATCH(L253,Input_Header,0)))</f>
        <v>0</v>
      </c>
      <c r="M260" s="21">
        <f>IF(M253="",0,INDEX(Input_Range,MATCH((C189&amp;B260),Input_Call,0),MATCH(M253,Input_Header,0)))</f>
        <v>0</v>
      </c>
      <c r="N260" s="21">
        <f>IF(N253="",0,INDEX(Input_Range,MATCH((C189&amp;B260),Input_Call,0),MATCH(N253,Input_Header,0)))</f>
        <v>0</v>
      </c>
      <c r="O260" s="21">
        <f>IF(O253="",0,INDEX(Input_Range,MATCH((C189&amp;B260),Input_Call,0),MATCH(O253,Input_Header,0)))</f>
        <v>0</v>
      </c>
      <c r="P260" s="21">
        <f>IF(P253="",0,INDEX(Input_Range,MATCH((C189&amp;B260),Input_Call,0),MATCH(P253,Input_Header,0)))</f>
        <v>0</v>
      </c>
      <c r="Q260" s="21">
        <f>IF(Q253="",0,INDEX(Input_Range,MATCH((C189&amp;B260),Input_Call,0),MATCH(Q253,Input_Header,0)))</f>
        <v>0</v>
      </c>
      <c r="R260" s="698">
        <f t="shared" si="294"/>
        <v>0</v>
      </c>
      <c r="T260" s="699">
        <f t="shared" si="295"/>
        <v>0</v>
      </c>
      <c r="U260" s="699">
        <f t="shared" si="296"/>
        <v>0</v>
      </c>
      <c r="V260" s="699">
        <f t="shared" si="297"/>
        <v>0</v>
      </c>
      <c r="W260" s="699">
        <f t="shared" si="298"/>
        <v>0</v>
      </c>
      <c r="X260" s="699">
        <f t="shared" si="299"/>
        <v>0</v>
      </c>
      <c r="Y260" s="699">
        <f t="shared" si="300"/>
        <v>0</v>
      </c>
      <c r="Z260" s="699">
        <f t="shared" si="301"/>
        <v>0</v>
      </c>
      <c r="AA260" s="699">
        <f t="shared" si="302"/>
        <v>0</v>
      </c>
      <c r="AB260" s="699">
        <f t="shared" si="303"/>
        <v>0</v>
      </c>
      <c r="AC260" s="699">
        <f t="shared" si="304"/>
        <v>0</v>
      </c>
      <c r="AD260" s="699">
        <f t="shared" si="305"/>
        <v>0</v>
      </c>
      <c r="AE260" s="699">
        <f t="shared" si="306"/>
        <v>0</v>
      </c>
      <c r="AF260" s="699">
        <f t="shared" si="307"/>
        <v>0</v>
      </c>
      <c r="AG260" s="699">
        <f t="shared" si="308"/>
        <v>0</v>
      </c>
      <c r="AI260" s="698" t="e">
        <f t="shared" si="291"/>
        <v>#DIV/0!</v>
      </c>
      <c r="AJ260" s="21"/>
      <c r="AK260" s="21"/>
      <c r="AL260" s="4" t="str">
        <f>$A260&amp;$C189&amp;InputSheet!C$47&amp;InputSheet!D$47</f>
        <v>Option Year 5ESDTBD2Contr/Govt</v>
      </c>
      <c r="AM260" s="700" t="e">
        <f t="shared" si="292"/>
        <v>#DIV/0!</v>
      </c>
      <c r="AP260" s="387" t="e">
        <f t="shared" si="198"/>
        <v>#DIV/0!</v>
      </c>
    </row>
    <row r="261" spans="1:42" outlineLevel="1">
      <c r="A261" s="6" t="str">
        <f t="shared" si="293"/>
        <v>Option Year 5</v>
      </c>
      <c r="B261" s="6" t="str">
        <f t="shared" si="289"/>
        <v>TBD3</v>
      </c>
      <c r="E261" s="21">
        <f>IF(E253="",0,INDEX(Input_Range,MATCH((C189&amp;B261),Input_Call,0),MATCH(E253,Input_Header,0)))</f>
        <v>0</v>
      </c>
      <c r="F261" s="21">
        <f>IF(F253="",0,INDEX(Input_Range,MATCH((C189&amp;B261),Input_Call,0),MATCH(F253,Input_Header,0)))</f>
        <v>0</v>
      </c>
      <c r="G261" s="21">
        <f>IF(G253="",0,INDEX(Input_Range,MATCH((C189&amp;B261),Input_Call,0),MATCH(G253,Input_Header,0)))</f>
        <v>0</v>
      </c>
      <c r="H261" s="21">
        <f>IF(H253="",0,INDEX(Input_Range,MATCH((C189&amp;B261),Input_Call,0),MATCH(H253,Input_Header,0)))</f>
        <v>0</v>
      </c>
      <c r="I261" s="21">
        <f>IF(I253="",0,INDEX(Input_Range,MATCH((C189&amp;B261),Input_Call,0),MATCH(I253,Input_Header,0)))</f>
        <v>0</v>
      </c>
      <c r="J261" s="21">
        <f>IF(J253="",0,INDEX(Input_Range,MATCH((C189&amp;B261),Input_Call,0),MATCH(J253,Input_Header,0)))</f>
        <v>0</v>
      </c>
      <c r="K261" s="21">
        <f>IF(K253="",0,INDEX(Input_Range,MATCH((C189&amp;B261),Input_Call,0),MATCH(K253,Input_Header,0)))</f>
        <v>0</v>
      </c>
      <c r="L261" s="21">
        <f>IF(L253="",0,INDEX(Input_Range,MATCH((C189&amp;B261),Input_Call,0),MATCH(L253,Input_Header,0)))</f>
        <v>0</v>
      </c>
      <c r="M261" s="21">
        <f>IF(M253="",0,INDEX(Input_Range,MATCH((C189&amp;B261),Input_Call,0),MATCH(M253,Input_Header,0)))</f>
        <v>0</v>
      </c>
      <c r="N261" s="21">
        <f>IF(N253="",0,INDEX(Input_Range,MATCH((C189&amp;B261),Input_Call,0),MATCH(N253,Input_Header,0)))</f>
        <v>0</v>
      </c>
      <c r="O261" s="21">
        <f>IF(O253="",0,INDEX(Input_Range,MATCH((C189&amp;B261),Input_Call,0),MATCH(O253,Input_Header,0)))</f>
        <v>0</v>
      </c>
      <c r="P261" s="21">
        <f>IF(P253="",0,INDEX(Input_Range,MATCH((C189&amp;B261),Input_Call,0),MATCH(P253,Input_Header,0)))</f>
        <v>0</v>
      </c>
      <c r="Q261" s="21">
        <f>IF(Q253="",0,INDEX(Input_Range,MATCH((C189&amp;B261),Input_Call,0),MATCH(Q253,Input_Header,0)))</f>
        <v>0</v>
      </c>
      <c r="R261" s="698">
        <f t="shared" si="294"/>
        <v>0</v>
      </c>
      <c r="T261" s="699">
        <f t="shared" si="295"/>
        <v>0</v>
      </c>
      <c r="U261" s="699">
        <f t="shared" si="296"/>
        <v>0</v>
      </c>
      <c r="V261" s="699">
        <f t="shared" si="297"/>
        <v>0</v>
      </c>
      <c r="W261" s="699">
        <f t="shared" si="298"/>
        <v>0</v>
      </c>
      <c r="X261" s="699">
        <f t="shared" si="299"/>
        <v>0</v>
      </c>
      <c r="Y261" s="699">
        <f t="shared" si="300"/>
        <v>0</v>
      </c>
      <c r="Z261" s="699">
        <f t="shared" si="301"/>
        <v>0</v>
      </c>
      <c r="AA261" s="699">
        <f t="shared" si="302"/>
        <v>0</v>
      </c>
      <c r="AB261" s="699">
        <f t="shared" si="303"/>
        <v>0</v>
      </c>
      <c r="AC261" s="699">
        <f t="shared" si="304"/>
        <v>0</v>
      </c>
      <c r="AD261" s="699">
        <f t="shared" si="305"/>
        <v>0</v>
      </c>
      <c r="AE261" s="699">
        <f t="shared" si="306"/>
        <v>0</v>
      </c>
      <c r="AF261" s="699">
        <f t="shared" si="307"/>
        <v>0</v>
      </c>
      <c r="AG261" s="699">
        <f t="shared" si="308"/>
        <v>0</v>
      </c>
      <c r="AI261" s="698" t="e">
        <f t="shared" si="291"/>
        <v>#DIV/0!</v>
      </c>
      <c r="AJ261" s="21"/>
      <c r="AK261" s="21"/>
      <c r="AL261" s="4" t="str">
        <f>$A261&amp;$C189&amp;InputSheet!C$48&amp;InputSheet!D$48</f>
        <v>Option Year 5ESDTBD3Contr/Govt</v>
      </c>
      <c r="AM261" s="700" t="e">
        <f t="shared" si="292"/>
        <v>#DIV/0!</v>
      </c>
      <c r="AP261" s="387" t="e">
        <f t="shared" si="198"/>
        <v>#DIV/0!</v>
      </c>
    </row>
    <row r="262" spans="1:42">
      <c r="E262" s="698"/>
      <c r="F262" s="698"/>
      <c r="G262" s="698"/>
      <c r="H262" s="698"/>
      <c r="I262" s="698"/>
      <c r="J262" s="698"/>
      <c r="K262" s="698"/>
      <c r="L262" s="698"/>
      <c r="M262" s="698"/>
      <c r="N262" s="698"/>
      <c r="O262" s="698"/>
      <c r="P262" s="698"/>
      <c r="Q262" s="698"/>
      <c r="R262" s="698"/>
      <c r="AI262" s="21"/>
      <c r="AJ262" s="21"/>
      <c r="AK262" s="21"/>
      <c r="AP262" s="387" t="str">
        <f t="shared" si="198"/>
        <v>1</v>
      </c>
    </row>
    <row r="263" spans="1:42">
      <c r="A263" s="530" t="str">
        <f>B263</f>
        <v>Option Year 6</v>
      </c>
      <c r="B263" s="691" t="str">
        <f>InputSheet!$C$28</f>
        <v>Option Year 6</v>
      </c>
      <c r="E263" s="698"/>
      <c r="F263" s="698"/>
      <c r="G263" s="698"/>
      <c r="H263" s="698"/>
      <c r="I263" s="698"/>
      <c r="J263" s="698"/>
      <c r="K263" s="698"/>
      <c r="L263" s="698"/>
      <c r="M263" s="698"/>
      <c r="N263" s="698"/>
      <c r="O263" s="698"/>
      <c r="P263" s="698"/>
      <c r="Q263" s="698"/>
      <c r="R263" s="698"/>
      <c r="AP263" s="387" t="str">
        <f t="shared" si="198"/>
        <v>1</v>
      </c>
    </row>
    <row r="264" spans="1:42">
      <c r="B264" s="314" t="s">
        <v>587</v>
      </c>
      <c r="C264" s="692" t="s">
        <v>588</v>
      </c>
      <c r="E264" s="1216" t="str">
        <f>"Indirect Rates - "&amp;C$189</f>
        <v>Indirect Rates - ESD</v>
      </c>
      <c r="F264" s="1216"/>
      <c r="G264" s="1216"/>
      <c r="H264" s="1216"/>
      <c r="I264" s="1216"/>
      <c r="J264" s="1216"/>
      <c r="K264" s="1216"/>
      <c r="L264" s="1216"/>
      <c r="M264" s="1216"/>
      <c r="N264" s="1216"/>
      <c r="O264" s="1216"/>
      <c r="P264" s="1216"/>
      <c r="Q264" s="1216"/>
      <c r="R264" s="1216"/>
      <c r="S264" s="844"/>
      <c r="T264" s="1217" t="s">
        <v>794</v>
      </c>
      <c r="U264" s="1217"/>
      <c r="V264" s="1217"/>
      <c r="W264" s="1217"/>
      <c r="X264" s="1217"/>
      <c r="Y264" s="1217"/>
      <c r="Z264" s="1217"/>
      <c r="AA264" s="1217"/>
      <c r="AB264" s="1217"/>
      <c r="AC264" s="1217"/>
      <c r="AD264" s="1217"/>
      <c r="AE264" s="1217"/>
      <c r="AF264" s="1217"/>
      <c r="AG264" s="1217"/>
      <c r="AI264" s="692" t="s">
        <v>615</v>
      </c>
      <c r="AJ264" s="50"/>
      <c r="AK264" s="50"/>
      <c r="AP264" s="387" t="str">
        <f t="shared" si="198"/>
        <v>1</v>
      </c>
    </row>
    <row r="265" spans="1:42">
      <c r="B265" s="693">
        <f>VLOOKUP(A263,InputSheet!$C$8:$E$37,2,FALSE)</f>
        <v>366</v>
      </c>
      <c r="C265" s="694">
        <f>VLOOKUP(A263,InputSheet!$C$8:$E$37,3,FALSE)</f>
        <v>730</v>
      </c>
      <c r="E265" s="695">
        <f t="shared" ref="E265:R265" si="309">E253</f>
        <v>2009</v>
      </c>
      <c r="F265" s="695">
        <f t="shared" si="309"/>
        <v>2010</v>
      </c>
      <c r="G265" s="695">
        <f t="shared" si="309"/>
        <v>2011</v>
      </c>
      <c r="H265" s="695">
        <f t="shared" si="309"/>
        <v>2012</v>
      </c>
      <c r="I265" s="695">
        <f t="shared" si="309"/>
        <v>2013</v>
      </c>
      <c r="J265" s="695">
        <f t="shared" si="309"/>
        <v>2014</v>
      </c>
      <c r="K265" s="695">
        <f t="shared" si="309"/>
        <v>2015</v>
      </c>
      <c r="L265" s="695">
        <f t="shared" si="309"/>
        <v>2016</v>
      </c>
      <c r="M265" s="695">
        <f t="shared" si="309"/>
        <v>2017</v>
      </c>
      <c r="N265" s="695">
        <f t="shared" si="309"/>
        <v>2018</v>
      </c>
      <c r="O265" s="695">
        <f t="shared" si="309"/>
        <v>2019</v>
      </c>
      <c r="P265" s="695">
        <f t="shared" si="309"/>
        <v>2020</v>
      </c>
      <c r="Q265" s="695">
        <f t="shared" si="309"/>
        <v>2021</v>
      </c>
      <c r="R265" s="695">
        <f t="shared" si="309"/>
        <v>2022</v>
      </c>
      <c r="S265" s="680"/>
      <c r="T265" s="695">
        <f t="shared" ref="T265:AG265" si="310">T253</f>
        <v>2009</v>
      </c>
      <c r="U265" s="695">
        <f t="shared" si="310"/>
        <v>2010</v>
      </c>
      <c r="V265" s="695">
        <f t="shared" si="310"/>
        <v>2011</v>
      </c>
      <c r="W265" s="695">
        <f t="shared" si="310"/>
        <v>2012</v>
      </c>
      <c r="X265" s="695">
        <f t="shared" si="310"/>
        <v>2013</v>
      </c>
      <c r="Y265" s="695">
        <f t="shared" si="310"/>
        <v>2014</v>
      </c>
      <c r="Z265" s="695">
        <f t="shared" si="310"/>
        <v>2015</v>
      </c>
      <c r="AA265" s="695">
        <f t="shared" si="310"/>
        <v>2016</v>
      </c>
      <c r="AB265" s="695">
        <f t="shared" si="310"/>
        <v>2017</v>
      </c>
      <c r="AC265" s="695">
        <f t="shared" si="310"/>
        <v>2018</v>
      </c>
      <c r="AD265" s="695">
        <f t="shared" si="310"/>
        <v>2019</v>
      </c>
      <c r="AE265" s="695">
        <f t="shared" si="310"/>
        <v>2020</v>
      </c>
      <c r="AF265" s="695">
        <f t="shared" si="310"/>
        <v>2021</v>
      </c>
      <c r="AG265" s="695">
        <f t="shared" si="310"/>
        <v>2022</v>
      </c>
      <c r="AI265" s="696" t="str">
        <f>B263</f>
        <v>Option Year 6</v>
      </c>
      <c r="AJ265" s="28"/>
      <c r="AK265" s="28"/>
      <c r="AP265" s="387" t="str">
        <f t="shared" si="198"/>
        <v>1</v>
      </c>
    </row>
    <row r="266" spans="1:42">
      <c r="A266" s="6" t="str">
        <f>A263</f>
        <v>Option Year 6</v>
      </c>
      <c r="B266" s="6" t="str">
        <f t="shared" ref="B266:B273" si="311">B254</f>
        <v>PRB</v>
      </c>
      <c r="E266" s="698">
        <f>IF(E265="",0,INDEX(Input_Range,MATCH((C189&amp;B266),Input_Call,0),MATCH(E265,Input_Header,0)))</f>
        <v>0</v>
      </c>
      <c r="F266" s="698">
        <f>IF(F265="",0,INDEX(Input_Range,MATCH((C189&amp;B266),Input_Call,0),MATCH(F265,Input_Header,0)))</f>
        <v>0</v>
      </c>
      <c r="G266" s="698">
        <f>IF(G265="",0,INDEX(Input_Range,MATCH((C189&amp;B266),Input_Call,0),MATCH(G265,Input_Header,0)))</f>
        <v>0</v>
      </c>
      <c r="H266" s="698">
        <f>IF(H265="",0,INDEX(Input_Range,MATCH((C189&amp;B266),Input_Call,0),MATCH(H265,Input_Header,0)))</f>
        <v>0</v>
      </c>
      <c r="I266" s="698">
        <f>IF(I265="",0,INDEX(Input_Range,MATCH((C189&amp;B266),Input_Call,0),MATCH(I265,Input_Header,0)))</f>
        <v>0</v>
      </c>
      <c r="J266" s="698">
        <f>IF(J265="",0,INDEX(Input_Range,MATCH((C189&amp;B266),Input_Call,0),MATCH(J265,Input_Header,0)))</f>
        <v>0</v>
      </c>
      <c r="K266" s="698">
        <f>IF(K265="",0,INDEX(Input_Range,MATCH((C189&amp;B266),Input_Call,0),MATCH(K265,Input_Header,0)))</f>
        <v>0</v>
      </c>
      <c r="L266" s="698">
        <f>IF(L265="",0,INDEX(Input_Range,MATCH((C189&amp;B266),Input_Call,0),MATCH(L265,Input_Header,0)))</f>
        <v>0</v>
      </c>
      <c r="M266" s="698">
        <f>IF(M265="",0,INDEX(Input_Range,MATCH((C189&amp;B266),Input_Call,0),MATCH(M265,Input_Header,0)))</f>
        <v>0</v>
      </c>
      <c r="N266" s="698">
        <f>IF(N265="",0,INDEX(Input_Range,MATCH((C189&amp;B266),Input_Call,0),MATCH(N265,Input_Header,0)))</f>
        <v>0</v>
      </c>
      <c r="O266" s="698">
        <f>IF(O265="",0,INDEX(Input_Range,MATCH((C189&amp;B266),Input_Call,0),MATCH(O265,Input_Header,0)))</f>
        <v>0</v>
      </c>
      <c r="P266" s="698">
        <f>IF(P265="",0,INDEX(Input_Range,MATCH((C189&amp;B266),Input_Call,0),MATCH(P265,Input_Header,0)))</f>
        <v>0</v>
      </c>
      <c r="Q266" s="698">
        <f>IF(Q265="",0,INDEX(Input_Range,MATCH((C189&amp;B266),Input_Call,0),MATCH(Q265,Input_Header,0)))</f>
        <v>0</v>
      </c>
      <c r="R266" s="698">
        <f>Q266</f>
        <v>0</v>
      </c>
      <c r="T266" s="699">
        <f t="shared" ref="T266:AG266" si="312">ROUND((MAX(0,(MIN($C265,DATE(T265,12,31))-MAX($B265,DATE(T265,1,1))+1)))/30.41667,0)</f>
        <v>0</v>
      </c>
      <c r="U266" s="699">
        <f t="shared" si="312"/>
        <v>0</v>
      </c>
      <c r="V266" s="699">
        <f t="shared" si="312"/>
        <v>0</v>
      </c>
      <c r="W266" s="699">
        <f t="shared" si="312"/>
        <v>0</v>
      </c>
      <c r="X266" s="699">
        <f t="shared" si="312"/>
        <v>0</v>
      </c>
      <c r="Y266" s="699">
        <f t="shared" si="312"/>
        <v>0</v>
      </c>
      <c r="Z266" s="699">
        <f t="shared" si="312"/>
        <v>0</v>
      </c>
      <c r="AA266" s="699">
        <f t="shared" si="312"/>
        <v>0</v>
      </c>
      <c r="AB266" s="699">
        <f t="shared" si="312"/>
        <v>0</v>
      </c>
      <c r="AC266" s="699">
        <f t="shared" si="312"/>
        <v>0</v>
      </c>
      <c r="AD266" s="699">
        <f t="shared" si="312"/>
        <v>0</v>
      </c>
      <c r="AE266" s="699">
        <f t="shared" si="312"/>
        <v>0</v>
      </c>
      <c r="AF266" s="699">
        <f t="shared" si="312"/>
        <v>0</v>
      </c>
      <c r="AG266" s="699">
        <f t="shared" si="312"/>
        <v>0</v>
      </c>
      <c r="AI266" s="698" t="e">
        <f t="shared" ref="AI266:AI273" si="313">ROUND(SUMPRODUCT(E266:R266,T266:AG266)/SUM(T266:AG266),4)</f>
        <v>#DIV/0!</v>
      </c>
      <c r="AJ266" s="698"/>
      <c r="AK266" s="698"/>
      <c r="AL266" s="4" t="str">
        <f>$A266&amp;$C189&amp;InputSheet!C$41&amp;InputSheet!D$41</f>
        <v>Option Year 6ESDPRBContr/Govt</v>
      </c>
      <c r="AM266" s="700" t="e">
        <f t="shared" ref="AM266:AM273" si="314">AI266</f>
        <v>#DIV/0!</v>
      </c>
      <c r="AP266" s="387" t="e">
        <f t="shared" si="198"/>
        <v>#DIV/0!</v>
      </c>
    </row>
    <row r="267" spans="1:42">
      <c r="A267" s="6" t="str">
        <f t="shared" ref="A267:A273" si="315">A266</f>
        <v>Option Year 6</v>
      </c>
      <c r="B267" s="6" t="str">
        <f t="shared" si="311"/>
        <v>Overhead - Offsite</v>
      </c>
      <c r="E267" s="698">
        <f>IF(E265="",0,INDEX(Input_Range,MATCH((C189&amp;B267),Input_Call,0),MATCH(E265,Input_Header,0)))</f>
        <v>0</v>
      </c>
      <c r="F267" s="698">
        <f>IF(F265="",0,INDEX(Input_Range,MATCH((C189&amp;B267),Input_Call,0),MATCH(F265,Input_Header,0)))</f>
        <v>0</v>
      </c>
      <c r="G267" s="698">
        <f>IF(G265="",0,INDEX(Input_Range,MATCH((C189&amp;B267),Input_Call,0),MATCH(G265,Input_Header,0)))</f>
        <v>0</v>
      </c>
      <c r="H267" s="698">
        <f>IF(H265="",0,INDEX(Input_Range,MATCH((C189&amp;B267),Input_Call,0),MATCH(H265,Input_Header,0)))</f>
        <v>0</v>
      </c>
      <c r="I267" s="698">
        <f>IF(I265="",0,INDEX(Input_Range,MATCH((C189&amp;B267),Input_Call,0),MATCH(I265,Input_Header,0)))</f>
        <v>0</v>
      </c>
      <c r="J267" s="698">
        <f>IF(J265="",0,INDEX(Input_Range,MATCH((C189&amp;B267),Input_Call,0),MATCH(J265,Input_Header,0)))</f>
        <v>0</v>
      </c>
      <c r="K267" s="698">
        <f>IF(K265="",0,INDEX(Input_Range,MATCH((C189&amp;B267),Input_Call,0),MATCH(K265,Input_Header,0)))</f>
        <v>0</v>
      </c>
      <c r="L267" s="698">
        <f>IF(L265="",0,INDEX(Input_Range,MATCH((C189&amp;B267),Input_Call,0),MATCH(L265,Input_Header,0)))</f>
        <v>0</v>
      </c>
      <c r="M267" s="698">
        <f>IF(M265="",0,INDEX(Input_Range,MATCH((C189&amp;B267),Input_Call,0),MATCH(M265,Input_Header,0)))</f>
        <v>0</v>
      </c>
      <c r="N267" s="698">
        <f>IF(N265="",0,INDEX(Input_Range,MATCH((C189&amp;B267),Input_Call,0),MATCH(N265,Input_Header,0)))</f>
        <v>0</v>
      </c>
      <c r="O267" s="698">
        <f>IF(O265="",0,INDEX(Input_Range,MATCH((C189&amp;B267),Input_Call,0),MATCH(O265,Input_Header,0)))</f>
        <v>0</v>
      </c>
      <c r="P267" s="698">
        <f>IF(P265="",0,INDEX(Input_Range,MATCH((C189&amp;B267),Input_Call,0),MATCH(P265,Input_Header,0)))</f>
        <v>0</v>
      </c>
      <c r="Q267" s="698">
        <f>IF(Q265="",0,INDEX(Input_Range,MATCH((C189&amp;B267),Input_Call,0),MATCH(Q265,Input_Header,0)))</f>
        <v>0</v>
      </c>
      <c r="R267" s="698">
        <f t="shared" ref="R267:R273" si="316">Q267</f>
        <v>0</v>
      </c>
      <c r="T267" s="699">
        <f t="shared" ref="T267:T273" si="317">T266</f>
        <v>0</v>
      </c>
      <c r="U267" s="699">
        <f t="shared" ref="U267:U273" si="318">U266</f>
        <v>0</v>
      </c>
      <c r="V267" s="699">
        <f t="shared" ref="V267:V273" si="319">V266</f>
        <v>0</v>
      </c>
      <c r="W267" s="699">
        <f t="shared" ref="W267:W273" si="320">W266</f>
        <v>0</v>
      </c>
      <c r="X267" s="699">
        <f t="shared" ref="X267:X273" si="321">X266</f>
        <v>0</v>
      </c>
      <c r="Y267" s="699">
        <f t="shared" ref="Y267:Y273" si="322">Y266</f>
        <v>0</v>
      </c>
      <c r="Z267" s="699">
        <f t="shared" ref="Z267:Z273" si="323">Z266</f>
        <v>0</v>
      </c>
      <c r="AA267" s="699">
        <f t="shared" ref="AA267:AA273" si="324">AA266</f>
        <v>0</v>
      </c>
      <c r="AB267" s="699">
        <f t="shared" ref="AB267:AB273" si="325">AB266</f>
        <v>0</v>
      </c>
      <c r="AC267" s="699">
        <f t="shared" ref="AC267:AC273" si="326">AC266</f>
        <v>0</v>
      </c>
      <c r="AD267" s="699">
        <f t="shared" ref="AD267:AD273" si="327">AD266</f>
        <v>0</v>
      </c>
      <c r="AE267" s="699">
        <f t="shared" ref="AE267:AE273" si="328">AE266</f>
        <v>0</v>
      </c>
      <c r="AF267" s="699">
        <f t="shared" ref="AF267:AF273" si="329">AF266</f>
        <v>0</v>
      </c>
      <c r="AG267" s="699">
        <f t="shared" ref="AG267:AG273" si="330">AG266</f>
        <v>0</v>
      </c>
      <c r="AI267" s="698" t="e">
        <f t="shared" si="313"/>
        <v>#DIV/0!</v>
      </c>
      <c r="AJ267" s="698"/>
      <c r="AK267" s="698"/>
      <c r="AL267" s="4" t="str">
        <f>$A267&amp;$C189&amp;InputSheet!C$42&amp;InputSheet!D$42</f>
        <v>Option Year 6ESDOverheadContr</v>
      </c>
      <c r="AM267" s="700" t="e">
        <f t="shared" si="314"/>
        <v>#DIV/0!</v>
      </c>
      <c r="AP267" s="387" t="e">
        <f t="shared" si="198"/>
        <v>#DIV/0!</v>
      </c>
    </row>
    <row r="268" spans="1:42">
      <c r="A268" s="6" t="str">
        <f t="shared" si="315"/>
        <v>Option Year 6</v>
      </c>
      <c r="B268" s="6" t="str">
        <f t="shared" si="311"/>
        <v>Overhead - Onsite</v>
      </c>
      <c r="E268" s="698">
        <f>IF(E265="",0,INDEX(Input_Range,MATCH((C189&amp;B268),Input_Call,0),MATCH(E265,Input_Header,0)))</f>
        <v>0</v>
      </c>
      <c r="F268" s="698">
        <f>IF(F265="",0,INDEX(Input_Range,MATCH((C189&amp;B268),Input_Call,0),MATCH(F265,Input_Header,0)))</f>
        <v>0</v>
      </c>
      <c r="G268" s="698">
        <f>IF(G265="",0,INDEX(Input_Range,MATCH((C189&amp;B268),Input_Call,0),MATCH(G265,Input_Header,0)))</f>
        <v>0</v>
      </c>
      <c r="H268" s="698">
        <f>IF(H265="",0,INDEX(Input_Range,MATCH((C189&amp;B268),Input_Call,0),MATCH(H265,Input_Header,0)))</f>
        <v>0</v>
      </c>
      <c r="I268" s="698">
        <f>IF(I265="",0,INDEX(Input_Range,MATCH((C189&amp;B268),Input_Call,0),MATCH(I265,Input_Header,0)))</f>
        <v>0</v>
      </c>
      <c r="J268" s="698">
        <f>IF(J265="",0,INDEX(Input_Range,MATCH((C189&amp;B268),Input_Call,0),MATCH(J265,Input_Header,0)))</f>
        <v>0</v>
      </c>
      <c r="K268" s="698">
        <f>IF(K265="",0,INDEX(Input_Range,MATCH((C189&amp;B268),Input_Call,0),MATCH(K265,Input_Header,0)))</f>
        <v>0</v>
      </c>
      <c r="L268" s="698">
        <f>IF(L265="",0,INDEX(Input_Range,MATCH((C189&amp;B268),Input_Call,0),MATCH(L265,Input_Header,0)))</f>
        <v>0</v>
      </c>
      <c r="M268" s="698">
        <f>IF(M265="",0,INDEX(Input_Range,MATCH((C189&amp;B268),Input_Call,0),MATCH(M265,Input_Header,0)))</f>
        <v>0</v>
      </c>
      <c r="N268" s="698">
        <f>IF(N265="",0,INDEX(Input_Range,MATCH((C189&amp;B268),Input_Call,0),MATCH(N265,Input_Header,0)))</f>
        <v>0</v>
      </c>
      <c r="O268" s="698">
        <f>IF(O265="",0,INDEX(Input_Range,MATCH((C189&amp;B268),Input_Call,0),MATCH(O265,Input_Header,0)))</f>
        <v>0</v>
      </c>
      <c r="P268" s="698">
        <f>IF(P265="",0,INDEX(Input_Range,MATCH((C189&amp;B268),Input_Call,0),MATCH(P265,Input_Header,0)))</f>
        <v>0</v>
      </c>
      <c r="Q268" s="698">
        <f>IF(Q265="",0,INDEX(Input_Range,MATCH((C189&amp;B268),Input_Call,0),MATCH(Q265,Input_Header,0)))</f>
        <v>0</v>
      </c>
      <c r="R268" s="698">
        <f t="shared" si="316"/>
        <v>0</v>
      </c>
      <c r="T268" s="699">
        <f t="shared" si="317"/>
        <v>0</v>
      </c>
      <c r="U268" s="699">
        <f t="shared" si="318"/>
        <v>0</v>
      </c>
      <c r="V268" s="699">
        <f t="shared" si="319"/>
        <v>0</v>
      </c>
      <c r="W268" s="699">
        <f t="shared" si="320"/>
        <v>0</v>
      </c>
      <c r="X268" s="699">
        <f t="shared" si="321"/>
        <v>0</v>
      </c>
      <c r="Y268" s="699">
        <f t="shared" si="322"/>
        <v>0</v>
      </c>
      <c r="Z268" s="699">
        <f t="shared" si="323"/>
        <v>0</v>
      </c>
      <c r="AA268" s="699">
        <f t="shared" si="324"/>
        <v>0</v>
      </c>
      <c r="AB268" s="699">
        <f t="shared" si="325"/>
        <v>0</v>
      </c>
      <c r="AC268" s="699">
        <f t="shared" si="326"/>
        <v>0</v>
      </c>
      <c r="AD268" s="699">
        <f t="shared" si="327"/>
        <v>0</v>
      </c>
      <c r="AE268" s="699">
        <f t="shared" si="328"/>
        <v>0</v>
      </c>
      <c r="AF268" s="699">
        <f t="shared" si="329"/>
        <v>0</v>
      </c>
      <c r="AG268" s="699">
        <f t="shared" si="330"/>
        <v>0</v>
      </c>
      <c r="AI268" s="698" t="e">
        <f t="shared" si="313"/>
        <v>#DIV/0!</v>
      </c>
      <c r="AJ268" s="698"/>
      <c r="AK268" s="698"/>
      <c r="AL268" s="4" t="str">
        <f>$A268&amp;$C189&amp;InputSheet!C$43&amp;InputSheet!D$43</f>
        <v>Option Year 6ESDOverheadGovt</v>
      </c>
      <c r="AM268" s="700" t="e">
        <f t="shared" si="314"/>
        <v>#DIV/0!</v>
      </c>
      <c r="AP268" s="387" t="e">
        <f t="shared" ref="AP268:AP331" si="331">IF(AM268="","1",(IF((VLOOKUP(B268,$AO$2:$AP$9,2,FALSE))="","0","1")))</f>
        <v>#DIV/0!</v>
      </c>
    </row>
    <row r="269" spans="1:42">
      <c r="A269" s="6" t="str">
        <f t="shared" si="315"/>
        <v>Option Year 6</v>
      </c>
      <c r="B269" s="6" t="str">
        <f t="shared" si="311"/>
        <v>Material Handling</v>
      </c>
      <c r="E269" s="698">
        <f>IF(E265="",0,INDEX(Input_Range,MATCH((C189&amp;B269),Input_Call,0),MATCH(E265,Input_Header,0)))</f>
        <v>0</v>
      </c>
      <c r="F269" s="698">
        <f>IF(F265="",0,INDEX(Input_Range,MATCH((C189&amp;B269),Input_Call,0),MATCH(F265,Input_Header,0)))</f>
        <v>0</v>
      </c>
      <c r="G269" s="698">
        <f>IF(G265="",0,INDEX(Input_Range,MATCH((C189&amp;B269),Input_Call,0),MATCH(G265,Input_Header,0)))</f>
        <v>0</v>
      </c>
      <c r="H269" s="698">
        <f>IF(H265="",0,INDEX(Input_Range,MATCH((C189&amp;B269),Input_Call,0),MATCH(H265,Input_Header,0)))</f>
        <v>0</v>
      </c>
      <c r="I269" s="698">
        <f>IF(I265="",0,INDEX(Input_Range,MATCH((C189&amp;B269),Input_Call,0),MATCH(I265,Input_Header,0)))</f>
        <v>0</v>
      </c>
      <c r="J269" s="698">
        <f>IF(J265="",0,INDEX(Input_Range,MATCH((C189&amp;B269),Input_Call,0),MATCH(J265,Input_Header,0)))</f>
        <v>0</v>
      </c>
      <c r="K269" s="698">
        <f>IF(K265="",0,INDEX(Input_Range,MATCH((C189&amp;B269),Input_Call,0),MATCH(K265,Input_Header,0)))</f>
        <v>0</v>
      </c>
      <c r="L269" s="698">
        <f>IF(L265="",0,INDEX(Input_Range,MATCH((C189&amp;B269),Input_Call,0),MATCH(L265,Input_Header,0)))</f>
        <v>0</v>
      </c>
      <c r="M269" s="698">
        <f>IF(M265="",0,INDEX(Input_Range,MATCH((C189&amp;B269),Input_Call,0),MATCH(M265,Input_Header,0)))</f>
        <v>0</v>
      </c>
      <c r="N269" s="698">
        <f>IF(N265="",0,INDEX(Input_Range,MATCH((C189&amp;B269),Input_Call,0),MATCH(N265,Input_Header,0)))</f>
        <v>0</v>
      </c>
      <c r="O269" s="698">
        <f>IF(O265="",0,INDEX(Input_Range,MATCH((C189&amp;B269),Input_Call,0),MATCH(O265,Input_Header,0)))</f>
        <v>0</v>
      </c>
      <c r="P269" s="698">
        <f>IF(P265="",0,INDEX(Input_Range,MATCH((C189&amp;B269),Input_Call,0),MATCH(P265,Input_Header,0)))</f>
        <v>0</v>
      </c>
      <c r="Q269" s="698">
        <f>IF(Q265="",0,INDEX(Input_Range,MATCH((C189&amp;B269),Input_Call,0),MATCH(Q265,Input_Header,0)))</f>
        <v>0</v>
      </c>
      <c r="R269" s="698">
        <f t="shared" si="316"/>
        <v>0</v>
      </c>
      <c r="T269" s="699">
        <f t="shared" si="317"/>
        <v>0</v>
      </c>
      <c r="U269" s="699">
        <f t="shared" si="318"/>
        <v>0</v>
      </c>
      <c r="V269" s="699">
        <f t="shared" si="319"/>
        <v>0</v>
      </c>
      <c r="W269" s="699">
        <f t="shared" si="320"/>
        <v>0</v>
      </c>
      <c r="X269" s="699">
        <f t="shared" si="321"/>
        <v>0</v>
      </c>
      <c r="Y269" s="699">
        <f t="shared" si="322"/>
        <v>0</v>
      </c>
      <c r="Z269" s="699">
        <f t="shared" si="323"/>
        <v>0</v>
      </c>
      <c r="AA269" s="699">
        <f t="shared" si="324"/>
        <v>0</v>
      </c>
      <c r="AB269" s="699">
        <f t="shared" si="325"/>
        <v>0</v>
      </c>
      <c r="AC269" s="699">
        <f t="shared" si="326"/>
        <v>0</v>
      </c>
      <c r="AD269" s="699">
        <f t="shared" si="327"/>
        <v>0</v>
      </c>
      <c r="AE269" s="699">
        <f t="shared" si="328"/>
        <v>0</v>
      </c>
      <c r="AF269" s="699">
        <f t="shared" si="329"/>
        <v>0</v>
      </c>
      <c r="AG269" s="699">
        <f t="shared" si="330"/>
        <v>0</v>
      </c>
      <c r="AI269" s="698" t="e">
        <f t="shared" si="313"/>
        <v>#DIV/0!</v>
      </c>
      <c r="AJ269" s="698"/>
      <c r="AK269" s="698"/>
      <c r="AL269" s="4" t="str">
        <f>$A269&amp;$C189&amp;InputSheet!C$44&amp;InputSheet!D$44</f>
        <v>Option Year 6ESDMHContr/Govt</v>
      </c>
      <c r="AM269" s="700" t="e">
        <f t="shared" si="314"/>
        <v>#DIV/0!</v>
      </c>
      <c r="AP269" s="387" t="e">
        <f t="shared" si="331"/>
        <v>#DIV/0!</v>
      </c>
    </row>
    <row r="270" spans="1:42">
      <c r="A270" s="6" t="str">
        <f t="shared" si="315"/>
        <v>Option Year 6</v>
      </c>
      <c r="B270" s="6" t="str">
        <f t="shared" si="311"/>
        <v>G&amp;A</v>
      </c>
      <c r="E270" s="698">
        <f>IF(E265="",0,INDEX(Input_Range,MATCH((C189&amp;B270),Input_Call,0),MATCH(E265,Input_Header,0)))</f>
        <v>0</v>
      </c>
      <c r="F270" s="698">
        <f>IF(F265="",0,INDEX(Input_Range,MATCH((C189&amp;B270),Input_Call,0),MATCH(F265,Input_Header,0)))</f>
        <v>0</v>
      </c>
      <c r="G270" s="698">
        <f>IF(G265="",0,INDEX(Input_Range,MATCH((C189&amp;B270),Input_Call,0),MATCH(G265,Input_Header,0)))</f>
        <v>0</v>
      </c>
      <c r="H270" s="698">
        <f>IF(H265="",0,INDEX(Input_Range,MATCH((C189&amp;B270),Input_Call,0),MATCH(H265,Input_Header,0)))</f>
        <v>0</v>
      </c>
      <c r="I270" s="698">
        <f>IF(I265="",0,INDEX(Input_Range,MATCH((C189&amp;B270),Input_Call,0),MATCH(I265,Input_Header,0)))</f>
        <v>0</v>
      </c>
      <c r="J270" s="698">
        <f>IF(J265="",0,INDEX(Input_Range,MATCH((C189&amp;B270),Input_Call,0),MATCH(J265,Input_Header,0)))</f>
        <v>0</v>
      </c>
      <c r="K270" s="698">
        <f>IF(K265="",0,INDEX(Input_Range,MATCH((C189&amp;B270),Input_Call,0),MATCH(K265,Input_Header,0)))</f>
        <v>0</v>
      </c>
      <c r="L270" s="698">
        <f>IF(L265="",0,INDEX(Input_Range,MATCH((C189&amp;B270),Input_Call,0),MATCH(L265,Input_Header,0)))</f>
        <v>0</v>
      </c>
      <c r="M270" s="698">
        <f>IF(M265="",0,INDEX(Input_Range,MATCH((C189&amp;B270),Input_Call,0),MATCH(M265,Input_Header,0)))</f>
        <v>0</v>
      </c>
      <c r="N270" s="698">
        <f>IF(N265="",0,INDEX(Input_Range,MATCH((C189&amp;B270),Input_Call,0),MATCH(N265,Input_Header,0)))</f>
        <v>0</v>
      </c>
      <c r="O270" s="698">
        <f>IF(O265="",0,INDEX(Input_Range,MATCH((C189&amp;B270),Input_Call,0),MATCH(O265,Input_Header,0)))</f>
        <v>0</v>
      </c>
      <c r="P270" s="698">
        <f>IF(P265="",0,INDEX(Input_Range,MATCH((C189&amp;B270),Input_Call,0),MATCH(P265,Input_Header,0)))</f>
        <v>0</v>
      </c>
      <c r="Q270" s="698">
        <f>IF(Q265="",0,INDEX(Input_Range,MATCH((C189&amp;B270),Input_Call,0),MATCH(Q265,Input_Header,0)))</f>
        <v>0</v>
      </c>
      <c r="R270" s="698">
        <f t="shared" si="316"/>
        <v>0</v>
      </c>
      <c r="T270" s="699">
        <f t="shared" si="317"/>
        <v>0</v>
      </c>
      <c r="U270" s="699">
        <f t="shared" si="318"/>
        <v>0</v>
      </c>
      <c r="V270" s="699">
        <f t="shared" si="319"/>
        <v>0</v>
      </c>
      <c r="W270" s="699">
        <f t="shared" si="320"/>
        <v>0</v>
      </c>
      <c r="X270" s="699">
        <f t="shared" si="321"/>
        <v>0</v>
      </c>
      <c r="Y270" s="699">
        <f t="shared" si="322"/>
        <v>0</v>
      </c>
      <c r="Z270" s="699">
        <f t="shared" si="323"/>
        <v>0</v>
      </c>
      <c r="AA270" s="699">
        <f t="shared" si="324"/>
        <v>0</v>
      </c>
      <c r="AB270" s="699">
        <f t="shared" si="325"/>
        <v>0</v>
      </c>
      <c r="AC270" s="699">
        <f t="shared" si="326"/>
        <v>0</v>
      </c>
      <c r="AD270" s="699">
        <f t="shared" si="327"/>
        <v>0</v>
      </c>
      <c r="AE270" s="699">
        <f t="shared" si="328"/>
        <v>0</v>
      </c>
      <c r="AF270" s="699">
        <f t="shared" si="329"/>
        <v>0</v>
      </c>
      <c r="AG270" s="699">
        <f t="shared" si="330"/>
        <v>0</v>
      </c>
      <c r="AI270" s="698" t="e">
        <f t="shared" si="313"/>
        <v>#DIV/0!</v>
      </c>
      <c r="AJ270" s="698"/>
      <c r="AK270" s="698"/>
      <c r="AL270" s="4" t="str">
        <f>$A270&amp;$C189&amp;InputSheet!C$45&amp;InputSheet!D$45</f>
        <v>Option Year 6ESDG&amp;AContr/Govt</v>
      </c>
      <c r="AM270" s="700" t="e">
        <f t="shared" si="314"/>
        <v>#DIV/0!</v>
      </c>
      <c r="AP270" s="387" t="e">
        <f t="shared" si="331"/>
        <v>#DIV/0!</v>
      </c>
    </row>
    <row r="271" spans="1:42" outlineLevel="1">
      <c r="A271" s="6" t="str">
        <f t="shared" si="315"/>
        <v>Option Year 6</v>
      </c>
      <c r="B271" s="6" t="str">
        <f t="shared" si="311"/>
        <v>TBD1</v>
      </c>
      <c r="E271" s="21">
        <f>IF(E265="",0,INDEX(Input_Range,MATCH((C189&amp;B271),Input_Call,0),MATCH(E265,Input_Header,0)))</f>
        <v>0</v>
      </c>
      <c r="F271" s="21">
        <f>IF(F265="",0,INDEX(Input_Range,MATCH((C189&amp;B271),Input_Call,0),MATCH(F265,Input_Header,0)))</f>
        <v>0</v>
      </c>
      <c r="G271" s="21">
        <f>IF(G265="",0,INDEX(Input_Range,MATCH((C189&amp;B271),Input_Call,0),MATCH(G265,Input_Header,0)))</f>
        <v>0</v>
      </c>
      <c r="H271" s="21">
        <f>IF(H265="",0,INDEX(Input_Range,MATCH((C189&amp;B271),Input_Call,0),MATCH(H265,Input_Header,0)))</f>
        <v>0</v>
      </c>
      <c r="I271" s="21">
        <f>IF(I265="",0,INDEX(Input_Range,MATCH((C189&amp;B271),Input_Call,0),MATCH(I265,Input_Header,0)))</f>
        <v>0</v>
      </c>
      <c r="J271" s="21">
        <f>IF(J265="",0,INDEX(Input_Range,MATCH((C189&amp;B271),Input_Call,0),MATCH(J265,Input_Header,0)))</f>
        <v>0</v>
      </c>
      <c r="K271" s="21">
        <f>IF(K265="",0,INDEX(Input_Range,MATCH((C189&amp;B271),Input_Call,0),MATCH(K265,Input_Header,0)))</f>
        <v>0</v>
      </c>
      <c r="L271" s="21">
        <f>IF(L265="",0,INDEX(Input_Range,MATCH((C189&amp;B271),Input_Call,0),MATCH(L265,Input_Header,0)))</f>
        <v>0</v>
      </c>
      <c r="M271" s="21">
        <f>IF(M265="",0,INDEX(Input_Range,MATCH((C189&amp;B271),Input_Call,0),MATCH(M265,Input_Header,0)))</f>
        <v>0</v>
      </c>
      <c r="N271" s="21">
        <f>IF(N265="",0,INDEX(Input_Range,MATCH((C189&amp;B271),Input_Call,0),MATCH(N265,Input_Header,0)))</f>
        <v>0</v>
      </c>
      <c r="O271" s="21">
        <f>IF(O265="",0,INDEX(Input_Range,MATCH((C189&amp;B271),Input_Call,0),MATCH(O265,Input_Header,0)))</f>
        <v>0</v>
      </c>
      <c r="P271" s="21">
        <f>IF(P265="",0,INDEX(Input_Range,MATCH((C189&amp;B271),Input_Call,0),MATCH(P265,Input_Header,0)))</f>
        <v>0</v>
      </c>
      <c r="Q271" s="21">
        <f>IF(Q265="",0,INDEX(Input_Range,MATCH((C189&amp;B271),Input_Call,0),MATCH(Q265,Input_Header,0)))</f>
        <v>0</v>
      </c>
      <c r="R271" s="698">
        <f t="shared" si="316"/>
        <v>0</v>
      </c>
      <c r="T271" s="699">
        <f t="shared" si="317"/>
        <v>0</v>
      </c>
      <c r="U271" s="699">
        <f t="shared" si="318"/>
        <v>0</v>
      </c>
      <c r="V271" s="699">
        <f t="shared" si="319"/>
        <v>0</v>
      </c>
      <c r="W271" s="699">
        <f t="shared" si="320"/>
        <v>0</v>
      </c>
      <c r="X271" s="699">
        <f t="shared" si="321"/>
        <v>0</v>
      </c>
      <c r="Y271" s="699">
        <f t="shared" si="322"/>
        <v>0</v>
      </c>
      <c r="Z271" s="699">
        <f t="shared" si="323"/>
        <v>0</v>
      </c>
      <c r="AA271" s="699">
        <f t="shared" si="324"/>
        <v>0</v>
      </c>
      <c r="AB271" s="699">
        <f t="shared" si="325"/>
        <v>0</v>
      </c>
      <c r="AC271" s="699">
        <f t="shared" si="326"/>
        <v>0</v>
      </c>
      <c r="AD271" s="699">
        <f t="shared" si="327"/>
        <v>0</v>
      </c>
      <c r="AE271" s="699">
        <f t="shared" si="328"/>
        <v>0</v>
      </c>
      <c r="AF271" s="699">
        <f t="shared" si="329"/>
        <v>0</v>
      </c>
      <c r="AG271" s="699">
        <f t="shared" si="330"/>
        <v>0</v>
      </c>
      <c r="AI271" s="698" t="e">
        <f t="shared" si="313"/>
        <v>#DIV/0!</v>
      </c>
      <c r="AJ271" s="21"/>
      <c r="AK271" s="21"/>
      <c r="AL271" s="4" t="str">
        <f>$A271&amp;$C189&amp;InputSheet!C$46&amp;InputSheet!D$46</f>
        <v>Option Year 6ESDTBD1Contr/Govt</v>
      </c>
      <c r="AM271" s="700" t="e">
        <f t="shared" si="314"/>
        <v>#DIV/0!</v>
      </c>
      <c r="AP271" s="387" t="e">
        <f t="shared" si="331"/>
        <v>#DIV/0!</v>
      </c>
    </row>
    <row r="272" spans="1:42" outlineLevel="1">
      <c r="A272" s="6" t="str">
        <f t="shared" si="315"/>
        <v>Option Year 6</v>
      </c>
      <c r="B272" s="6" t="str">
        <f t="shared" si="311"/>
        <v>TBD2</v>
      </c>
      <c r="E272" s="21">
        <f>IF(E265="",0,INDEX(Input_Range,MATCH((C189&amp;B272),Input_Call,0),MATCH(E265,Input_Header,0)))</f>
        <v>0</v>
      </c>
      <c r="F272" s="21">
        <f>IF(F265="",0,INDEX(Input_Range,MATCH((C189&amp;B272),Input_Call,0),MATCH(F265,Input_Header,0)))</f>
        <v>0</v>
      </c>
      <c r="G272" s="21">
        <f>IF(G265="",0,INDEX(Input_Range,MATCH((C189&amp;B272),Input_Call,0),MATCH(G265,Input_Header,0)))</f>
        <v>0</v>
      </c>
      <c r="H272" s="21">
        <f>IF(H265="",0,INDEX(Input_Range,MATCH((C189&amp;B272),Input_Call,0),MATCH(H265,Input_Header,0)))</f>
        <v>0</v>
      </c>
      <c r="I272" s="21">
        <f>IF(I265="",0,INDEX(Input_Range,MATCH((C189&amp;B272),Input_Call,0),MATCH(I265,Input_Header,0)))</f>
        <v>0</v>
      </c>
      <c r="J272" s="21">
        <f>IF(J265="",0,INDEX(Input_Range,MATCH((C189&amp;B272),Input_Call,0),MATCH(J265,Input_Header,0)))</f>
        <v>0</v>
      </c>
      <c r="K272" s="21">
        <f>IF(K265="",0,INDEX(Input_Range,MATCH((C189&amp;B272),Input_Call,0),MATCH(K265,Input_Header,0)))</f>
        <v>0</v>
      </c>
      <c r="L272" s="21">
        <f>IF(L265="",0,INDEX(Input_Range,MATCH((C189&amp;B272),Input_Call,0),MATCH(L265,Input_Header,0)))</f>
        <v>0</v>
      </c>
      <c r="M272" s="21">
        <f>IF(M265="",0,INDEX(Input_Range,MATCH((C189&amp;B272),Input_Call,0),MATCH(M265,Input_Header,0)))</f>
        <v>0</v>
      </c>
      <c r="N272" s="21">
        <f>IF(N265="",0,INDEX(Input_Range,MATCH((C189&amp;B272),Input_Call,0),MATCH(N265,Input_Header,0)))</f>
        <v>0</v>
      </c>
      <c r="O272" s="21">
        <f>IF(O265="",0,INDEX(Input_Range,MATCH((C189&amp;B272),Input_Call,0),MATCH(O265,Input_Header,0)))</f>
        <v>0</v>
      </c>
      <c r="P272" s="21">
        <f>IF(P265="",0,INDEX(Input_Range,MATCH((C189&amp;B272),Input_Call,0),MATCH(P265,Input_Header,0)))</f>
        <v>0</v>
      </c>
      <c r="Q272" s="21">
        <f>IF(Q265="",0,INDEX(Input_Range,MATCH((C189&amp;B272),Input_Call,0),MATCH(Q265,Input_Header,0)))</f>
        <v>0</v>
      </c>
      <c r="R272" s="698">
        <f t="shared" si="316"/>
        <v>0</v>
      </c>
      <c r="T272" s="699">
        <f t="shared" si="317"/>
        <v>0</v>
      </c>
      <c r="U272" s="699">
        <f t="shared" si="318"/>
        <v>0</v>
      </c>
      <c r="V272" s="699">
        <f t="shared" si="319"/>
        <v>0</v>
      </c>
      <c r="W272" s="699">
        <f t="shared" si="320"/>
        <v>0</v>
      </c>
      <c r="X272" s="699">
        <f t="shared" si="321"/>
        <v>0</v>
      </c>
      <c r="Y272" s="699">
        <f t="shared" si="322"/>
        <v>0</v>
      </c>
      <c r="Z272" s="699">
        <f t="shared" si="323"/>
        <v>0</v>
      </c>
      <c r="AA272" s="699">
        <f t="shared" si="324"/>
        <v>0</v>
      </c>
      <c r="AB272" s="699">
        <f t="shared" si="325"/>
        <v>0</v>
      </c>
      <c r="AC272" s="699">
        <f t="shared" si="326"/>
        <v>0</v>
      </c>
      <c r="AD272" s="699">
        <f t="shared" si="327"/>
        <v>0</v>
      </c>
      <c r="AE272" s="699">
        <f t="shared" si="328"/>
        <v>0</v>
      </c>
      <c r="AF272" s="699">
        <f t="shared" si="329"/>
        <v>0</v>
      </c>
      <c r="AG272" s="699">
        <f t="shared" si="330"/>
        <v>0</v>
      </c>
      <c r="AI272" s="698" t="e">
        <f t="shared" si="313"/>
        <v>#DIV/0!</v>
      </c>
      <c r="AJ272" s="21"/>
      <c r="AK272" s="21"/>
      <c r="AL272" s="4" t="str">
        <f>$A272&amp;$C189&amp;InputSheet!C$47&amp;InputSheet!D$47</f>
        <v>Option Year 6ESDTBD2Contr/Govt</v>
      </c>
      <c r="AM272" s="700" t="e">
        <f t="shared" si="314"/>
        <v>#DIV/0!</v>
      </c>
      <c r="AP272" s="387" t="e">
        <f t="shared" si="331"/>
        <v>#DIV/0!</v>
      </c>
    </row>
    <row r="273" spans="1:42" outlineLevel="1">
      <c r="A273" s="6" t="str">
        <f t="shared" si="315"/>
        <v>Option Year 6</v>
      </c>
      <c r="B273" s="6" t="str">
        <f t="shared" si="311"/>
        <v>TBD3</v>
      </c>
      <c r="E273" s="21">
        <f>IF(E265="",0,INDEX(Input_Range,MATCH((C189&amp;B273),Input_Call,0),MATCH(E265,Input_Header,0)))</f>
        <v>0</v>
      </c>
      <c r="F273" s="21">
        <f>IF(F265="",0,INDEX(Input_Range,MATCH((C189&amp;B273),Input_Call,0),MATCH(F265,Input_Header,0)))</f>
        <v>0</v>
      </c>
      <c r="G273" s="21">
        <f>IF(G265="",0,INDEX(Input_Range,MATCH((C189&amp;B273),Input_Call,0),MATCH(G265,Input_Header,0)))</f>
        <v>0</v>
      </c>
      <c r="H273" s="21">
        <f>IF(H265="",0,INDEX(Input_Range,MATCH((C189&amp;B273),Input_Call,0),MATCH(H265,Input_Header,0)))</f>
        <v>0</v>
      </c>
      <c r="I273" s="21">
        <f>IF(I265="",0,INDEX(Input_Range,MATCH((C189&amp;B273),Input_Call,0),MATCH(I265,Input_Header,0)))</f>
        <v>0</v>
      </c>
      <c r="J273" s="21">
        <f>IF(J265="",0,INDEX(Input_Range,MATCH((C189&amp;B273),Input_Call,0),MATCH(J265,Input_Header,0)))</f>
        <v>0</v>
      </c>
      <c r="K273" s="21">
        <f>IF(K265="",0,INDEX(Input_Range,MATCH((C189&amp;B273),Input_Call,0),MATCH(K265,Input_Header,0)))</f>
        <v>0</v>
      </c>
      <c r="L273" s="21">
        <f>IF(L265="",0,INDEX(Input_Range,MATCH((C189&amp;B273),Input_Call,0),MATCH(L265,Input_Header,0)))</f>
        <v>0</v>
      </c>
      <c r="M273" s="21">
        <f>IF(M265="",0,INDEX(Input_Range,MATCH((C189&amp;B273),Input_Call,0),MATCH(M265,Input_Header,0)))</f>
        <v>0</v>
      </c>
      <c r="N273" s="21">
        <f>IF(N265="",0,INDEX(Input_Range,MATCH((C189&amp;B273),Input_Call,0),MATCH(N265,Input_Header,0)))</f>
        <v>0</v>
      </c>
      <c r="O273" s="21">
        <f>IF(O265="",0,INDEX(Input_Range,MATCH((C189&amp;B273),Input_Call,0),MATCH(O265,Input_Header,0)))</f>
        <v>0</v>
      </c>
      <c r="P273" s="21">
        <f>IF(P265="",0,INDEX(Input_Range,MATCH((C189&amp;B273),Input_Call,0),MATCH(P265,Input_Header,0)))</f>
        <v>0</v>
      </c>
      <c r="Q273" s="21">
        <f>IF(Q265="",0,INDEX(Input_Range,MATCH((C189&amp;B273),Input_Call,0),MATCH(Q265,Input_Header,0)))</f>
        <v>0</v>
      </c>
      <c r="R273" s="698">
        <f t="shared" si="316"/>
        <v>0</v>
      </c>
      <c r="T273" s="699">
        <f t="shared" si="317"/>
        <v>0</v>
      </c>
      <c r="U273" s="699">
        <f t="shared" si="318"/>
        <v>0</v>
      </c>
      <c r="V273" s="699">
        <f t="shared" si="319"/>
        <v>0</v>
      </c>
      <c r="W273" s="699">
        <f t="shared" si="320"/>
        <v>0</v>
      </c>
      <c r="X273" s="699">
        <f t="shared" si="321"/>
        <v>0</v>
      </c>
      <c r="Y273" s="699">
        <f t="shared" si="322"/>
        <v>0</v>
      </c>
      <c r="Z273" s="699">
        <f t="shared" si="323"/>
        <v>0</v>
      </c>
      <c r="AA273" s="699">
        <f t="shared" si="324"/>
        <v>0</v>
      </c>
      <c r="AB273" s="699">
        <f t="shared" si="325"/>
        <v>0</v>
      </c>
      <c r="AC273" s="699">
        <f t="shared" si="326"/>
        <v>0</v>
      </c>
      <c r="AD273" s="699">
        <f t="shared" si="327"/>
        <v>0</v>
      </c>
      <c r="AE273" s="699">
        <f t="shared" si="328"/>
        <v>0</v>
      </c>
      <c r="AF273" s="699">
        <f t="shared" si="329"/>
        <v>0</v>
      </c>
      <c r="AG273" s="699">
        <f t="shared" si="330"/>
        <v>0</v>
      </c>
      <c r="AI273" s="698" t="e">
        <f t="shared" si="313"/>
        <v>#DIV/0!</v>
      </c>
      <c r="AJ273" s="21"/>
      <c r="AK273" s="21"/>
      <c r="AL273" s="4" t="str">
        <f>$A273&amp;$C189&amp;InputSheet!C$48&amp;InputSheet!D$48</f>
        <v>Option Year 6ESDTBD3Contr/Govt</v>
      </c>
      <c r="AM273" s="700" t="e">
        <f t="shared" si="314"/>
        <v>#DIV/0!</v>
      </c>
      <c r="AP273" s="387" t="e">
        <f t="shared" si="331"/>
        <v>#DIV/0!</v>
      </c>
    </row>
    <row r="274" spans="1:42">
      <c r="E274" s="698"/>
      <c r="F274" s="698"/>
      <c r="G274" s="698"/>
      <c r="H274" s="698"/>
      <c r="I274" s="698"/>
      <c r="J274" s="698"/>
      <c r="K274" s="698"/>
      <c r="L274" s="698"/>
      <c r="M274" s="698"/>
      <c r="N274" s="698"/>
      <c r="O274" s="698"/>
      <c r="P274" s="698"/>
      <c r="Q274" s="698"/>
      <c r="R274" s="698"/>
      <c r="AI274" s="21"/>
      <c r="AJ274" s="21"/>
      <c r="AK274" s="21"/>
      <c r="AP274" s="387" t="str">
        <f t="shared" si="331"/>
        <v>1</v>
      </c>
    </row>
    <row r="275" spans="1:42">
      <c r="A275" s="530" t="str">
        <f>B275</f>
        <v>Option Year 7</v>
      </c>
      <c r="B275" s="691" t="str">
        <f>InputSheet!$C$29</f>
        <v>Option Year 7</v>
      </c>
      <c r="AP275" s="387" t="str">
        <f t="shared" si="331"/>
        <v>1</v>
      </c>
    </row>
    <row r="276" spans="1:42">
      <c r="B276" s="314" t="s">
        <v>587</v>
      </c>
      <c r="C276" s="692" t="s">
        <v>588</v>
      </c>
      <c r="E276" s="1216" t="str">
        <f>"Indirect Rates - "&amp;C$189</f>
        <v>Indirect Rates - ESD</v>
      </c>
      <c r="F276" s="1216"/>
      <c r="G276" s="1216"/>
      <c r="H276" s="1216"/>
      <c r="I276" s="1216"/>
      <c r="J276" s="1216"/>
      <c r="K276" s="1216"/>
      <c r="L276" s="1216"/>
      <c r="M276" s="1216"/>
      <c r="N276" s="1216"/>
      <c r="O276" s="1216"/>
      <c r="P276" s="1216"/>
      <c r="Q276" s="1216"/>
      <c r="R276" s="1216"/>
      <c r="S276" s="844"/>
      <c r="T276" s="1217" t="s">
        <v>794</v>
      </c>
      <c r="U276" s="1217"/>
      <c r="V276" s="1217"/>
      <c r="W276" s="1217"/>
      <c r="X276" s="1217"/>
      <c r="Y276" s="1217"/>
      <c r="Z276" s="1217"/>
      <c r="AA276" s="1217"/>
      <c r="AB276" s="1217"/>
      <c r="AC276" s="1217"/>
      <c r="AD276" s="1217"/>
      <c r="AE276" s="1217"/>
      <c r="AF276" s="1217"/>
      <c r="AG276" s="1217"/>
      <c r="AI276" s="692" t="s">
        <v>615</v>
      </c>
      <c r="AJ276" s="50"/>
      <c r="AK276" s="50"/>
      <c r="AP276" s="387" t="str">
        <f t="shared" si="331"/>
        <v>1</v>
      </c>
    </row>
    <row r="277" spans="1:42">
      <c r="B277" s="693">
        <f>VLOOKUP(A275,InputSheet!$C$8:$E$37,2,FALSE)</f>
        <v>731</v>
      </c>
      <c r="C277" s="694">
        <f>VLOOKUP(A275,InputSheet!$C$8:$E$37,3,FALSE)</f>
        <v>1096</v>
      </c>
      <c r="E277" s="695">
        <f t="shared" ref="E277:R277" si="332">E265</f>
        <v>2009</v>
      </c>
      <c r="F277" s="695">
        <f t="shared" si="332"/>
        <v>2010</v>
      </c>
      <c r="G277" s="695">
        <f t="shared" si="332"/>
        <v>2011</v>
      </c>
      <c r="H277" s="695">
        <f t="shared" si="332"/>
        <v>2012</v>
      </c>
      <c r="I277" s="695">
        <f t="shared" si="332"/>
        <v>2013</v>
      </c>
      <c r="J277" s="695">
        <f t="shared" si="332"/>
        <v>2014</v>
      </c>
      <c r="K277" s="695">
        <f t="shared" si="332"/>
        <v>2015</v>
      </c>
      <c r="L277" s="695">
        <f t="shared" si="332"/>
        <v>2016</v>
      </c>
      <c r="M277" s="695">
        <f t="shared" si="332"/>
        <v>2017</v>
      </c>
      <c r="N277" s="695">
        <f t="shared" si="332"/>
        <v>2018</v>
      </c>
      <c r="O277" s="695">
        <f t="shared" si="332"/>
        <v>2019</v>
      </c>
      <c r="P277" s="695">
        <f t="shared" si="332"/>
        <v>2020</v>
      </c>
      <c r="Q277" s="695">
        <f t="shared" si="332"/>
        <v>2021</v>
      </c>
      <c r="R277" s="695">
        <f t="shared" si="332"/>
        <v>2022</v>
      </c>
      <c r="S277" s="680"/>
      <c r="T277" s="695">
        <f t="shared" ref="T277:AG277" si="333">T265</f>
        <v>2009</v>
      </c>
      <c r="U277" s="695">
        <f t="shared" si="333"/>
        <v>2010</v>
      </c>
      <c r="V277" s="695">
        <f t="shared" si="333"/>
        <v>2011</v>
      </c>
      <c r="W277" s="695">
        <f t="shared" si="333"/>
        <v>2012</v>
      </c>
      <c r="X277" s="695">
        <f t="shared" si="333"/>
        <v>2013</v>
      </c>
      <c r="Y277" s="695">
        <f t="shared" si="333"/>
        <v>2014</v>
      </c>
      <c r="Z277" s="695">
        <f t="shared" si="333"/>
        <v>2015</v>
      </c>
      <c r="AA277" s="695">
        <f t="shared" si="333"/>
        <v>2016</v>
      </c>
      <c r="AB277" s="695">
        <f t="shared" si="333"/>
        <v>2017</v>
      </c>
      <c r="AC277" s="695">
        <f t="shared" si="333"/>
        <v>2018</v>
      </c>
      <c r="AD277" s="695">
        <f t="shared" si="333"/>
        <v>2019</v>
      </c>
      <c r="AE277" s="695">
        <f t="shared" si="333"/>
        <v>2020</v>
      </c>
      <c r="AF277" s="695">
        <f t="shared" si="333"/>
        <v>2021</v>
      </c>
      <c r="AG277" s="695">
        <f t="shared" si="333"/>
        <v>2022</v>
      </c>
      <c r="AI277" s="696" t="str">
        <f>B275</f>
        <v>Option Year 7</v>
      </c>
      <c r="AJ277" s="28"/>
      <c r="AK277" s="28"/>
      <c r="AP277" s="387" t="str">
        <f t="shared" si="331"/>
        <v>1</v>
      </c>
    </row>
    <row r="278" spans="1:42">
      <c r="A278" s="6" t="str">
        <f>A275</f>
        <v>Option Year 7</v>
      </c>
      <c r="B278" s="6" t="str">
        <f t="shared" ref="B278:B285" si="334">B266</f>
        <v>PRB</v>
      </c>
      <c r="E278" s="698">
        <f>IF(E277="",0,INDEX(Input_Range,MATCH((C189&amp;B278),Input_Call,0),MATCH(E277,Input_Header,0)))</f>
        <v>0</v>
      </c>
      <c r="F278" s="698">
        <f>IF(F277="",0,INDEX(Input_Range,MATCH((C189&amp;B278),Input_Call,0),MATCH(F277,Input_Header,0)))</f>
        <v>0</v>
      </c>
      <c r="G278" s="698">
        <f>IF(G277="",0,INDEX(Input_Range,MATCH((C189&amp;B278),Input_Call,0),MATCH(G277,Input_Header,0)))</f>
        <v>0</v>
      </c>
      <c r="H278" s="698">
        <f>IF(H277="",0,INDEX(Input_Range,MATCH((C189&amp;B278),Input_Call,0),MATCH(H277,Input_Header,0)))</f>
        <v>0</v>
      </c>
      <c r="I278" s="698">
        <f>IF(I277="",0,INDEX(Input_Range,MATCH((C189&amp;B278),Input_Call,0),MATCH(I277,Input_Header,0)))</f>
        <v>0</v>
      </c>
      <c r="J278" s="698">
        <f>IF(J277="",0,INDEX(Input_Range,MATCH((C189&amp;B278),Input_Call,0),MATCH(J277,Input_Header,0)))</f>
        <v>0</v>
      </c>
      <c r="K278" s="698">
        <f>IF(K277="",0,INDEX(Input_Range,MATCH((C189&amp;B278),Input_Call,0),MATCH(K277,Input_Header,0)))</f>
        <v>0</v>
      </c>
      <c r="L278" s="698">
        <f>IF(L277="",0,INDEX(Input_Range,MATCH((C189&amp;B278),Input_Call,0),MATCH(L277,Input_Header,0)))</f>
        <v>0</v>
      </c>
      <c r="M278" s="698">
        <f>IF(M277="",0,INDEX(Input_Range,MATCH((C189&amp;B278),Input_Call,0),MATCH(M277,Input_Header,0)))</f>
        <v>0</v>
      </c>
      <c r="N278" s="698">
        <f>IF(N277="",0,INDEX(Input_Range,MATCH((C189&amp;B278),Input_Call,0),MATCH(N277,Input_Header,0)))</f>
        <v>0</v>
      </c>
      <c r="O278" s="698">
        <f>IF(O277="",0,INDEX(Input_Range,MATCH((C189&amp;B278),Input_Call,0),MATCH(O277,Input_Header,0)))</f>
        <v>0</v>
      </c>
      <c r="P278" s="698">
        <f>IF(P277="",0,INDEX(Input_Range,MATCH((C189&amp;B278),Input_Call,0),MATCH(P277,Input_Header,0)))</f>
        <v>0</v>
      </c>
      <c r="Q278" s="698">
        <f>IF(Q277="",0,INDEX(Input_Range,MATCH((C189&amp;B278),Input_Call,0),MATCH(Q277,Input_Header,0)))</f>
        <v>0</v>
      </c>
      <c r="R278" s="698">
        <f>Q278</f>
        <v>0</v>
      </c>
      <c r="T278" s="699">
        <f t="shared" ref="T278:AG278" si="335">ROUND((MAX(0,(MIN($C277,DATE(T277,12,31))-MAX($B277,DATE(T277,1,1))+1)))/30.41667,0)</f>
        <v>0</v>
      </c>
      <c r="U278" s="699">
        <f t="shared" si="335"/>
        <v>0</v>
      </c>
      <c r="V278" s="699">
        <f t="shared" si="335"/>
        <v>0</v>
      </c>
      <c r="W278" s="699">
        <f t="shared" si="335"/>
        <v>0</v>
      </c>
      <c r="X278" s="699">
        <f t="shared" si="335"/>
        <v>0</v>
      </c>
      <c r="Y278" s="699">
        <f t="shared" si="335"/>
        <v>0</v>
      </c>
      <c r="Z278" s="699">
        <f t="shared" si="335"/>
        <v>0</v>
      </c>
      <c r="AA278" s="699">
        <f t="shared" si="335"/>
        <v>0</v>
      </c>
      <c r="AB278" s="699">
        <f t="shared" si="335"/>
        <v>0</v>
      </c>
      <c r="AC278" s="699">
        <f t="shared" si="335"/>
        <v>0</v>
      </c>
      <c r="AD278" s="699">
        <f t="shared" si="335"/>
        <v>0</v>
      </c>
      <c r="AE278" s="699">
        <f t="shared" si="335"/>
        <v>0</v>
      </c>
      <c r="AF278" s="699">
        <f t="shared" si="335"/>
        <v>0</v>
      </c>
      <c r="AG278" s="699">
        <f t="shared" si="335"/>
        <v>0</v>
      </c>
      <c r="AI278" s="698" t="e">
        <f t="shared" ref="AI278:AI285" si="336">ROUND(SUMPRODUCT(E278:R278,T278:AG278)/SUM(T278:AG278),4)</f>
        <v>#DIV/0!</v>
      </c>
      <c r="AJ278" s="698"/>
      <c r="AK278" s="698"/>
      <c r="AL278" s="4" t="str">
        <f>$A278&amp;$C189&amp;InputSheet!C$41&amp;InputSheet!D$41</f>
        <v>Option Year 7ESDPRBContr/Govt</v>
      </c>
      <c r="AM278" s="700" t="e">
        <f t="shared" ref="AM278:AM285" si="337">AI278</f>
        <v>#DIV/0!</v>
      </c>
      <c r="AP278" s="387" t="e">
        <f t="shared" si="331"/>
        <v>#DIV/0!</v>
      </c>
    </row>
    <row r="279" spans="1:42">
      <c r="A279" s="6" t="str">
        <f t="shared" ref="A279:A285" si="338">A278</f>
        <v>Option Year 7</v>
      </c>
      <c r="B279" s="6" t="str">
        <f t="shared" si="334"/>
        <v>Overhead - Offsite</v>
      </c>
      <c r="E279" s="698">
        <f>IF(E277="",0,INDEX(Input_Range,MATCH((C189&amp;B279),Input_Call,0),MATCH(E277,Input_Header,0)))</f>
        <v>0</v>
      </c>
      <c r="F279" s="698">
        <f>IF(F277="",0,INDEX(Input_Range,MATCH((C189&amp;B279),Input_Call,0),MATCH(F277,Input_Header,0)))</f>
        <v>0</v>
      </c>
      <c r="G279" s="698">
        <f>IF(G277="",0,INDEX(Input_Range,MATCH((C189&amp;B279),Input_Call,0),MATCH(G277,Input_Header,0)))</f>
        <v>0</v>
      </c>
      <c r="H279" s="698">
        <f>IF(H277="",0,INDEX(Input_Range,MATCH((C189&amp;B279),Input_Call,0),MATCH(H277,Input_Header,0)))</f>
        <v>0</v>
      </c>
      <c r="I279" s="698">
        <f>IF(I277="",0,INDEX(Input_Range,MATCH((C189&amp;B279),Input_Call,0),MATCH(I277,Input_Header,0)))</f>
        <v>0</v>
      </c>
      <c r="J279" s="698">
        <f>IF(J277="",0,INDEX(Input_Range,MATCH((C189&amp;B279),Input_Call,0),MATCH(J277,Input_Header,0)))</f>
        <v>0</v>
      </c>
      <c r="K279" s="698">
        <f>IF(K277="",0,INDEX(Input_Range,MATCH((C189&amp;B279),Input_Call,0),MATCH(K277,Input_Header,0)))</f>
        <v>0</v>
      </c>
      <c r="L279" s="698">
        <f>IF(L277="",0,INDEX(Input_Range,MATCH((C189&amp;B279),Input_Call,0),MATCH(L277,Input_Header,0)))</f>
        <v>0</v>
      </c>
      <c r="M279" s="698">
        <f>IF(M277="",0,INDEX(Input_Range,MATCH((C189&amp;B279),Input_Call,0),MATCH(M277,Input_Header,0)))</f>
        <v>0</v>
      </c>
      <c r="N279" s="698">
        <f>IF(N277="",0,INDEX(Input_Range,MATCH((C189&amp;B279),Input_Call,0),MATCH(N277,Input_Header,0)))</f>
        <v>0</v>
      </c>
      <c r="O279" s="698">
        <f>IF(O277="",0,INDEX(Input_Range,MATCH((C189&amp;B279),Input_Call,0),MATCH(O277,Input_Header,0)))</f>
        <v>0</v>
      </c>
      <c r="P279" s="698">
        <f>IF(P277="",0,INDEX(Input_Range,MATCH((C189&amp;B279),Input_Call,0),MATCH(P277,Input_Header,0)))</f>
        <v>0</v>
      </c>
      <c r="Q279" s="698">
        <f>IF(Q277="",0,INDEX(Input_Range,MATCH((C189&amp;B279),Input_Call,0),MATCH(Q277,Input_Header,0)))</f>
        <v>0</v>
      </c>
      <c r="R279" s="698">
        <f t="shared" ref="R279:R285" si="339">Q279</f>
        <v>0</v>
      </c>
      <c r="T279" s="699">
        <f t="shared" ref="T279:T285" si="340">T278</f>
        <v>0</v>
      </c>
      <c r="U279" s="699">
        <f t="shared" ref="U279:U285" si="341">U278</f>
        <v>0</v>
      </c>
      <c r="V279" s="699">
        <f t="shared" ref="V279:V285" si="342">V278</f>
        <v>0</v>
      </c>
      <c r="W279" s="699">
        <f t="shared" ref="W279:W285" si="343">W278</f>
        <v>0</v>
      </c>
      <c r="X279" s="699">
        <f t="shared" ref="X279:X285" si="344">X278</f>
        <v>0</v>
      </c>
      <c r="Y279" s="699">
        <f t="shared" ref="Y279:Y285" si="345">Y278</f>
        <v>0</v>
      </c>
      <c r="Z279" s="699">
        <f t="shared" ref="Z279:Z285" si="346">Z278</f>
        <v>0</v>
      </c>
      <c r="AA279" s="699">
        <f t="shared" ref="AA279:AA285" si="347">AA278</f>
        <v>0</v>
      </c>
      <c r="AB279" s="699">
        <f t="shared" ref="AB279:AB285" si="348">AB278</f>
        <v>0</v>
      </c>
      <c r="AC279" s="699">
        <f t="shared" ref="AC279:AC285" si="349">AC278</f>
        <v>0</v>
      </c>
      <c r="AD279" s="699">
        <f t="shared" ref="AD279:AD285" si="350">AD278</f>
        <v>0</v>
      </c>
      <c r="AE279" s="699">
        <f t="shared" ref="AE279:AE285" si="351">AE278</f>
        <v>0</v>
      </c>
      <c r="AF279" s="699">
        <f t="shared" ref="AF279:AF285" si="352">AF278</f>
        <v>0</v>
      </c>
      <c r="AG279" s="699">
        <f t="shared" ref="AG279:AG285" si="353">AG278</f>
        <v>0</v>
      </c>
      <c r="AI279" s="698" t="e">
        <f t="shared" si="336"/>
        <v>#DIV/0!</v>
      </c>
      <c r="AJ279" s="698"/>
      <c r="AK279" s="698"/>
      <c r="AL279" s="4" t="str">
        <f>$A279&amp;$C189&amp;InputSheet!C$42&amp;InputSheet!D$42</f>
        <v>Option Year 7ESDOverheadContr</v>
      </c>
      <c r="AM279" s="700" t="e">
        <f t="shared" si="337"/>
        <v>#DIV/0!</v>
      </c>
      <c r="AP279" s="387" t="e">
        <f t="shared" si="331"/>
        <v>#DIV/0!</v>
      </c>
    </row>
    <row r="280" spans="1:42">
      <c r="A280" s="6" t="str">
        <f t="shared" si="338"/>
        <v>Option Year 7</v>
      </c>
      <c r="B280" s="6" t="str">
        <f t="shared" si="334"/>
        <v>Overhead - Onsite</v>
      </c>
      <c r="E280" s="698">
        <f>IF(E277="",0,INDEX(Input_Range,MATCH((C189&amp;B280),Input_Call,0),MATCH(E277,Input_Header,0)))</f>
        <v>0</v>
      </c>
      <c r="F280" s="698">
        <f>IF(F277="",0,INDEX(Input_Range,MATCH((C189&amp;B280),Input_Call,0),MATCH(F277,Input_Header,0)))</f>
        <v>0</v>
      </c>
      <c r="G280" s="698">
        <f>IF(G277="",0,INDEX(Input_Range,MATCH((C189&amp;B280),Input_Call,0),MATCH(G277,Input_Header,0)))</f>
        <v>0</v>
      </c>
      <c r="H280" s="698">
        <f>IF(H277="",0,INDEX(Input_Range,MATCH((C189&amp;B280),Input_Call,0),MATCH(H277,Input_Header,0)))</f>
        <v>0</v>
      </c>
      <c r="I280" s="698">
        <f>IF(I277="",0,INDEX(Input_Range,MATCH((C189&amp;B280),Input_Call,0),MATCH(I277,Input_Header,0)))</f>
        <v>0</v>
      </c>
      <c r="J280" s="698">
        <f>IF(J277="",0,INDEX(Input_Range,MATCH((C189&amp;B280),Input_Call,0),MATCH(J277,Input_Header,0)))</f>
        <v>0</v>
      </c>
      <c r="K280" s="698">
        <f>IF(K277="",0,INDEX(Input_Range,MATCH((C189&amp;B280),Input_Call,0),MATCH(K277,Input_Header,0)))</f>
        <v>0</v>
      </c>
      <c r="L280" s="698">
        <f>IF(L277="",0,INDEX(Input_Range,MATCH((C189&amp;B280),Input_Call,0),MATCH(L277,Input_Header,0)))</f>
        <v>0</v>
      </c>
      <c r="M280" s="698">
        <f>IF(M277="",0,INDEX(Input_Range,MATCH((C189&amp;B280),Input_Call,0),MATCH(M277,Input_Header,0)))</f>
        <v>0</v>
      </c>
      <c r="N280" s="698">
        <f>IF(N277="",0,INDEX(Input_Range,MATCH((C189&amp;B280),Input_Call,0),MATCH(N277,Input_Header,0)))</f>
        <v>0</v>
      </c>
      <c r="O280" s="698">
        <f>IF(O277="",0,INDEX(Input_Range,MATCH((C189&amp;B280),Input_Call,0),MATCH(O277,Input_Header,0)))</f>
        <v>0</v>
      </c>
      <c r="P280" s="698">
        <f>IF(P277="",0,INDEX(Input_Range,MATCH((C189&amp;B280),Input_Call,0),MATCH(P277,Input_Header,0)))</f>
        <v>0</v>
      </c>
      <c r="Q280" s="698">
        <f>IF(Q277="",0,INDEX(Input_Range,MATCH((C189&amp;B280),Input_Call,0),MATCH(Q277,Input_Header,0)))</f>
        <v>0</v>
      </c>
      <c r="R280" s="698">
        <f t="shared" si="339"/>
        <v>0</v>
      </c>
      <c r="T280" s="699">
        <f t="shared" si="340"/>
        <v>0</v>
      </c>
      <c r="U280" s="699">
        <f t="shared" si="341"/>
        <v>0</v>
      </c>
      <c r="V280" s="699">
        <f t="shared" si="342"/>
        <v>0</v>
      </c>
      <c r="W280" s="699">
        <f t="shared" si="343"/>
        <v>0</v>
      </c>
      <c r="X280" s="699">
        <f t="shared" si="344"/>
        <v>0</v>
      </c>
      <c r="Y280" s="699">
        <f t="shared" si="345"/>
        <v>0</v>
      </c>
      <c r="Z280" s="699">
        <f t="shared" si="346"/>
        <v>0</v>
      </c>
      <c r="AA280" s="699">
        <f t="shared" si="347"/>
        <v>0</v>
      </c>
      <c r="AB280" s="699">
        <f t="shared" si="348"/>
        <v>0</v>
      </c>
      <c r="AC280" s="699">
        <f t="shared" si="349"/>
        <v>0</v>
      </c>
      <c r="AD280" s="699">
        <f t="shared" si="350"/>
        <v>0</v>
      </c>
      <c r="AE280" s="699">
        <f t="shared" si="351"/>
        <v>0</v>
      </c>
      <c r="AF280" s="699">
        <f t="shared" si="352"/>
        <v>0</v>
      </c>
      <c r="AG280" s="699">
        <f t="shared" si="353"/>
        <v>0</v>
      </c>
      <c r="AI280" s="698" t="e">
        <f t="shared" si="336"/>
        <v>#DIV/0!</v>
      </c>
      <c r="AJ280" s="698"/>
      <c r="AK280" s="698"/>
      <c r="AL280" s="4" t="str">
        <f>$A280&amp;$C189&amp;InputSheet!C$43&amp;InputSheet!D$43</f>
        <v>Option Year 7ESDOverheadGovt</v>
      </c>
      <c r="AM280" s="700" t="e">
        <f t="shared" si="337"/>
        <v>#DIV/0!</v>
      </c>
      <c r="AP280" s="387" t="e">
        <f t="shared" si="331"/>
        <v>#DIV/0!</v>
      </c>
    </row>
    <row r="281" spans="1:42">
      <c r="A281" s="6" t="str">
        <f t="shared" si="338"/>
        <v>Option Year 7</v>
      </c>
      <c r="B281" s="6" t="str">
        <f t="shared" si="334"/>
        <v>Material Handling</v>
      </c>
      <c r="E281" s="698">
        <f>IF(E277="",0,INDEX(Input_Range,MATCH((C189&amp;B281),Input_Call,0),MATCH(E277,Input_Header,0)))</f>
        <v>0</v>
      </c>
      <c r="F281" s="698">
        <f>IF(F277="",0,INDEX(Input_Range,MATCH((C189&amp;B281),Input_Call,0),MATCH(F277,Input_Header,0)))</f>
        <v>0</v>
      </c>
      <c r="G281" s="698">
        <f>IF(G277="",0,INDEX(Input_Range,MATCH((C189&amp;B281),Input_Call,0),MATCH(G277,Input_Header,0)))</f>
        <v>0</v>
      </c>
      <c r="H281" s="698">
        <f>IF(H277="",0,INDEX(Input_Range,MATCH((C189&amp;B281),Input_Call,0),MATCH(H277,Input_Header,0)))</f>
        <v>0</v>
      </c>
      <c r="I281" s="698">
        <f>IF(I277="",0,INDEX(Input_Range,MATCH((C189&amp;B281),Input_Call,0),MATCH(I277,Input_Header,0)))</f>
        <v>0</v>
      </c>
      <c r="J281" s="698">
        <f>IF(J277="",0,INDEX(Input_Range,MATCH((C189&amp;B281),Input_Call,0),MATCH(J277,Input_Header,0)))</f>
        <v>0</v>
      </c>
      <c r="K281" s="698">
        <f>IF(K277="",0,INDEX(Input_Range,MATCH((C189&amp;B281),Input_Call,0),MATCH(K277,Input_Header,0)))</f>
        <v>0</v>
      </c>
      <c r="L281" s="698">
        <f>IF(L277="",0,INDEX(Input_Range,MATCH((C189&amp;B281),Input_Call,0),MATCH(L277,Input_Header,0)))</f>
        <v>0</v>
      </c>
      <c r="M281" s="698">
        <f>IF(M277="",0,INDEX(Input_Range,MATCH((C189&amp;B281),Input_Call,0),MATCH(M277,Input_Header,0)))</f>
        <v>0</v>
      </c>
      <c r="N281" s="698">
        <f>IF(N277="",0,INDEX(Input_Range,MATCH((C189&amp;B281),Input_Call,0),MATCH(N277,Input_Header,0)))</f>
        <v>0</v>
      </c>
      <c r="O281" s="698">
        <f>IF(O277="",0,INDEX(Input_Range,MATCH((C189&amp;B281),Input_Call,0),MATCH(O277,Input_Header,0)))</f>
        <v>0</v>
      </c>
      <c r="P281" s="698">
        <f>IF(P277="",0,INDEX(Input_Range,MATCH((C189&amp;B281),Input_Call,0),MATCH(P277,Input_Header,0)))</f>
        <v>0</v>
      </c>
      <c r="Q281" s="698">
        <f>IF(Q277="",0,INDEX(Input_Range,MATCH((C189&amp;B281),Input_Call,0),MATCH(Q277,Input_Header,0)))</f>
        <v>0</v>
      </c>
      <c r="R281" s="698">
        <f t="shared" si="339"/>
        <v>0</v>
      </c>
      <c r="T281" s="699">
        <f t="shared" si="340"/>
        <v>0</v>
      </c>
      <c r="U281" s="699">
        <f t="shared" si="341"/>
        <v>0</v>
      </c>
      <c r="V281" s="699">
        <f t="shared" si="342"/>
        <v>0</v>
      </c>
      <c r="W281" s="699">
        <f t="shared" si="343"/>
        <v>0</v>
      </c>
      <c r="X281" s="699">
        <f t="shared" si="344"/>
        <v>0</v>
      </c>
      <c r="Y281" s="699">
        <f t="shared" si="345"/>
        <v>0</v>
      </c>
      <c r="Z281" s="699">
        <f t="shared" si="346"/>
        <v>0</v>
      </c>
      <c r="AA281" s="699">
        <f t="shared" si="347"/>
        <v>0</v>
      </c>
      <c r="AB281" s="699">
        <f t="shared" si="348"/>
        <v>0</v>
      </c>
      <c r="AC281" s="699">
        <f t="shared" si="349"/>
        <v>0</v>
      </c>
      <c r="AD281" s="699">
        <f t="shared" si="350"/>
        <v>0</v>
      </c>
      <c r="AE281" s="699">
        <f t="shared" si="351"/>
        <v>0</v>
      </c>
      <c r="AF281" s="699">
        <f t="shared" si="352"/>
        <v>0</v>
      </c>
      <c r="AG281" s="699">
        <f t="shared" si="353"/>
        <v>0</v>
      </c>
      <c r="AI281" s="698" t="e">
        <f t="shared" si="336"/>
        <v>#DIV/0!</v>
      </c>
      <c r="AJ281" s="698"/>
      <c r="AK281" s="698"/>
      <c r="AL281" s="4" t="str">
        <f>$A281&amp;$C189&amp;InputSheet!C$44&amp;InputSheet!D$44</f>
        <v>Option Year 7ESDMHContr/Govt</v>
      </c>
      <c r="AM281" s="700" t="e">
        <f t="shared" si="337"/>
        <v>#DIV/0!</v>
      </c>
      <c r="AP281" s="387" t="e">
        <f t="shared" si="331"/>
        <v>#DIV/0!</v>
      </c>
    </row>
    <row r="282" spans="1:42">
      <c r="A282" s="6" t="str">
        <f t="shared" si="338"/>
        <v>Option Year 7</v>
      </c>
      <c r="B282" s="6" t="str">
        <f t="shared" si="334"/>
        <v>G&amp;A</v>
      </c>
      <c r="E282" s="698">
        <f>IF(E277="",0,INDEX(Input_Range,MATCH((C189&amp;B282),Input_Call,0),MATCH(E277,Input_Header,0)))</f>
        <v>0</v>
      </c>
      <c r="F282" s="698">
        <f>IF(F277="",0,INDEX(Input_Range,MATCH((C189&amp;B282),Input_Call,0),MATCH(F277,Input_Header,0)))</f>
        <v>0</v>
      </c>
      <c r="G282" s="698">
        <f>IF(G277="",0,INDEX(Input_Range,MATCH((C189&amp;B282),Input_Call,0),MATCH(G277,Input_Header,0)))</f>
        <v>0</v>
      </c>
      <c r="H282" s="698">
        <f>IF(H277="",0,INDEX(Input_Range,MATCH((C189&amp;B282),Input_Call,0),MATCH(H277,Input_Header,0)))</f>
        <v>0</v>
      </c>
      <c r="I282" s="698">
        <f>IF(I277="",0,INDEX(Input_Range,MATCH((C189&amp;B282),Input_Call,0),MATCH(I277,Input_Header,0)))</f>
        <v>0</v>
      </c>
      <c r="J282" s="698">
        <f>IF(J277="",0,INDEX(Input_Range,MATCH((C189&amp;B282),Input_Call,0),MATCH(J277,Input_Header,0)))</f>
        <v>0</v>
      </c>
      <c r="K282" s="698">
        <f>IF(K277="",0,INDEX(Input_Range,MATCH((C189&amp;B282),Input_Call,0),MATCH(K277,Input_Header,0)))</f>
        <v>0</v>
      </c>
      <c r="L282" s="698">
        <f>IF(L277="",0,INDEX(Input_Range,MATCH((C189&amp;B282),Input_Call,0),MATCH(L277,Input_Header,0)))</f>
        <v>0</v>
      </c>
      <c r="M282" s="698">
        <f>IF(M277="",0,INDEX(Input_Range,MATCH((C189&amp;B282),Input_Call,0),MATCH(M277,Input_Header,0)))</f>
        <v>0</v>
      </c>
      <c r="N282" s="698">
        <f>IF(N277="",0,INDEX(Input_Range,MATCH((C189&amp;B282),Input_Call,0),MATCH(N277,Input_Header,0)))</f>
        <v>0</v>
      </c>
      <c r="O282" s="698">
        <f>IF(O277="",0,INDEX(Input_Range,MATCH((C189&amp;B282),Input_Call,0),MATCH(O277,Input_Header,0)))</f>
        <v>0</v>
      </c>
      <c r="P282" s="698">
        <f>IF(P277="",0,INDEX(Input_Range,MATCH((C189&amp;B282),Input_Call,0),MATCH(P277,Input_Header,0)))</f>
        <v>0</v>
      </c>
      <c r="Q282" s="698">
        <f>IF(Q277="",0,INDEX(Input_Range,MATCH((C189&amp;B282),Input_Call,0),MATCH(Q277,Input_Header,0)))</f>
        <v>0</v>
      </c>
      <c r="R282" s="698">
        <f t="shared" si="339"/>
        <v>0</v>
      </c>
      <c r="T282" s="699">
        <f t="shared" si="340"/>
        <v>0</v>
      </c>
      <c r="U282" s="699">
        <f t="shared" si="341"/>
        <v>0</v>
      </c>
      <c r="V282" s="699">
        <f t="shared" si="342"/>
        <v>0</v>
      </c>
      <c r="W282" s="699">
        <f t="shared" si="343"/>
        <v>0</v>
      </c>
      <c r="X282" s="699">
        <f t="shared" si="344"/>
        <v>0</v>
      </c>
      <c r="Y282" s="699">
        <f t="shared" si="345"/>
        <v>0</v>
      </c>
      <c r="Z282" s="699">
        <f t="shared" si="346"/>
        <v>0</v>
      </c>
      <c r="AA282" s="699">
        <f t="shared" si="347"/>
        <v>0</v>
      </c>
      <c r="AB282" s="699">
        <f t="shared" si="348"/>
        <v>0</v>
      </c>
      <c r="AC282" s="699">
        <f t="shared" si="349"/>
        <v>0</v>
      </c>
      <c r="AD282" s="699">
        <f t="shared" si="350"/>
        <v>0</v>
      </c>
      <c r="AE282" s="699">
        <f t="shared" si="351"/>
        <v>0</v>
      </c>
      <c r="AF282" s="699">
        <f t="shared" si="352"/>
        <v>0</v>
      </c>
      <c r="AG282" s="699">
        <f t="shared" si="353"/>
        <v>0</v>
      </c>
      <c r="AI282" s="698" t="e">
        <f t="shared" si="336"/>
        <v>#DIV/0!</v>
      </c>
      <c r="AJ282" s="698"/>
      <c r="AK282" s="698"/>
      <c r="AL282" s="4" t="str">
        <f>$A282&amp;$C189&amp;InputSheet!C$45&amp;InputSheet!D$45</f>
        <v>Option Year 7ESDG&amp;AContr/Govt</v>
      </c>
      <c r="AM282" s="700" t="e">
        <f t="shared" si="337"/>
        <v>#DIV/0!</v>
      </c>
      <c r="AP282" s="387" t="e">
        <f t="shared" si="331"/>
        <v>#DIV/0!</v>
      </c>
    </row>
    <row r="283" spans="1:42" outlineLevel="1">
      <c r="A283" s="6" t="str">
        <f t="shared" si="338"/>
        <v>Option Year 7</v>
      </c>
      <c r="B283" s="6" t="str">
        <f t="shared" si="334"/>
        <v>TBD1</v>
      </c>
      <c r="E283" s="21">
        <f>IF(E277="",0,INDEX(Input_Range,MATCH((C189&amp;B283),Input_Call,0),MATCH(E277,Input_Header,0)))</f>
        <v>0</v>
      </c>
      <c r="F283" s="21">
        <f>IF(F277="",0,INDEX(Input_Range,MATCH((C189&amp;B283),Input_Call,0),MATCH(F277,Input_Header,0)))</f>
        <v>0</v>
      </c>
      <c r="G283" s="21">
        <f>IF(G277="",0,INDEX(Input_Range,MATCH((C189&amp;B283),Input_Call,0),MATCH(G277,Input_Header,0)))</f>
        <v>0</v>
      </c>
      <c r="H283" s="21">
        <f>IF(H277="",0,INDEX(Input_Range,MATCH((C189&amp;B283),Input_Call,0),MATCH(H277,Input_Header,0)))</f>
        <v>0</v>
      </c>
      <c r="I283" s="21">
        <f>IF(I277="",0,INDEX(Input_Range,MATCH((C189&amp;B283),Input_Call,0),MATCH(I277,Input_Header,0)))</f>
        <v>0</v>
      </c>
      <c r="J283" s="21">
        <f>IF(J277="",0,INDEX(Input_Range,MATCH((C189&amp;B283),Input_Call,0),MATCH(J277,Input_Header,0)))</f>
        <v>0</v>
      </c>
      <c r="K283" s="21">
        <f>IF(K277="",0,INDEX(Input_Range,MATCH((C189&amp;B283),Input_Call,0),MATCH(K277,Input_Header,0)))</f>
        <v>0</v>
      </c>
      <c r="L283" s="21">
        <f>IF(L277="",0,INDEX(Input_Range,MATCH((C189&amp;B283),Input_Call,0),MATCH(L277,Input_Header,0)))</f>
        <v>0</v>
      </c>
      <c r="M283" s="21">
        <f>IF(M277="",0,INDEX(Input_Range,MATCH((C189&amp;B283),Input_Call,0),MATCH(M277,Input_Header,0)))</f>
        <v>0</v>
      </c>
      <c r="N283" s="21">
        <f>IF(N277="",0,INDEX(Input_Range,MATCH((C189&amp;B283),Input_Call,0),MATCH(N277,Input_Header,0)))</f>
        <v>0</v>
      </c>
      <c r="O283" s="21">
        <f>IF(O277="",0,INDEX(Input_Range,MATCH((C189&amp;B283),Input_Call,0),MATCH(O277,Input_Header,0)))</f>
        <v>0</v>
      </c>
      <c r="P283" s="21">
        <f>IF(P277="",0,INDEX(Input_Range,MATCH((C189&amp;B283),Input_Call,0),MATCH(P277,Input_Header,0)))</f>
        <v>0</v>
      </c>
      <c r="Q283" s="21">
        <f>IF(Q277="",0,INDEX(Input_Range,MATCH((C189&amp;B283),Input_Call,0),MATCH(Q277,Input_Header,0)))</f>
        <v>0</v>
      </c>
      <c r="R283" s="698">
        <f t="shared" si="339"/>
        <v>0</v>
      </c>
      <c r="T283" s="699">
        <f t="shared" si="340"/>
        <v>0</v>
      </c>
      <c r="U283" s="699">
        <f t="shared" si="341"/>
        <v>0</v>
      </c>
      <c r="V283" s="699">
        <f t="shared" si="342"/>
        <v>0</v>
      </c>
      <c r="W283" s="699">
        <f t="shared" si="343"/>
        <v>0</v>
      </c>
      <c r="X283" s="699">
        <f t="shared" si="344"/>
        <v>0</v>
      </c>
      <c r="Y283" s="699">
        <f t="shared" si="345"/>
        <v>0</v>
      </c>
      <c r="Z283" s="699">
        <f t="shared" si="346"/>
        <v>0</v>
      </c>
      <c r="AA283" s="699">
        <f t="shared" si="347"/>
        <v>0</v>
      </c>
      <c r="AB283" s="699">
        <f t="shared" si="348"/>
        <v>0</v>
      </c>
      <c r="AC283" s="699">
        <f t="shared" si="349"/>
        <v>0</v>
      </c>
      <c r="AD283" s="699">
        <f t="shared" si="350"/>
        <v>0</v>
      </c>
      <c r="AE283" s="699">
        <f t="shared" si="351"/>
        <v>0</v>
      </c>
      <c r="AF283" s="699">
        <f t="shared" si="352"/>
        <v>0</v>
      </c>
      <c r="AG283" s="699">
        <f t="shared" si="353"/>
        <v>0</v>
      </c>
      <c r="AI283" s="698" t="e">
        <f t="shared" si="336"/>
        <v>#DIV/0!</v>
      </c>
      <c r="AJ283" s="21"/>
      <c r="AK283" s="21"/>
      <c r="AL283" s="4" t="str">
        <f>$A283&amp;$C189&amp;InputSheet!C$46&amp;InputSheet!D$46</f>
        <v>Option Year 7ESDTBD1Contr/Govt</v>
      </c>
      <c r="AM283" s="700" t="e">
        <f t="shared" si="337"/>
        <v>#DIV/0!</v>
      </c>
      <c r="AP283" s="387" t="e">
        <f t="shared" si="331"/>
        <v>#DIV/0!</v>
      </c>
    </row>
    <row r="284" spans="1:42" outlineLevel="1">
      <c r="A284" s="6" t="str">
        <f t="shared" si="338"/>
        <v>Option Year 7</v>
      </c>
      <c r="B284" s="6" t="str">
        <f t="shared" si="334"/>
        <v>TBD2</v>
      </c>
      <c r="E284" s="21">
        <f>IF(E277="",0,INDEX(Input_Range,MATCH((C189&amp;B284),Input_Call,0),MATCH(E277,Input_Header,0)))</f>
        <v>0</v>
      </c>
      <c r="F284" s="21">
        <f>IF(F277="",0,INDEX(Input_Range,MATCH((C189&amp;B284),Input_Call,0),MATCH(F277,Input_Header,0)))</f>
        <v>0</v>
      </c>
      <c r="G284" s="21">
        <f>IF(G277="",0,INDEX(Input_Range,MATCH((C189&amp;B284),Input_Call,0),MATCH(G277,Input_Header,0)))</f>
        <v>0</v>
      </c>
      <c r="H284" s="21">
        <f>IF(H277="",0,INDEX(Input_Range,MATCH((C189&amp;B284),Input_Call,0),MATCH(H277,Input_Header,0)))</f>
        <v>0</v>
      </c>
      <c r="I284" s="21">
        <f>IF(I277="",0,INDEX(Input_Range,MATCH((C189&amp;B284),Input_Call,0),MATCH(I277,Input_Header,0)))</f>
        <v>0</v>
      </c>
      <c r="J284" s="21">
        <f>IF(J277="",0,INDEX(Input_Range,MATCH((C189&amp;B284),Input_Call,0),MATCH(J277,Input_Header,0)))</f>
        <v>0</v>
      </c>
      <c r="K284" s="21">
        <f>IF(K277="",0,INDEX(Input_Range,MATCH((C189&amp;B284),Input_Call,0),MATCH(K277,Input_Header,0)))</f>
        <v>0</v>
      </c>
      <c r="L284" s="21">
        <f>IF(L277="",0,INDEX(Input_Range,MATCH((C189&amp;B284),Input_Call,0),MATCH(L277,Input_Header,0)))</f>
        <v>0</v>
      </c>
      <c r="M284" s="21">
        <f>IF(M277="",0,INDEX(Input_Range,MATCH((C189&amp;B284),Input_Call,0),MATCH(M277,Input_Header,0)))</f>
        <v>0</v>
      </c>
      <c r="N284" s="21">
        <f>IF(N277="",0,INDEX(Input_Range,MATCH((C189&amp;B284),Input_Call,0),MATCH(N277,Input_Header,0)))</f>
        <v>0</v>
      </c>
      <c r="O284" s="21">
        <f>IF(O277="",0,INDEX(Input_Range,MATCH((C189&amp;B284),Input_Call,0),MATCH(O277,Input_Header,0)))</f>
        <v>0</v>
      </c>
      <c r="P284" s="21">
        <f>IF(P277="",0,INDEX(Input_Range,MATCH((C189&amp;B284),Input_Call,0),MATCH(P277,Input_Header,0)))</f>
        <v>0</v>
      </c>
      <c r="Q284" s="21">
        <f>IF(Q277="",0,INDEX(Input_Range,MATCH((C189&amp;B284),Input_Call,0),MATCH(Q277,Input_Header,0)))</f>
        <v>0</v>
      </c>
      <c r="R284" s="698">
        <f t="shared" si="339"/>
        <v>0</v>
      </c>
      <c r="T284" s="699">
        <f t="shared" si="340"/>
        <v>0</v>
      </c>
      <c r="U284" s="699">
        <f t="shared" si="341"/>
        <v>0</v>
      </c>
      <c r="V284" s="699">
        <f t="shared" si="342"/>
        <v>0</v>
      </c>
      <c r="W284" s="699">
        <f t="shared" si="343"/>
        <v>0</v>
      </c>
      <c r="X284" s="699">
        <f t="shared" si="344"/>
        <v>0</v>
      </c>
      <c r="Y284" s="699">
        <f t="shared" si="345"/>
        <v>0</v>
      </c>
      <c r="Z284" s="699">
        <f t="shared" si="346"/>
        <v>0</v>
      </c>
      <c r="AA284" s="699">
        <f t="shared" si="347"/>
        <v>0</v>
      </c>
      <c r="AB284" s="699">
        <f t="shared" si="348"/>
        <v>0</v>
      </c>
      <c r="AC284" s="699">
        <f t="shared" si="349"/>
        <v>0</v>
      </c>
      <c r="AD284" s="699">
        <f t="shared" si="350"/>
        <v>0</v>
      </c>
      <c r="AE284" s="699">
        <f t="shared" si="351"/>
        <v>0</v>
      </c>
      <c r="AF284" s="699">
        <f t="shared" si="352"/>
        <v>0</v>
      </c>
      <c r="AG284" s="699">
        <f t="shared" si="353"/>
        <v>0</v>
      </c>
      <c r="AI284" s="698" t="e">
        <f t="shared" si="336"/>
        <v>#DIV/0!</v>
      </c>
      <c r="AJ284" s="21"/>
      <c r="AK284" s="21"/>
      <c r="AL284" s="4" t="str">
        <f>$A284&amp;$C189&amp;InputSheet!C$47&amp;InputSheet!D$47</f>
        <v>Option Year 7ESDTBD2Contr/Govt</v>
      </c>
      <c r="AM284" s="700" t="e">
        <f t="shared" si="337"/>
        <v>#DIV/0!</v>
      </c>
      <c r="AP284" s="387" t="e">
        <f t="shared" si="331"/>
        <v>#DIV/0!</v>
      </c>
    </row>
    <row r="285" spans="1:42" outlineLevel="1">
      <c r="A285" s="6" t="str">
        <f t="shared" si="338"/>
        <v>Option Year 7</v>
      </c>
      <c r="B285" s="6" t="str">
        <f t="shared" si="334"/>
        <v>TBD3</v>
      </c>
      <c r="E285" s="21">
        <f>IF(E277="",0,INDEX(Input_Range,MATCH((C189&amp;B285),Input_Call,0),MATCH(E277,Input_Header,0)))</f>
        <v>0</v>
      </c>
      <c r="F285" s="21">
        <f>IF(F277="",0,INDEX(Input_Range,MATCH((C189&amp;B285),Input_Call,0),MATCH(F277,Input_Header,0)))</f>
        <v>0</v>
      </c>
      <c r="G285" s="21">
        <f>IF(G277="",0,INDEX(Input_Range,MATCH((C189&amp;B285),Input_Call,0),MATCH(G277,Input_Header,0)))</f>
        <v>0</v>
      </c>
      <c r="H285" s="21">
        <f>IF(H277="",0,INDEX(Input_Range,MATCH((C189&amp;B285),Input_Call,0),MATCH(H277,Input_Header,0)))</f>
        <v>0</v>
      </c>
      <c r="I285" s="21">
        <f>IF(I277="",0,INDEX(Input_Range,MATCH((C189&amp;B285),Input_Call,0),MATCH(I277,Input_Header,0)))</f>
        <v>0</v>
      </c>
      <c r="J285" s="21">
        <f>IF(J277="",0,INDEX(Input_Range,MATCH((C189&amp;B285),Input_Call,0),MATCH(J277,Input_Header,0)))</f>
        <v>0</v>
      </c>
      <c r="K285" s="21">
        <f>IF(K277="",0,INDEX(Input_Range,MATCH((C189&amp;B285),Input_Call,0),MATCH(K277,Input_Header,0)))</f>
        <v>0</v>
      </c>
      <c r="L285" s="21">
        <f>IF(L277="",0,INDEX(Input_Range,MATCH((C189&amp;B285),Input_Call,0),MATCH(L277,Input_Header,0)))</f>
        <v>0</v>
      </c>
      <c r="M285" s="21">
        <f>IF(M277="",0,INDEX(Input_Range,MATCH((C189&amp;B285),Input_Call,0),MATCH(M277,Input_Header,0)))</f>
        <v>0</v>
      </c>
      <c r="N285" s="21">
        <f>IF(N277="",0,INDEX(Input_Range,MATCH((C189&amp;B285),Input_Call,0),MATCH(N277,Input_Header,0)))</f>
        <v>0</v>
      </c>
      <c r="O285" s="21">
        <f>IF(O277="",0,INDEX(Input_Range,MATCH((C189&amp;B285),Input_Call,0),MATCH(O277,Input_Header,0)))</f>
        <v>0</v>
      </c>
      <c r="P285" s="21">
        <f>IF(P277="",0,INDEX(Input_Range,MATCH((C189&amp;B285),Input_Call,0),MATCH(P277,Input_Header,0)))</f>
        <v>0</v>
      </c>
      <c r="Q285" s="21">
        <f>IF(Q277="",0,INDEX(Input_Range,MATCH((C189&amp;B285),Input_Call,0),MATCH(Q277,Input_Header,0)))</f>
        <v>0</v>
      </c>
      <c r="R285" s="698">
        <f t="shared" si="339"/>
        <v>0</v>
      </c>
      <c r="T285" s="699">
        <f t="shared" si="340"/>
        <v>0</v>
      </c>
      <c r="U285" s="699">
        <f t="shared" si="341"/>
        <v>0</v>
      </c>
      <c r="V285" s="699">
        <f t="shared" si="342"/>
        <v>0</v>
      </c>
      <c r="W285" s="699">
        <f t="shared" si="343"/>
        <v>0</v>
      </c>
      <c r="X285" s="699">
        <f t="shared" si="344"/>
        <v>0</v>
      </c>
      <c r="Y285" s="699">
        <f t="shared" si="345"/>
        <v>0</v>
      </c>
      <c r="Z285" s="699">
        <f t="shared" si="346"/>
        <v>0</v>
      </c>
      <c r="AA285" s="699">
        <f t="shared" si="347"/>
        <v>0</v>
      </c>
      <c r="AB285" s="699">
        <f t="shared" si="348"/>
        <v>0</v>
      </c>
      <c r="AC285" s="699">
        <f t="shared" si="349"/>
        <v>0</v>
      </c>
      <c r="AD285" s="699">
        <f t="shared" si="350"/>
        <v>0</v>
      </c>
      <c r="AE285" s="699">
        <f t="shared" si="351"/>
        <v>0</v>
      </c>
      <c r="AF285" s="699">
        <f t="shared" si="352"/>
        <v>0</v>
      </c>
      <c r="AG285" s="699">
        <f t="shared" si="353"/>
        <v>0</v>
      </c>
      <c r="AI285" s="698" t="e">
        <f t="shared" si="336"/>
        <v>#DIV/0!</v>
      </c>
      <c r="AJ285" s="21"/>
      <c r="AK285" s="21"/>
      <c r="AL285" s="4" t="str">
        <f>$A285&amp;$C189&amp;InputSheet!C$48&amp;InputSheet!D$48</f>
        <v>Option Year 7ESDTBD3Contr/Govt</v>
      </c>
      <c r="AM285" s="700" t="e">
        <f t="shared" si="337"/>
        <v>#DIV/0!</v>
      </c>
      <c r="AP285" s="387" t="e">
        <f t="shared" si="331"/>
        <v>#DIV/0!</v>
      </c>
    </row>
    <row r="286" spans="1:42">
      <c r="E286" s="698"/>
      <c r="F286" s="698"/>
      <c r="G286" s="698"/>
      <c r="H286" s="698"/>
      <c r="I286" s="698"/>
      <c r="J286" s="698"/>
      <c r="K286" s="698"/>
      <c r="L286" s="698"/>
      <c r="M286" s="698"/>
      <c r="N286" s="698"/>
      <c r="O286" s="698"/>
      <c r="P286" s="698"/>
      <c r="Q286" s="698"/>
      <c r="R286" s="698"/>
      <c r="AI286" s="21"/>
      <c r="AJ286" s="21"/>
      <c r="AK286" s="21"/>
      <c r="AP286" s="387" t="str">
        <f t="shared" si="331"/>
        <v>1</v>
      </c>
    </row>
    <row r="287" spans="1:42">
      <c r="A287" s="530" t="str">
        <f>B287</f>
        <v>Option Year 8</v>
      </c>
      <c r="B287" s="691" t="str">
        <f>InputSheet!$C$30</f>
        <v>Option Year 8</v>
      </c>
      <c r="AP287" s="387" t="str">
        <f t="shared" si="331"/>
        <v>1</v>
      </c>
    </row>
    <row r="288" spans="1:42">
      <c r="B288" s="314" t="s">
        <v>587</v>
      </c>
      <c r="C288" s="692" t="s">
        <v>588</v>
      </c>
      <c r="E288" s="1216" t="str">
        <f>"Indirect Rates - "&amp;C$189</f>
        <v>Indirect Rates - ESD</v>
      </c>
      <c r="F288" s="1216"/>
      <c r="G288" s="1216"/>
      <c r="H288" s="1216"/>
      <c r="I288" s="1216"/>
      <c r="J288" s="1216"/>
      <c r="K288" s="1216"/>
      <c r="L288" s="1216"/>
      <c r="M288" s="1216"/>
      <c r="N288" s="1216"/>
      <c r="O288" s="1216"/>
      <c r="P288" s="1216"/>
      <c r="Q288" s="1216"/>
      <c r="R288" s="1216"/>
      <c r="S288" s="844"/>
      <c r="T288" s="1217" t="s">
        <v>794</v>
      </c>
      <c r="U288" s="1217"/>
      <c r="V288" s="1217"/>
      <c r="W288" s="1217"/>
      <c r="X288" s="1217"/>
      <c r="Y288" s="1217"/>
      <c r="Z288" s="1217"/>
      <c r="AA288" s="1217"/>
      <c r="AB288" s="1217"/>
      <c r="AC288" s="1217"/>
      <c r="AD288" s="1217"/>
      <c r="AE288" s="1217"/>
      <c r="AF288" s="1217"/>
      <c r="AG288" s="1217"/>
      <c r="AI288" s="692" t="s">
        <v>615</v>
      </c>
      <c r="AJ288" s="50"/>
      <c r="AK288" s="50"/>
      <c r="AP288" s="387" t="str">
        <f t="shared" si="331"/>
        <v>1</v>
      </c>
    </row>
    <row r="289" spans="1:42">
      <c r="B289" s="693">
        <f>VLOOKUP(A287,InputSheet!$C$8:$E$37,2,FALSE)</f>
        <v>1097</v>
      </c>
      <c r="C289" s="694">
        <f>VLOOKUP(A287,InputSheet!$C$8:$E$37,3,FALSE)</f>
        <v>1461</v>
      </c>
      <c r="E289" s="695">
        <f t="shared" ref="E289:R289" si="354">E277</f>
        <v>2009</v>
      </c>
      <c r="F289" s="695">
        <f t="shared" si="354"/>
        <v>2010</v>
      </c>
      <c r="G289" s="695">
        <f t="shared" si="354"/>
        <v>2011</v>
      </c>
      <c r="H289" s="695">
        <f t="shared" si="354"/>
        <v>2012</v>
      </c>
      <c r="I289" s="695">
        <f t="shared" si="354"/>
        <v>2013</v>
      </c>
      <c r="J289" s="695">
        <f t="shared" si="354"/>
        <v>2014</v>
      </c>
      <c r="K289" s="695">
        <f t="shared" si="354"/>
        <v>2015</v>
      </c>
      <c r="L289" s="695">
        <f t="shared" si="354"/>
        <v>2016</v>
      </c>
      <c r="M289" s="695">
        <f t="shared" si="354"/>
        <v>2017</v>
      </c>
      <c r="N289" s="695">
        <f t="shared" si="354"/>
        <v>2018</v>
      </c>
      <c r="O289" s="695">
        <f t="shared" si="354"/>
        <v>2019</v>
      </c>
      <c r="P289" s="695">
        <f t="shared" si="354"/>
        <v>2020</v>
      </c>
      <c r="Q289" s="695">
        <f t="shared" si="354"/>
        <v>2021</v>
      </c>
      <c r="R289" s="695">
        <f t="shared" si="354"/>
        <v>2022</v>
      </c>
      <c r="S289" s="680"/>
      <c r="T289" s="695">
        <f t="shared" ref="T289:AG289" si="355">T277</f>
        <v>2009</v>
      </c>
      <c r="U289" s="695">
        <f t="shared" si="355"/>
        <v>2010</v>
      </c>
      <c r="V289" s="695">
        <f t="shared" si="355"/>
        <v>2011</v>
      </c>
      <c r="W289" s="695">
        <f t="shared" si="355"/>
        <v>2012</v>
      </c>
      <c r="X289" s="695">
        <f t="shared" si="355"/>
        <v>2013</v>
      </c>
      <c r="Y289" s="695">
        <f t="shared" si="355"/>
        <v>2014</v>
      </c>
      <c r="Z289" s="695">
        <f t="shared" si="355"/>
        <v>2015</v>
      </c>
      <c r="AA289" s="695">
        <f t="shared" si="355"/>
        <v>2016</v>
      </c>
      <c r="AB289" s="695">
        <f t="shared" si="355"/>
        <v>2017</v>
      </c>
      <c r="AC289" s="695">
        <f t="shared" si="355"/>
        <v>2018</v>
      </c>
      <c r="AD289" s="695">
        <f t="shared" si="355"/>
        <v>2019</v>
      </c>
      <c r="AE289" s="695">
        <f t="shared" si="355"/>
        <v>2020</v>
      </c>
      <c r="AF289" s="695">
        <f t="shared" si="355"/>
        <v>2021</v>
      </c>
      <c r="AG289" s="695">
        <f t="shared" si="355"/>
        <v>2022</v>
      </c>
      <c r="AI289" s="696" t="str">
        <f>B287</f>
        <v>Option Year 8</v>
      </c>
      <c r="AJ289" s="28"/>
      <c r="AK289" s="28"/>
      <c r="AP289" s="387" t="str">
        <f t="shared" si="331"/>
        <v>1</v>
      </c>
    </row>
    <row r="290" spans="1:42">
      <c r="A290" s="6" t="str">
        <f>A287</f>
        <v>Option Year 8</v>
      </c>
      <c r="B290" s="6" t="str">
        <f t="shared" ref="B290:B297" si="356">B278</f>
        <v>PRB</v>
      </c>
      <c r="E290" s="698">
        <f>IF(E289="",0,INDEX(Input_Range,MATCH((C189&amp;B290),Input_Call,0),MATCH(E289,Input_Header,0)))</f>
        <v>0</v>
      </c>
      <c r="F290" s="698">
        <f>IF(F289="",0,INDEX(Input_Range,MATCH((C189&amp;B290),Input_Call,0),MATCH(F289,Input_Header,0)))</f>
        <v>0</v>
      </c>
      <c r="G290" s="698">
        <f>IF(G289="",0,INDEX(Input_Range,MATCH((C189&amp;B290),Input_Call,0),MATCH(G289,Input_Header,0)))</f>
        <v>0</v>
      </c>
      <c r="H290" s="698">
        <f>IF(H289="",0,INDEX(Input_Range,MATCH((C189&amp;B290),Input_Call,0),MATCH(H289,Input_Header,0)))</f>
        <v>0</v>
      </c>
      <c r="I290" s="698">
        <f>IF(I289="",0,INDEX(Input_Range,MATCH((C189&amp;B290),Input_Call,0),MATCH(I289,Input_Header,0)))</f>
        <v>0</v>
      </c>
      <c r="J290" s="698">
        <f>IF(J289="",0,INDEX(Input_Range,MATCH((C189&amp;B290),Input_Call,0),MATCH(J289,Input_Header,0)))</f>
        <v>0</v>
      </c>
      <c r="K290" s="698">
        <f>IF(K289="",0,INDEX(Input_Range,MATCH((C189&amp;B290),Input_Call,0),MATCH(K289,Input_Header,0)))</f>
        <v>0</v>
      </c>
      <c r="L290" s="698">
        <f>IF(L289="",0,INDEX(Input_Range,MATCH((C189&amp;B290),Input_Call,0),MATCH(L289,Input_Header,0)))</f>
        <v>0</v>
      </c>
      <c r="M290" s="698">
        <f>IF(M289="",0,INDEX(Input_Range,MATCH((C189&amp;B290),Input_Call,0),MATCH(M289,Input_Header,0)))</f>
        <v>0</v>
      </c>
      <c r="N290" s="698">
        <f>IF(N289="",0,INDEX(Input_Range,MATCH((C189&amp;B290),Input_Call,0),MATCH(N289,Input_Header,0)))</f>
        <v>0</v>
      </c>
      <c r="O290" s="698">
        <f>IF(O289="",0,INDEX(Input_Range,MATCH((C189&amp;B290),Input_Call,0),MATCH(O289,Input_Header,0)))</f>
        <v>0</v>
      </c>
      <c r="P290" s="698">
        <f>IF(P289="",0,INDEX(Input_Range,MATCH((C189&amp;B290),Input_Call,0),MATCH(P289,Input_Header,0)))</f>
        <v>0</v>
      </c>
      <c r="Q290" s="698">
        <f>IF(Q289="",0,INDEX(Input_Range,MATCH((C189&amp;B290),Input_Call,0),MATCH(Q289,Input_Header,0)))</f>
        <v>0</v>
      </c>
      <c r="R290" s="698">
        <f>Q290</f>
        <v>0</v>
      </c>
      <c r="T290" s="699">
        <f t="shared" ref="T290:AG290" si="357">ROUND((MAX(0,(MIN($C289,DATE(T289,12,31))-MAX($B289,DATE(T289,1,1))+1)))/30.41667,0)</f>
        <v>0</v>
      </c>
      <c r="U290" s="699">
        <f t="shared" si="357"/>
        <v>0</v>
      </c>
      <c r="V290" s="699">
        <f t="shared" si="357"/>
        <v>0</v>
      </c>
      <c r="W290" s="699">
        <f t="shared" si="357"/>
        <v>0</v>
      </c>
      <c r="X290" s="699">
        <f t="shared" si="357"/>
        <v>0</v>
      </c>
      <c r="Y290" s="699">
        <f t="shared" si="357"/>
        <v>0</v>
      </c>
      <c r="Z290" s="699">
        <f t="shared" si="357"/>
        <v>0</v>
      </c>
      <c r="AA290" s="699">
        <f t="shared" si="357"/>
        <v>0</v>
      </c>
      <c r="AB290" s="699">
        <f t="shared" si="357"/>
        <v>0</v>
      </c>
      <c r="AC290" s="699">
        <f t="shared" si="357"/>
        <v>0</v>
      </c>
      <c r="AD290" s="699">
        <f t="shared" si="357"/>
        <v>0</v>
      </c>
      <c r="AE290" s="699">
        <f t="shared" si="357"/>
        <v>0</v>
      </c>
      <c r="AF290" s="699">
        <f t="shared" si="357"/>
        <v>0</v>
      </c>
      <c r="AG290" s="699">
        <f t="shared" si="357"/>
        <v>0</v>
      </c>
      <c r="AI290" s="698" t="e">
        <f t="shared" ref="AI290:AI297" si="358">ROUND(SUMPRODUCT(E290:R290,T290:AG290)/SUM(T290:AG290),4)</f>
        <v>#DIV/0!</v>
      </c>
      <c r="AJ290" s="698"/>
      <c r="AK290" s="698"/>
      <c r="AL290" s="4" t="str">
        <f>$A290&amp;$C189&amp;InputSheet!C$41&amp;InputSheet!D$41</f>
        <v>Option Year 8ESDPRBContr/Govt</v>
      </c>
      <c r="AM290" s="700" t="e">
        <f t="shared" ref="AM290:AM297" si="359">AI290</f>
        <v>#DIV/0!</v>
      </c>
      <c r="AP290" s="387" t="e">
        <f t="shared" si="331"/>
        <v>#DIV/0!</v>
      </c>
    </row>
    <row r="291" spans="1:42">
      <c r="A291" s="6" t="str">
        <f t="shared" ref="A291:A297" si="360">A290</f>
        <v>Option Year 8</v>
      </c>
      <c r="B291" s="6" t="str">
        <f t="shared" si="356"/>
        <v>Overhead - Offsite</v>
      </c>
      <c r="E291" s="698">
        <f>IF(E289="",0,INDEX(Input_Range,MATCH((C189&amp;B291),Input_Call,0),MATCH(E289,Input_Header,0)))</f>
        <v>0</v>
      </c>
      <c r="F291" s="698">
        <f>IF(F289="",0,INDEX(Input_Range,MATCH((C189&amp;B291),Input_Call,0),MATCH(F289,Input_Header,0)))</f>
        <v>0</v>
      </c>
      <c r="G291" s="698">
        <f>IF(G289="",0,INDEX(Input_Range,MATCH((C189&amp;B291),Input_Call,0),MATCH(G289,Input_Header,0)))</f>
        <v>0</v>
      </c>
      <c r="H291" s="698">
        <f>IF(H289="",0,INDEX(Input_Range,MATCH((C189&amp;B291),Input_Call,0),MATCH(H289,Input_Header,0)))</f>
        <v>0</v>
      </c>
      <c r="I291" s="698">
        <f>IF(I289="",0,INDEX(Input_Range,MATCH((C189&amp;B291),Input_Call,0),MATCH(I289,Input_Header,0)))</f>
        <v>0</v>
      </c>
      <c r="J291" s="698">
        <f>IF(J289="",0,INDEX(Input_Range,MATCH((C189&amp;B291),Input_Call,0),MATCH(J289,Input_Header,0)))</f>
        <v>0</v>
      </c>
      <c r="K291" s="698">
        <f>IF(K289="",0,INDEX(Input_Range,MATCH((C189&amp;B291),Input_Call,0),MATCH(K289,Input_Header,0)))</f>
        <v>0</v>
      </c>
      <c r="L291" s="698">
        <f>IF(L289="",0,INDEX(Input_Range,MATCH((C189&amp;B291),Input_Call,0),MATCH(L289,Input_Header,0)))</f>
        <v>0</v>
      </c>
      <c r="M291" s="698">
        <f>IF(M289="",0,INDEX(Input_Range,MATCH((C189&amp;B291),Input_Call,0),MATCH(M289,Input_Header,0)))</f>
        <v>0</v>
      </c>
      <c r="N291" s="698">
        <f>IF(N289="",0,INDEX(Input_Range,MATCH((C189&amp;B291),Input_Call,0),MATCH(N289,Input_Header,0)))</f>
        <v>0</v>
      </c>
      <c r="O291" s="698">
        <f>IF(O289="",0,INDEX(Input_Range,MATCH((C189&amp;B291),Input_Call,0),MATCH(O289,Input_Header,0)))</f>
        <v>0</v>
      </c>
      <c r="P291" s="698">
        <f>IF(P289="",0,INDEX(Input_Range,MATCH((C189&amp;B291),Input_Call,0),MATCH(P289,Input_Header,0)))</f>
        <v>0</v>
      </c>
      <c r="Q291" s="698">
        <f>IF(Q289="",0,INDEX(Input_Range,MATCH((C189&amp;B291),Input_Call,0),MATCH(Q289,Input_Header,0)))</f>
        <v>0</v>
      </c>
      <c r="R291" s="698">
        <f t="shared" ref="R291:R297" si="361">Q291</f>
        <v>0</v>
      </c>
      <c r="T291" s="699">
        <f t="shared" ref="T291:T297" si="362">T290</f>
        <v>0</v>
      </c>
      <c r="U291" s="699">
        <f t="shared" ref="U291:U297" si="363">U290</f>
        <v>0</v>
      </c>
      <c r="V291" s="699">
        <f t="shared" ref="V291:V297" si="364">V290</f>
        <v>0</v>
      </c>
      <c r="W291" s="699">
        <f t="shared" ref="W291:W297" si="365">W290</f>
        <v>0</v>
      </c>
      <c r="X291" s="699">
        <f t="shared" ref="X291:X297" si="366">X290</f>
        <v>0</v>
      </c>
      <c r="Y291" s="699">
        <f t="shared" ref="Y291:Y297" si="367">Y290</f>
        <v>0</v>
      </c>
      <c r="Z291" s="699">
        <f t="shared" ref="Z291:Z297" si="368">Z290</f>
        <v>0</v>
      </c>
      <c r="AA291" s="699">
        <f t="shared" ref="AA291:AA297" si="369">AA290</f>
        <v>0</v>
      </c>
      <c r="AB291" s="699">
        <f t="shared" ref="AB291:AB297" si="370">AB290</f>
        <v>0</v>
      </c>
      <c r="AC291" s="699">
        <f t="shared" ref="AC291:AC297" si="371">AC290</f>
        <v>0</v>
      </c>
      <c r="AD291" s="699">
        <f t="shared" ref="AD291:AD297" si="372">AD290</f>
        <v>0</v>
      </c>
      <c r="AE291" s="699">
        <f t="shared" ref="AE291:AE297" si="373">AE290</f>
        <v>0</v>
      </c>
      <c r="AF291" s="699">
        <f t="shared" ref="AF291:AF297" si="374">AF290</f>
        <v>0</v>
      </c>
      <c r="AG291" s="699">
        <f t="shared" ref="AG291:AG297" si="375">AG290</f>
        <v>0</v>
      </c>
      <c r="AI291" s="698" t="e">
        <f t="shared" si="358"/>
        <v>#DIV/0!</v>
      </c>
      <c r="AJ291" s="698"/>
      <c r="AK291" s="698"/>
      <c r="AL291" s="4" t="str">
        <f>$A291&amp;$C189&amp;InputSheet!C$42&amp;InputSheet!D$42</f>
        <v>Option Year 8ESDOverheadContr</v>
      </c>
      <c r="AM291" s="700" t="e">
        <f t="shared" si="359"/>
        <v>#DIV/0!</v>
      </c>
      <c r="AP291" s="387" t="e">
        <f t="shared" si="331"/>
        <v>#DIV/0!</v>
      </c>
    </row>
    <row r="292" spans="1:42">
      <c r="A292" s="6" t="str">
        <f t="shared" si="360"/>
        <v>Option Year 8</v>
      </c>
      <c r="B292" s="6" t="str">
        <f t="shared" si="356"/>
        <v>Overhead - Onsite</v>
      </c>
      <c r="E292" s="698">
        <f>IF(E289="",0,INDEX(Input_Range,MATCH((C189&amp;B292),Input_Call,0),MATCH(E289,Input_Header,0)))</f>
        <v>0</v>
      </c>
      <c r="F292" s="698">
        <f>IF(F289="",0,INDEX(Input_Range,MATCH((C189&amp;B292),Input_Call,0),MATCH(F289,Input_Header,0)))</f>
        <v>0</v>
      </c>
      <c r="G292" s="698">
        <f>IF(G289="",0,INDEX(Input_Range,MATCH((C189&amp;B292),Input_Call,0),MATCH(G289,Input_Header,0)))</f>
        <v>0</v>
      </c>
      <c r="H292" s="698">
        <f>IF(H289="",0,INDEX(Input_Range,MATCH((C189&amp;B292),Input_Call,0),MATCH(H289,Input_Header,0)))</f>
        <v>0</v>
      </c>
      <c r="I292" s="698">
        <f>IF(I289="",0,INDEX(Input_Range,MATCH((C189&amp;B292),Input_Call,0),MATCH(I289,Input_Header,0)))</f>
        <v>0</v>
      </c>
      <c r="J292" s="698">
        <f>IF(J289="",0,INDEX(Input_Range,MATCH((C189&amp;B292),Input_Call,0),MATCH(J289,Input_Header,0)))</f>
        <v>0</v>
      </c>
      <c r="K292" s="698">
        <f>IF(K289="",0,INDEX(Input_Range,MATCH((C189&amp;B292),Input_Call,0),MATCH(K289,Input_Header,0)))</f>
        <v>0</v>
      </c>
      <c r="L292" s="698">
        <f>IF(L289="",0,INDEX(Input_Range,MATCH((C189&amp;B292),Input_Call,0),MATCH(L289,Input_Header,0)))</f>
        <v>0</v>
      </c>
      <c r="M292" s="698">
        <f>IF(M289="",0,INDEX(Input_Range,MATCH((C189&amp;B292),Input_Call,0),MATCH(M289,Input_Header,0)))</f>
        <v>0</v>
      </c>
      <c r="N292" s="698">
        <f>IF(N289="",0,INDEX(Input_Range,MATCH((C189&amp;B292),Input_Call,0),MATCH(N289,Input_Header,0)))</f>
        <v>0</v>
      </c>
      <c r="O292" s="698">
        <f>IF(O289="",0,INDEX(Input_Range,MATCH((C189&amp;B292),Input_Call,0),MATCH(O289,Input_Header,0)))</f>
        <v>0</v>
      </c>
      <c r="P292" s="698">
        <f>IF(P289="",0,INDEX(Input_Range,MATCH((C189&amp;B292),Input_Call,0),MATCH(P289,Input_Header,0)))</f>
        <v>0</v>
      </c>
      <c r="Q292" s="698">
        <f>IF(Q289="",0,INDEX(Input_Range,MATCH((C189&amp;B292),Input_Call,0),MATCH(Q289,Input_Header,0)))</f>
        <v>0</v>
      </c>
      <c r="R292" s="698">
        <f t="shared" si="361"/>
        <v>0</v>
      </c>
      <c r="T292" s="699">
        <f t="shared" si="362"/>
        <v>0</v>
      </c>
      <c r="U292" s="699">
        <f t="shared" si="363"/>
        <v>0</v>
      </c>
      <c r="V292" s="699">
        <f t="shared" si="364"/>
        <v>0</v>
      </c>
      <c r="W292" s="699">
        <f t="shared" si="365"/>
        <v>0</v>
      </c>
      <c r="X292" s="699">
        <f t="shared" si="366"/>
        <v>0</v>
      </c>
      <c r="Y292" s="699">
        <f t="shared" si="367"/>
        <v>0</v>
      </c>
      <c r="Z292" s="699">
        <f t="shared" si="368"/>
        <v>0</v>
      </c>
      <c r="AA292" s="699">
        <f t="shared" si="369"/>
        <v>0</v>
      </c>
      <c r="AB292" s="699">
        <f t="shared" si="370"/>
        <v>0</v>
      </c>
      <c r="AC292" s="699">
        <f t="shared" si="371"/>
        <v>0</v>
      </c>
      <c r="AD292" s="699">
        <f t="shared" si="372"/>
        <v>0</v>
      </c>
      <c r="AE292" s="699">
        <f t="shared" si="373"/>
        <v>0</v>
      </c>
      <c r="AF292" s="699">
        <f t="shared" si="374"/>
        <v>0</v>
      </c>
      <c r="AG292" s="699">
        <f t="shared" si="375"/>
        <v>0</v>
      </c>
      <c r="AI292" s="698" t="e">
        <f t="shared" si="358"/>
        <v>#DIV/0!</v>
      </c>
      <c r="AJ292" s="698"/>
      <c r="AK292" s="698"/>
      <c r="AL292" s="4" t="str">
        <f>$A292&amp;$C189&amp;InputSheet!C$43&amp;InputSheet!D$43</f>
        <v>Option Year 8ESDOverheadGovt</v>
      </c>
      <c r="AM292" s="700" t="e">
        <f t="shared" si="359"/>
        <v>#DIV/0!</v>
      </c>
      <c r="AP292" s="387" t="e">
        <f t="shared" si="331"/>
        <v>#DIV/0!</v>
      </c>
    </row>
    <row r="293" spans="1:42">
      <c r="A293" s="6" t="str">
        <f t="shared" si="360"/>
        <v>Option Year 8</v>
      </c>
      <c r="B293" s="6" t="str">
        <f t="shared" si="356"/>
        <v>Material Handling</v>
      </c>
      <c r="E293" s="698">
        <f>IF(E289="",0,INDEX(Input_Range,MATCH((C189&amp;B293),Input_Call,0),MATCH(E289,Input_Header,0)))</f>
        <v>0</v>
      </c>
      <c r="F293" s="698">
        <f>IF(F289="",0,INDEX(Input_Range,MATCH((C189&amp;B293),Input_Call,0),MATCH(F289,Input_Header,0)))</f>
        <v>0</v>
      </c>
      <c r="G293" s="698">
        <f>IF(G289="",0,INDEX(Input_Range,MATCH((C189&amp;B293),Input_Call,0),MATCH(G289,Input_Header,0)))</f>
        <v>0</v>
      </c>
      <c r="H293" s="698">
        <f>IF(H289="",0,INDEX(Input_Range,MATCH((C189&amp;B293),Input_Call,0),MATCH(H289,Input_Header,0)))</f>
        <v>0</v>
      </c>
      <c r="I293" s="698">
        <f>IF(I289="",0,INDEX(Input_Range,MATCH((C189&amp;B293),Input_Call,0),MATCH(I289,Input_Header,0)))</f>
        <v>0</v>
      </c>
      <c r="J293" s="698">
        <f>IF(J289="",0,INDEX(Input_Range,MATCH((C189&amp;B293),Input_Call,0),MATCH(J289,Input_Header,0)))</f>
        <v>0</v>
      </c>
      <c r="K293" s="698">
        <f>IF(K289="",0,INDEX(Input_Range,MATCH((C189&amp;B293),Input_Call,0),MATCH(K289,Input_Header,0)))</f>
        <v>0</v>
      </c>
      <c r="L293" s="698">
        <f>IF(L289="",0,INDEX(Input_Range,MATCH((C189&amp;B293),Input_Call,0),MATCH(L289,Input_Header,0)))</f>
        <v>0</v>
      </c>
      <c r="M293" s="698">
        <f>IF(M289="",0,INDEX(Input_Range,MATCH((C189&amp;B293),Input_Call,0),MATCH(M289,Input_Header,0)))</f>
        <v>0</v>
      </c>
      <c r="N293" s="698">
        <f>IF(N289="",0,INDEX(Input_Range,MATCH((C189&amp;B293),Input_Call,0),MATCH(N289,Input_Header,0)))</f>
        <v>0</v>
      </c>
      <c r="O293" s="698">
        <f>IF(O289="",0,INDEX(Input_Range,MATCH((C189&amp;B293),Input_Call,0),MATCH(O289,Input_Header,0)))</f>
        <v>0</v>
      </c>
      <c r="P293" s="698">
        <f>IF(P289="",0,INDEX(Input_Range,MATCH((C189&amp;B293),Input_Call,0),MATCH(P289,Input_Header,0)))</f>
        <v>0</v>
      </c>
      <c r="Q293" s="698">
        <f>IF(Q289="",0,INDEX(Input_Range,MATCH((C189&amp;B293),Input_Call,0),MATCH(Q289,Input_Header,0)))</f>
        <v>0</v>
      </c>
      <c r="R293" s="698">
        <f t="shared" si="361"/>
        <v>0</v>
      </c>
      <c r="T293" s="699">
        <f t="shared" si="362"/>
        <v>0</v>
      </c>
      <c r="U293" s="699">
        <f t="shared" si="363"/>
        <v>0</v>
      </c>
      <c r="V293" s="699">
        <f t="shared" si="364"/>
        <v>0</v>
      </c>
      <c r="W293" s="699">
        <f t="shared" si="365"/>
        <v>0</v>
      </c>
      <c r="X293" s="699">
        <f t="shared" si="366"/>
        <v>0</v>
      </c>
      <c r="Y293" s="699">
        <f t="shared" si="367"/>
        <v>0</v>
      </c>
      <c r="Z293" s="699">
        <f t="shared" si="368"/>
        <v>0</v>
      </c>
      <c r="AA293" s="699">
        <f t="shared" si="369"/>
        <v>0</v>
      </c>
      <c r="AB293" s="699">
        <f t="shared" si="370"/>
        <v>0</v>
      </c>
      <c r="AC293" s="699">
        <f t="shared" si="371"/>
        <v>0</v>
      </c>
      <c r="AD293" s="699">
        <f t="shared" si="372"/>
        <v>0</v>
      </c>
      <c r="AE293" s="699">
        <f t="shared" si="373"/>
        <v>0</v>
      </c>
      <c r="AF293" s="699">
        <f t="shared" si="374"/>
        <v>0</v>
      </c>
      <c r="AG293" s="699">
        <f t="shared" si="375"/>
        <v>0</v>
      </c>
      <c r="AI293" s="698" t="e">
        <f t="shared" si="358"/>
        <v>#DIV/0!</v>
      </c>
      <c r="AJ293" s="698"/>
      <c r="AK293" s="698"/>
      <c r="AL293" s="4" t="str">
        <f>$A293&amp;$C189&amp;InputSheet!C$44&amp;InputSheet!D$44</f>
        <v>Option Year 8ESDMHContr/Govt</v>
      </c>
      <c r="AM293" s="700" t="e">
        <f t="shared" si="359"/>
        <v>#DIV/0!</v>
      </c>
      <c r="AP293" s="387" t="e">
        <f t="shared" si="331"/>
        <v>#DIV/0!</v>
      </c>
    </row>
    <row r="294" spans="1:42">
      <c r="A294" s="6" t="str">
        <f t="shared" si="360"/>
        <v>Option Year 8</v>
      </c>
      <c r="B294" s="6" t="str">
        <f t="shared" si="356"/>
        <v>G&amp;A</v>
      </c>
      <c r="E294" s="698">
        <f>IF(E289="",0,INDEX(Input_Range,MATCH((C189&amp;B294),Input_Call,0),MATCH(E289,Input_Header,0)))</f>
        <v>0</v>
      </c>
      <c r="F294" s="698">
        <f>IF(F289="",0,INDEX(Input_Range,MATCH((C189&amp;B294),Input_Call,0),MATCH(F289,Input_Header,0)))</f>
        <v>0</v>
      </c>
      <c r="G294" s="698">
        <f>IF(G289="",0,INDEX(Input_Range,MATCH((C189&amp;B294),Input_Call,0),MATCH(G289,Input_Header,0)))</f>
        <v>0</v>
      </c>
      <c r="H294" s="698">
        <f>IF(H289="",0,INDEX(Input_Range,MATCH((C189&amp;B294),Input_Call,0),MATCH(H289,Input_Header,0)))</f>
        <v>0</v>
      </c>
      <c r="I294" s="698">
        <f>IF(I289="",0,INDEX(Input_Range,MATCH((C189&amp;B294),Input_Call,0),MATCH(I289,Input_Header,0)))</f>
        <v>0</v>
      </c>
      <c r="J294" s="698">
        <f>IF(J289="",0,INDEX(Input_Range,MATCH((C189&amp;B294),Input_Call,0),MATCH(J289,Input_Header,0)))</f>
        <v>0</v>
      </c>
      <c r="K294" s="698">
        <f>IF(K289="",0,INDEX(Input_Range,MATCH((C189&amp;B294),Input_Call,0),MATCH(K289,Input_Header,0)))</f>
        <v>0</v>
      </c>
      <c r="L294" s="698">
        <f>IF(L289="",0,INDEX(Input_Range,MATCH((C189&amp;B294),Input_Call,0),MATCH(L289,Input_Header,0)))</f>
        <v>0</v>
      </c>
      <c r="M294" s="698">
        <f>IF(M289="",0,INDEX(Input_Range,MATCH((C189&amp;B294),Input_Call,0),MATCH(M289,Input_Header,0)))</f>
        <v>0</v>
      </c>
      <c r="N294" s="698">
        <f>IF(N289="",0,INDEX(Input_Range,MATCH((C189&amp;B294),Input_Call,0),MATCH(N289,Input_Header,0)))</f>
        <v>0</v>
      </c>
      <c r="O294" s="698">
        <f>IF(O289="",0,INDEX(Input_Range,MATCH((C189&amp;B294),Input_Call,0),MATCH(O289,Input_Header,0)))</f>
        <v>0</v>
      </c>
      <c r="P294" s="698">
        <f>IF(P289="",0,INDEX(Input_Range,MATCH((C189&amp;B294),Input_Call,0),MATCH(P289,Input_Header,0)))</f>
        <v>0</v>
      </c>
      <c r="Q294" s="698">
        <f>IF(Q289="",0,INDEX(Input_Range,MATCH((C189&amp;B294),Input_Call,0),MATCH(Q289,Input_Header,0)))</f>
        <v>0</v>
      </c>
      <c r="R294" s="698">
        <f t="shared" si="361"/>
        <v>0</v>
      </c>
      <c r="T294" s="699">
        <f t="shared" si="362"/>
        <v>0</v>
      </c>
      <c r="U294" s="699">
        <f t="shared" si="363"/>
        <v>0</v>
      </c>
      <c r="V294" s="699">
        <f t="shared" si="364"/>
        <v>0</v>
      </c>
      <c r="W294" s="699">
        <f t="shared" si="365"/>
        <v>0</v>
      </c>
      <c r="X294" s="699">
        <f t="shared" si="366"/>
        <v>0</v>
      </c>
      <c r="Y294" s="699">
        <f t="shared" si="367"/>
        <v>0</v>
      </c>
      <c r="Z294" s="699">
        <f t="shared" si="368"/>
        <v>0</v>
      </c>
      <c r="AA294" s="699">
        <f t="shared" si="369"/>
        <v>0</v>
      </c>
      <c r="AB294" s="699">
        <f t="shared" si="370"/>
        <v>0</v>
      </c>
      <c r="AC294" s="699">
        <f t="shared" si="371"/>
        <v>0</v>
      </c>
      <c r="AD294" s="699">
        <f t="shared" si="372"/>
        <v>0</v>
      </c>
      <c r="AE294" s="699">
        <f t="shared" si="373"/>
        <v>0</v>
      </c>
      <c r="AF294" s="699">
        <f t="shared" si="374"/>
        <v>0</v>
      </c>
      <c r="AG294" s="699">
        <f t="shared" si="375"/>
        <v>0</v>
      </c>
      <c r="AI294" s="698" t="e">
        <f t="shared" si="358"/>
        <v>#DIV/0!</v>
      </c>
      <c r="AJ294" s="698"/>
      <c r="AK294" s="698"/>
      <c r="AL294" s="4" t="str">
        <f>$A294&amp;$C189&amp;InputSheet!C$45&amp;InputSheet!D$45</f>
        <v>Option Year 8ESDG&amp;AContr/Govt</v>
      </c>
      <c r="AM294" s="700" t="e">
        <f t="shared" si="359"/>
        <v>#DIV/0!</v>
      </c>
      <c r="AP294" s="387" t="e">
        <f t="shared" si="331"/>
        <v>#DIV/0!</v>
      </c>
    </row>
    <row r="295" spans="1:42" outlineLevel="1">
      <c r="A295" s="6" t="str">
        <f t="shared" si="360"/>
        <v>Option Year 8</v>
      </c>
      <c r="B295" s="6" t="str">
        <f t="shared" si="356"/>
        <v>TBD1</v>
      </c>
      <c r="E295" s="21">
        <f>IF(E289="",0,INDEX(Input_Range,MATCH((C189&amp;B295),Input_Call,0),MATCH(E289,Input_Header,0)))</f>
        <v>0</v>
      </c>
      <c r="F295" s="21">
        <f>IF(F289="",0,INDEX(Input_Range,MATCH((C189&amp;B295),Input_Call,0),MATCH(F289,Input_Header,0)))</f>
        <v>0</v>
      </c>
      <c r="G295" s="21">
        <f>IF(G289="",0,INDEX(Input_Range,MATCH((C189&amp;B295),Input_Call,0),MATCH(G289,Input_Header,0)))</f>
        <v>0</v>
      </c>
      <c r="H295" s="21">
        <f>IF(H289="",0,INDEX(Input_Range,MATCH((C189&amp;B295),Input_Call,0),MATCH(H289,Input_Header,0)))</f>
        <v>0</v>
      </c>
      <c r="I295" s="21">
        <f>IF(I289="",0,INDEX(Input_Range,MATCH((C189&amp;B295),Input_Call,0),MATCH(I289,Input_Header,0)))</f>
        <v>0</v>
      </c>
      <c r="J295" s="21">
        <f>IF(J289="",0,INDEX(Input_Range,MATCH((C189&amp;B295),Input_Call,0),MATCH(J289,Input_Header,0)))</f>
        <v>0</v>
      </c>
      <c r="K295" s="21">
        <f>IF(K289="",0,INDEX(Input_Range,MATCH((C189&amp;B295),Input_Call,0),MATCH(K289,Input_Header,0)))</f>
        <v>0</v>
      </c>
      <c r="L295" s="21">
        <f>IF(L289="",0,INDEX(Input_Range,MATCH((C189&amp;B295),Input_Call,0),MATCH(L289,Input_Header,0)))</f>
        <v>0</v>
      </c>
      <c r="M295" s="21">
        <f>IF(M289="",0,INDEX(Input_Range,MATCH((C189&amp;B295),Input_Call,0),MATCH(M289,Input_Header,0)))</f>
        <v>0</v>
      </c>
      <c r="N295" s="21">
        <f>IF(N289="",0,INDEX(Input_Range,MATCH((C189&amp;B295),Input_Call,0),MATCH(N289,Input_Header,0)))</f>
        <v>0</v>
      </c>
      <c r="O295" s="21">
        <f>IF(O289="",0,INDEX(Input_Range,MATCH((C189&amp;B295),Input_Call,0),MATCH(O289,Input_Header,0)))</f>
        <v>0</v>
      </c>
      <c r="P295" s="21">
        <f>IF(P289="",0,INDEX(Input_Range,MATCH((C189&amp;B295),Input_Call,0),MATCH(P289,Input_Header,0)))</f>
        <v>0</v>
      </c>
      <c r="Q295" s="21">
        <f>IF(Q289="",0,INDEX(Input_Range,MATCH((C189&amp;B295),Input_Call,0),MATCH(Q289,Input_Header,0)))</f>
        <v>0</v>
      </c>
      <c r="R295" s="698">
        <f t="shared" si="361"/>
        <v>0</v>
      </c>
      <c r="T295" s="699">
        <f t="shared" si="362"/>
        <v>0</v>
      </c>
      <c r="U295" s="699">
        <f t="shared" si="363"/>
        <v>0</v>
      </c>
      <c r="V295" s="699">
        <f t="shared" si="364"/>
        <v>0</v>
      </c>
      <c r="W295" s="699">
        <f t="shared" si="365"/>
        <v>0</v>
      </c>
      <c r="X295" s="699">
        <f t="shared" si="366"/>
        <v>0</v>
      </c>
      <c r="Y295" s="699">
        <f t="shared" si="367"/>
        <v>0</v>
      </c>
      <c r="Z295" s="699">
        <f t="shared" si="368"/>
        <v>0</v>
      </c>
      <c r="AA295" s="699">
        <f t="shared" si="369"/>
        <v>0</v>
      </c>
      <c r="AB295" s="699">
        <f t="shared" si="370"/>
        <v>0</v>
      </c>
      <c r="AC295" s="699">
        <f t="shared" si="371"/>
        <v>0</v>
      </c>
      <c r="AD295" s="699">
        <f t="shared" si="372"/>
        <v>0</v>
      </c>
      <c r="AE295" s="699">
        <f t="shared" si="373"/>
        <v>0</v>
      </c>
      <c r="AF295" s="699">
        <f t="shared" si="374"/>
        <v>0</v>
      </c>
      <c r="AG295" s="699">
        <f t="shared" si="375"/>
        <v>0</v>
      </c>
      <c r="AI295" s="698" t="e">
        <f t="shared" si="358"/>
        <v>#DIV/0!</v>
      </c>
      <c r="AJ295" s="21"/>
      <c r="AK295" s="21"/>
      <c r="AL295" s="4" t="str">
        <f>$A295&amp;$C189&amp;InputSheet!C$46&amp;InputSheet!D$46</f>
        <v>Option Year 8ESDTBD1Contr/Govt</v>
      </c>
      <c r="AM295" s="700" t="e">
        <f t="shared" si="359"/>
        <v>#DIV/0!</v>
      </c>
      <c r="AP295" s="387" t="e">
        <f t="shared" si="331"/>
        <v>#DIV/0!</v>
      </c>
    </row>
    <row r="296" spans="1:42" outlineLevel="1">
      <c r="A296" s="6" t="str">
        <f t="shared" si="360"/>
        <v>Option Year 8</v>
      </c>
      <c r="B296" s="6" t="str">
        <f t="shared" si="356"/>
        <v>TBD2</v>
      </c>
      <c r="E296" s="21">
        <f>IF(E289="",0,INDEX(Input_Range,MATCH((C189&amp;B296),Input_Call,0),MATCH(E289,Input_Header,0)))</f>
        <v>0</v>
      </c>
      <c r="F296" s="21">
        <f>IF(F289="",0,INDEX(Input_Range,MATCH((C189&amp;B296),Input_Call,0),MATCH(F289,Input_Header,0)))</f>
        <v>0</v>
      </c>
      <c r="G296" s="21">
        <f>IF(G289="",0,INDEX(Input_Range,MATCH((C189&amp;B296),Input_Call,0),MATCH(G289,Input_Header,0)))</f>
        <v>0</v>
      </c>
      <c r="H296" s="21">
        <f>IF(H289="",0,INDEX(Input_Range,MATCH((C189&amp;B296),Input_Call,0),MATCH(H289,Input_Header,0)))</f>
        <v>0</v>
      </c>
      <c r="I296" s="21">
        <f>IF(I289="",0,INDEX(Input_Range,MATCH((C189&amp;B296),Input_Call,0),MATCH(I289,Input_Header,0)))</f>
        <v>0</v>
      </c>
      <c r="J296" s="21">
        <f>IF(J289="",0,INDEX(Input_Range,MATCH((C189&amp;B296),Input_Call,0),MATCH(J289,Input_Header,0)))</f>
        <v>0</v>
      </c>
      <c r="K296" s="21">
        <f>IF(K289="",0,INDEX(Input_Range,MATCH((C189&amp;B296),Input_Call,0),MATCH(K289,Input_Header,0)))</f>
        <v>0</v>
      </c>
      <c r="L296" s="21">
        <f>IF(L289="",0,INDEX(Input_Range,MATCH((C189&amp;B296),Input_Call,0),MATCH(L289,Input_Header,0)))</f>
        <v>0</v>
      </c>
      <c r="M296" s="21">
        <f>IF(M289="",0,INDEX(Input_Range,MATCH((C189&amp;B296),Input_Call,0),MATCH(M289,Input_Header,0)))</f>
        <v>0</v>
      </c>
      <c r="N296" s="21">
        <f>IF(N289="",0,INDEX(Input_Range,MATCH((C189&amp;B296),Input_Call,0),MATCH(N289,Input_Header,0)))</f>
        <v>0</v>
      </c>
      <c r="O296" s="21">
        <f>IF(O289="",0,INDEX(Input_Range,MATCH((C189&amp;B296),Input_Call,0),MATCH(O289,Input_Header,0)))</f>
        <v>0</v>
      </c>
      <c r="P296" s="21">
        <f>IF(P289="",0,INDEX(Input_Range,MATCH((C189&amp;B296),Input_Call,0),MATCH(P289,Input_Header,0)))</f>
        <v>0</v>
      </c>
      <c r="Q296" s="21">
        <f>IF(Q289="",0,INDEX(Input_Range,MATCH((C189&amp;B296),Input_Call,0),MATCH(Q289,Input_Header,0)))</f>
        <v>0</v>
      </c>
      <c r="R296" s="698">
        <f t="shared" si="361"/>
        <v>0</v>
      </c>
      <c r="T296" s="699">
        <f t="shared" si="362"/>
        <v>0</v>
      </c>
      <c r="U296" s="699">
        <f t="shared" si="363"/>
        <v>0</v>
      </c>
      <c r="V296" s="699">
        <f t="shared" si="364"/>
        <v>0</v>
      </c>
      <c r="W296" s="699">
        <f t="shared" si="365"/>
        <v>0</v>
      </c>
      <c r="X296" s="699">
        <f t="shared" si="366"/>
        <v>0</v>
      </c>
      <c r="Y296" s="699">
        <f t="shared" si="367"/>
        <v>0</v>
      </c>
      <c r="Z296" s="699">
        <f t="shared" si="368"/>
        <v>0</v>
      </c>
      <c r="AA296" s="699">
        <f t="shared" si="369"/>
        <v>0</v>
      </c>
      <c r="AB296" s="699">
        <f t="shared" si="370"/>
        <v>0</v>
      </c>
      <c r="AC296" s="699">
        <f t="shared" si="371"/>
        <v>0</v>
      </c>
      <c r="AD296" s="699">
        <f t="shared" si="372"/>
        <v>0</v>
      </c>
      <c r="AE296" s="699">
        <f t="shared" si="373"/>
        <v>0</v>
      </c>
      <c r="AF296" s="699">
        <f t="shared" si="374"/>
        <v>0</v>
      </c>
      <c r="AG296" s="699">
        <f t="shared" si="375"/>
        <v>0</v>
      </c>
      <c r="AI296" s="698" t="e">
        <f t="shared" si="358"/>
        <v>#DIV/0!</v>
      </c>
      <c r="AJ296" s="21"/>
      <c r="AK296" s="21"/>
      <c r="AL296" s="4" t="str">
        <f>$A296&amp;$C189&amp;InputSheet!C$47&amp;InputSheet!D$47</f>
        <v>Option Year 8ESDTBD2Contr/Govt</v>
      </c>
      <c r="AM296" s="700" t="e">
        <f t="shared" si="359"/>
        <v>#DIV/0!</v>
      </c>
      <c r="AP296" s="387" t="e">
        <f t="shared" si="331"/>
        <v>#DIV/0!</v>
      </c>
    </row>
    <row r="297" spans="1:42" outlineLevel="1">
      <c r="A297" s="6" t="str">
        <f t="shared" si="360"/>
        <v>Option Year 8</v>
      </c>
      <c r="B297" s="6" t="str">
        <f t="shared" si="356"/>
        <v>TBD3</v>
      </c>
      <c r="E297" s="21">
        <f>IF(E289="",0,INDEX(Input_Range,MATCH((C189&amp;B297),Input_Call,0),MATCH(E289,Input_Header,0)))</f>
        <v>0</v>
      </c>
      <c r="F297" s="21">
        <f>IF(F289="",0,INDEX(Input_Range,MATCH((C189&amp;B297),Input_Call,0),MATCH(F289,Input_Header,0)))</f>
        <v>0</v>
      </c>
      <c r="G297" s="21">
        <f>IF(G289="",0,INDEX(Input_Range,MATCH((C189&amp;B297),Input_Call,0),MATCH(G289,Input_Header,0)))</f>
        <v>0</v>
      </c>
      <c r="H297" s="21">
        <f>IF(H289="",0,INDEX(Input_Range,MATCH((C189&amp;B297),Input_Call,0),MATCH(H289,Input_Header,0)))</f>
        <v>0</v>
      </c>
      <c r="I297" s="21">
        <f>IF(I289="",0,INDEX(Input_Range,MATCH((C189&amp;B297),Input_Call,0),MATCH(I289,Input_Header,0)))</f>
        <v>0</v>
      </c>
      <c r="J297" s="21">
        <f>IF(J289="",0,INDEX(Input_Range,MATCH((C189&amp;B297),Input_Call,0),MATCH(J289,Input_Header,0)))</f>
        <v>0</v>
      </c>
      <c r="K297" s="21">
        <f>IF(K289="",0,INDEX(Input_Range,MATCH((C189&amp;B297),Input_Call,0),MATCH(K289,Input_Header,0)))</f>
        <v>0</v>
      </c>
      <c r="L297" s="21">
        <f>IF(L289="",0,INDEX(Input_Range,MATCH((C189&amp;B297),Input_Call,0),MATCH(L289,Input_Header,0)))</f>
        <v>0</v>
      </c>
      <c r="M297" s="21">
        <f>IF(M289="",0,INDEX(Input_Range,MATCH((C189&amp;B297),Input_Call,0),MATCH(M289,Input_Header,0)))</f>
        <v>0</v>
      </c>
      <c r="N297" s="21">
        <f>IF(N289="",0,INDEX(Input_Range,MATCH((C189&amp;B297),Input_Call,0),MATCH(N289,Input_Header,0)))</f>
        <v>0</v>
      </c>
      <c r="O297" s="21">
        <f>IF(O289="",0,INDEX(Input_Range,MATCH((C189&amp;B297),Input_Call,0),MATCH(O289,Input_Header,0)))</f>
        <v>0</v>
      </c>
      <c r="P297" s="21">
        <f>IF(P289="",0,INDEX(Input_Range,MATCH((C189&amp;B297),Input_Call,0),MATCH(P289,Input_Header,0)))</f>
        <v>0</v>
      </c>
      <c r="Q297" s="21">
        <f>IF(Q289="",0,INDEX(Input_Range,MATCH((C189&amp;B297),Input_Call,0),MATCH(Q289,Input_Header,0)))</f>
        <v>0</v>
      </c>
      <c r="R297" s="698">
        <f t="shared" si="361"/>
        <v>0</v>
      </c>
      <c r="T297" s="699">
        <f t="shared" si="362"/>
        <v>0</v>
      </c>
      <c r="U297" s="699">
        <f t="shared" si="363"/>
        <v>0</v>
      </c>
      <c r="V297" s="699">
        <f t="shared" si="364"/>
        <v>0</v>
      </c>
      <c r="W297" s="699">
        <f t="shared" si="365"/>
        <v>0</v>
      </c>
      <c r="X297" s="699">
        <f t="shared" si="366"/>
        <v>0</v>
      </c>
      <c r="Y297" s="699">
        <f t="shared" si="367"/>
        <v>0</v>
      </c>
      <c r="Z297" s="699">
        <f t="shared" si="368"/>
        <v>0</v>
      </c>
      <c r="AA297" s="699">
        <f t="shared" si="369"/>
        <v>0</v>
      </c>
      <c r="AB297" s="699">
        <f t="shared" si="370"/>
        <v>0</v>
      </c>
      <c r="AC297" s="699">
        <f t="shared" si="371"/>
        <v>0</v>
      </c>
      <c r="AD297" s="699">
        <f t="shared" si="372"/>
        <v>0</v>
      </c>
      <c r="AE297" s="699">
        <f t="shared" si="373"/>
        <v>0</v>
      </c>
      <c r="AF297" s="699">
        <f t="shared" si="374"/>
        <v>0</v>
      </c>
      <c r="AG297" s="699">
        <f t="shared" si="375"/>
        <v>0</v>
      </c>
      <c r="AI297" s="698" t="e">
        <f t="shared" si="358"/>
        <v>#DIV/0!</v>
      </c>
      <c r="AJ297" s="21"/>
      <c r="AK297" s="21"/>
      <c r="AL297" s="4" t="str">
        <f>$A297&amp;$C189&amp;InputSheet!C$48&amp;InputSheet!D$48</f>
        <v>Option Year 8ESDTBD3Contr/Govt</v>
      </c>
      <c r="AM297" s="700" t="e">
        <f t="shared" si="359"/>
        <v>#DIV/0!</v>
      </c>
      <c r="AP297" s="387" t="e">
        <f t="shared" si="331"/>
        <v>#DIV/0!</v>
      </c>
    </row>
    <row r="298" spans="1:42">
      <c r="E298" s="698"/>
      <c r="F298" s="698"/>
      <c r="G298" s="698"/>
      <c r="H298" s="698"/>
      <c r="I298" s="698"/>
      <c r="J298" s="698"/>
      <c r="K298" s="698"/>
      <c r="L298" s="698"/>
      <c r="M298" s="698"/>
      <c r="N298" s="698"/>
      <c r="O298" s="698"/>
      <c r="P298" s="698"/>
      <c r="Q298" s="698"/>
      <c r="R298" s="698"/>
      <c r="AI298" s="21"/>
      <c r="AJ298" s="21"/>
      <c r="AK298" s="21"/>
      <c r="AP298" s="387" t="str">
        <f t="shared" si="331"/>
        <v>1</v>
      </c>
    </row>
    <row r="299" spans="1:42">
      <c r="A299" s="530" t="str">
        <f>B299</f>
        <v>Option Year 9</v>
      </c>
      <c r="B299" s="691" t="str">
        <f>InputSheet!$C$31</f>
        <v>Option Year 9</v>
      </c>
      <c r="AP299" s="387" t="str">
        <f t="shared" si="331"/>
        <v>1</v>
      </c>
    </row>
    <row r="300" spans="1:42">
      <c r="B300" s="314" t="s">
        <v>587</v>
      </c>
      <c r="C300" s="692" t="s">
        <v>588</v>
      </c>
      <c r="E300" s="1216" t="str">
        <f>"Indirect Rates - "&amp;C$189</f>
        <v>Indirect Rates - ESD</v>
      </c>
      <c r="F300" s="1216"/>
      <c r="G300" s="1216"/>
      <c r="H300" s="1216"/>
      <c r="I300" s="1216"/>
      <c r="J300" s="1216"/>
      <c r="K300" s="1216"/>
      <c r="L300" s="1216"/>
      <c r="M300" s="1216"/>
      <c r="N300" s="1216"/>
      <c r="O300" s="1216"/>
      <c r="P300" s="1216"/>
      <c r="Q300" s="1216"/>
      <c r="R300" s="1216"/>
      <c r="S300" s="844"/>
      <c r="T300" s="1217" t="s">
        <v>794</v>
      </c>
      <c r="U300" s="1217"/>
      <c r="V300" s="1217"/>
      <c r="W300" s="1217"/>
      <c r="X300" s="1217"/>
      <c r="Y300" s="1217"/>
      <c r="Z300" s="1217"/>
      <c r="AA300" s="1217"/>
      <c r="AB300" s="1217"/>
      <c r="AC300" s="1217"/>
      <c r="AD300" s="1217"/>
      <c r="AE300" s="1217"/>
      <c r="AF300" s="1217"/>
      <c r="AG300" s="1217"/>
      <c r="AI300" s="692" t="s">
        <v>615</v>
      </c>
      <c r="AJ300" s="50"/>
      <c r="AK300" s="50"/>
      <c r="AP300" s="387" t="str">
        <f t="shared" si="331"/>
        <v>1</v>
      </c>
    </row>
    <row r="301" spans="1:42">
      <c r="B301" s="693">
        <f>VLOOKUP(A299,InputSheet!$C$8:$E$37,2,FALSE)</f>
        <v>1462</v>
      </c>
      <c r="C301" s="694">
        <f>VLOOKUP(A299,InputSheet!$C$8:$E$37,3,FALSE)</f>
        <v>1826</v>
      </c>
      <c r="E301" s="695">
        <f t="shared" ref="E301:R301" si="376">E289</f>
        <v>2009</v>
      </c>
      <c r="F301" s="695">
        <f t="shared" si="376"/>
        <v>2010</v>
      </c>
      <c r="G301" s="695">
        <f t="shared" si="376"/>
        <v>2011</v>
      </c>
      <c r="H301" s="695">
        <f t="shared" si="376"/>
        <v>2012</v>
      </c>
      <c r="I301" s="695">
        <f t="shared" si="376"/>
        <v>2013</v>
      </c>
      <c r="J301" s="695">
        <f t="shared" si="376"/>
        <v>2014</v>
      </c>
      <c r="K301" s="695">
        <f t="shared" si="376"/>
        <v>2015</v>
      </c>
      <c r="L301" s="695">
        <f t="shared" si="376"/>
        <v>2016</v>
      </c>
      <c r="M301" s="695">
        <f t="shared" si="376"/>
        <v>2017</v>
      </c>
      <c r="N301" s="695">
        <f t="shared" si="376"/>
        <v>2018</v>
      </c>
      <c r="O301" s="695">
        <f t="shared" si="376"/>
        <v>2019</v>
      </c>
      <c r="P301" s="695">
        <f t="shared" si="376"/>
        <v>2020</v>
      </c>
      <c r="Q301" s="695">
        <f t="shared" si="376"/>
        <v>2021</v>
      </c>
      <c r="R301" s="695">
        <f t="shared" si="376"/>
        <v>2022</v>
      </c>
      <c r="S301" s="680"/>
      <c r="T301" s="695">
        <f t="shared" ref="T301:AG301" si="377">T289</f>
        <v>2009</v>
      </c>
      <c r="U301" s="695">
        <f t="shared" si="377"/>
        <v>2010</v>
      </c>
      <c r="V301" s="695">
        <f t="shared" si="377"/>
        <v>2011</v>
      </c>
      <c r="W301" s="695">
        <f t="shared" si="377"/>
        <v>2012</v>
      </c>
      <c r="X301" s="695">
        <f t="shared" si="377"/>
        <v>2013</v>
      </c>
      <c r="Y301" s="695">
        <f t="shared" si="377"/>
        <v>2014</v>
      </c>
      <c r="Z301" s="695">
        <f t="shared" si="377"/>
        <v>2015</v>
      </c>
      <c r="AA301" s="695">
        <f t="shared" si="377"/>
        <v>2016</v>
      </c>
      <c r="AB301" s="695">
        <f t="shared" si="377"/>
        <v>2017</v>
      </c>
      <c r="AC301" s="695">
        <f t="shared" si="377"/>
        <v>2018</v>
      </c>
      <c r="AD301" s="695">
        <f t="shared" si="377"/>
        <v>2019</v>
      </c>
      <c r="AE301" s="695">
        <f t="shared" si="377"/>
        <v>2020</v>
      </c>
      <c r="AF301" s="695">
        <f t="shared" si="377"/>
        <v>2021</v>
      </c>
      <c r="AG301" s="695">
        <f t="shared" si="377"/>
        <v>2022</v>
      </c>
      <c r="AI301" s="696" t="str">
        <f>B299</f>
        <v>Option Year 9</v>
      </c>
      <c r="AJ301" s="28"/>
      <c r="AK301" s="28"/>
      <c r="AP301" s="387" t="str">
        <f t="shared" si="331"/>
        <v>1</v>
      </c>
    </row>
    <row r="302" spans="1:42">
      <c r="A302" s="6" t="str">
        <f>A299</f>
        <v>Option Year 9</v>
      </c>
      <c r="B302" s="6" t="str">
        <f t="shared" ref="B302:B309" si="378">B290</f>
        <v>PRB</v>
      </c>
      <c r="E302" s="698">
        <f>IF(E301="",0,INDEX(Input_Range,MATCH((C189&amp;B302),Input_Call,0),MATCH(E301,Input_Header,0)))</f>
        <v>0</v>
      </c>
      <c r="F302" s="698">
        <f>IF(F301="",0,INDEX(Input_Range,MATCH((C189&amp;B302),Input_Call,0),MATCH(F301,Input_Header,0)))</f>
        <v>0</v>
      </c>
      <c r="G302" s="698">
        <f>IF(G301="",0,INDEX(Input_Range,MATCH((C189&amp;B302),Input_Call,0),MATCH(G301,Input_Header,0)))</f>
        <v>0</v>
      </c>
      <c r="H302" s="698">
        <f>IF(H301="",0,INDEX(Input_Range,MATCH((C189&amp;B302),Input_Call,0),MATCH(H301,Input_Header,0)))</f>
        <v>0</v>
      </c>
      <c r="I302" s="698">
        <f>IF(I301="",0,INDEX(Input_Range,MATCH((C189&amp;B302),Input_Call,0),MATCH(I301,Input_Header,0)))</f>
        <v>0</v>
      </c>
      <c r="J302" s="698">
        <f>IF(J301="",0,INDEX(Input_Range,MATCH((C189&amp;B302),Input_Call,0),MATCH(J301,Input_Header,0)))</f>
        <v>0</v>
      </c>
      <c r="K302" s="698">
        <f>IF(K301="",0,INDEX(Input_Range,MATCH((C189&amp;B302),Input_Call,0),MATCH(K301,Input_Header,0)))</f>
        <v>0</v>
      </c>
      <c r="L302" s="698">
        <f>IF(L301="",0,INDEX(Input_Range,MATCH((C189&amp;B302),Input_Call,0),MATCH(L301,Input_Header,0)))</f>
        <v>0</v>
      </c>
      <c r="M302" s="698">
        <f>IF(M301="",0,INDEX(Input_Range,MATCH((C189&amp;B302),Input_Call,0),MATCH(M301,Input_Header,0)))</f>
        <v>0</v>
      </c>
      <c r="N302" s="698">
        <f>IF(N301="",0,INDEX(Input_Range,MATCH((C189&amp;B302),Input_Call,0),MATCH(N301,Input_Header,0)))</f>
        <v>0</v>
      </c>
      <c r="O302" s="698">
        <f>IF(O301="",0,INDEX(Input_Range,MATCH((C189&amp;B302),Input_Call,0),MATCH(O301,Input_Header,0)))</f>
        <v>0</v>
      </c>
      <c r="P302" s="698">
        <f>IF(P301="",0,INDEX(Input_Range,MATCH((C189&amp;B302),Input_Call,0),MATCH(P301,Input_Header,0)))</f>
        <v>0</v>
      </c>
      <c r="Q302" s="698">
        <f>IF(Q301="",0,INDEX(Input_Range,MATCH((C189&amp;B302),Input_Call,0),MATCH(Q301,Input_Header,0)))</f>
        <v>0</v>
      </c>
      <c r="R302" s="698">
        <f>Q302</f>
        <v>0</v>
      </c>
      <c r="T302" s="699">
        <f t="shared" ref="T302:AG302" si="379">ROUND((MAX(0,(MIN($C301,DATE(T301,12,31))-MAX($B301,DATE(T301,1,1))+1)))/30.41667,0)</f>
        <v>0</v>
      </c>
      <c r="U302" s="699">
        <f t="shared" si="379"/>
        <v>0</v>
      </c>
      <c r="V302" s="699">
        <f t="shared" si="379"/>
        <v>0</v>
      </c>
      <c r="W302" s="699">
        <f t="shared" si="379"/>
        <v>0</v>
      </c>
      <c r="X302" s="699">
        <f t="shared" si="379"/>
        <v>0</v>
      </c>
      <c r="Y302" s="699">
        <f t="shared" si="379"/>
        <v>0</v>
      </c>
      <c r="Z302" s="699">
        <f t="shared" si="379"/>
        <v>0</v>
      </c>
      <c r="AA302" s="699">
        <f t="shared" si="379"/>
        <v>0</v>
      </c>
      <c r="AB302" s="699">
        <f t="shared" si="379"/>
        <v>0</v>
      </c>
      <c r="AC302" s="699">
        <f t="shared" si="379"/>
        <v>0</v>
      </c>
      <c r="AD302" s="699">
        <f t="shared" si="379"/>
        <v>0</v>
      </c>
      <c r="AE302" s="699">
        <f t="shared" si="379"/>
        <v>0</v>
      </c>
      <c r="AF302" s="699">
        <f t="shared" si="379"/>
        <v>0</v>
      </c>
      <c r="AG302" s="699">
        <f t="shared" si="379"/>
        <v>0</v>
      </c>
      <c r="AI302" s="698" t="e">
        <f t="shared" ref="AI302:AI309" si="380">ROUND(SUMPRODUCT(E302:R302,T302:AG302)/SUM(T302:AG302),4)</f>
        <v>#DIV/0!</v>
      </c>
      <c r="AJ302" s="698"/>
      <c r="AK302" s="698"/>
      <c r="AL302" s="4" t="str">
        <f>$A302&amp;$C189&amp;InputSheet!C$41&amp;InputSheet!D$41</f>
        <v>Option Year 9ESDPRBContr/Govt</v>
      </c>
      <c r="AM302" s="700" t="e">
        <f t="shared" ref="AM302:AM309" si="381">AI302</f>
        <v>#DIV/0!</v>
      </c>
      <c r="AP302" s="387" t="e">
        <f t="shared" si="331"/>
        <v>#DIV/0!</v>
      </c>
    </row>
    <row r="303" spans="1:42">
      <c r="A303" s="6" t="str">
        <f t="shared" ref="A303:A309" si="382">A302</f>
        <v>Option Year 9</v>
      </c>
      <c r="B303" s="6" t="str">
        <f t="shared" si="378"/>
        <v>Overhead - Offsite</v>
      </c>
      <c r="E303" s="698">
        <f>IF(E301="",0,INDEX(Input_Range,MATCH((C189&amp;B303),Input_Call,0),MATCH(E301,Input_Header,0)))</f>
        <v>0</v>
      </c>
      <c r="F303" s="698">
        <f>IF(F301="",0,INDEX(Input_Range,MATCH((C189&amp;B303),Input_Call,0),MATCH(F301,Input_Header,0)))</f>
        <v>0</v>
      </c>
      <c r="G303" s="698">
        <f>IF(G301="",0,INDEX(Input_Range,MATCH((C189&amp;B303),Input_Call,0),MATCH(G301,Input_Header,0)))</f>
        <v>0</v>
      </c>
      <c r="H303" s="698">
        <f>IF(H301="",0,INDEX(Input_Range,MATCH((C189&amp;B303),Input_Call,0),MATCH(H301,Input_Header,0)))</f>
        <v>0</v>
      </c>
      <c r="I303" s="698">
        <f>IF(I301="",0,INDEX(Input_Range,MATCH((C189&amp;B303),Input_Call,0),MATCH(I301,Input_Header,0)))</f>
        <v>0</v>
      </c>
      <c r="J303" s="698">
        <f>IF(J301="",0,INDEX(Input_Range,MATCH((C189&amp;B303),Input_Call,0),MATCH(J301,Input_Header,0)))</f>
        <v>0</v>
      </c>
      <c r="K303" s="698">
        <f>IF(K301="",0,INDEX(Input_Range,MATCH((C189&amp;B303),Input_Call,0),MATCH(K301,Input_Header,0)))</f>
        <v>0</v>
      </c>
      <c r="L303" s="698">
        <f>IF(L301="",0,INDEX(Input_Range,MATCH((C189&amp;B303),Input_Call,0),MATCH(L301,Input_Header,0)))</f>
        <v>0</v>
      </c>
      <c r="M303" s="698">
        <f>IF(M301="",0,INDEX(Input_Range,MATCH((C189&amp;B303),Input_Call,0),MATCH(M301,Input_Header,0)))</f>
        <v>0</v>
      </c>
      <c r="N303" s="698">
        <f>IF(N301="",0,INDEX(Input_Range,MATCH((C189&amp;B303),Input_Call,0),MATCH(N301,Input_Header,0)))</f>
        <v>0</v>
      </c>
      <c r="O303" s="698">
        <f>IF(O301="",0,INDEX(Input_Range,MATCH((C189&amp;B303),Input_Call,0),MATCH(O301,Input_Header,0)))</f>
        <v>0</v>
      </c>
      <c r="P303" s="698">
        <f>IF(P301="",0,INDEX(Input_Range,MATCH((C189&amp;B303),Input_Call,0),MATCH(P301,Input_Header,0)))</f>
        <v>0</v>
      </c>
      <c r="Q303" s="698">
        <f>IF(Q301="",0,INDEX(Input_Range,MATCH((C189&amp;B303),Input_Call,0),MATCH(Q301,Input_Header,0)))</f>
        <v>0</v>
      </c>
      <c r="R303" s="698">
        <f t="shared" ref="R303:R309" si="383">Q303</f>
        <v>0</v>
      </c>
      <c r="T303" s="699">
        <f t="shared" ref="T303:T309" si="384">T302</f>
        <v>0</v>
      </c>
      <c r="U303" s="699">
        <f t="shared" ref="U303:U309" si="385">U302</f>
        <v>0</v>
      </c>
      <c r="V303" s="699">
        <f t="shared" ref="V303:V309" si="386">V302</f>
        <v>0</v>
      </c>
      <c r="W303" s="699">
        <f t="shared" ref="W303:W309" si="387">W302</f>
        <v>0</v>
      </c>
      <c r="X303" s="699">
        <f t="shared" ref="X303:X309" si="388">X302</f>
        <v>0</v>
      </c>
      <c r="Y303" s="699">
        <f t="shared" ref="Y303:Y309" si="389">Y302</f>
        <v>0</v>
      </c>
      <c r="Z303" s="699">
        <f t="shared" ref="Z303:Z309" si="390">Z302</f>
        <v>0</v>
      </c>
      <c r="AA303" s="699">
        <f t="shared" ref="AA303:AA309" si="391">AA302</f>
        <v>0</v>
      </c>
      <c r="AB303" s="699">
        <f t="shared" ref="AB303:AB309" si="392">AB302</f>
        <v>0</v>
      </c>
      <c r="AC303" s="699">
        <f t="shared" ref="AC303:AC309" si="393">AC302</f>
        <v>0</v>
      </c>
      <c r="AD303" s="699">
        <f t="shared" ref="AD303:AD309" si="394">AD302</f>
        <v>0</v>
      </c>
      <c r="AE303" s="699">
        <f t="shared" ref="AE303:AE309" si="395">AE302</f>
        <v>0</v>
      </c>
      <c r="AF303" s="699">
        <f t="shared" ref="AF303:AF309" si="396">AF302</f>
        <v>0</v>
      </c>
      <c r="AG303" s="699">
        <f t="shared" ref="AG303:AG309" si="397">AG302</f>
        <v>0</v>
      </c>
      <c r="AI303" s="698" t="e">
        <f t="shared" si="380"/>
        <v>#DIV/0!</v>
      </c>
      <c r="AJ303" s="698"/>
      <c r="AK303" s="698"/>
      <c r="AL303" s="4" t="str">
        <f>$A303&amp;$C189&amp;InputSheet!C$42&amp;InputSheet!D$42</f>
        <v>Option Year 9ESDOverheadContr</v>
      </c>
      <c r="AM303" s="700" t="e">
        <f t="shared" si="381"/>
        <v>#DIV/0!</v>
      </c>
      <c r="AP303" s="387" t="e">
        <f t="shared" si="331"/>
        <v>#DIV/0!</v>
      </c>
    </row>
    <row r="304" spans="1:42">
      <c r="A304" s="6" t="str">
        <f t="shared" si="382"/>
        <v>Option Year 9</v>
      </c>
      <c r="B304" s="6" t="str">
        <f t="shared" si="378"/>
        <v>Overhead - Onsite</v>
      </c>
      <c r="E304" s="698">
        <f>IF(E301="",0,INDEX(Input_Range,MATCH((C189&amp;B304),Input_Call,0),MATCH(E301,Input_Header,0)))</f>
        <v>0</v>
      </c>
      <c r="F304" s="698">
        <f>IF(F301="",0,INDEX(Input_Range,MATCH((C189&amp;B304),Input_Call,0),MATCH(F301,Input_Header,0)))</f>
        <v>0</v>
      </c>
      <c r="G304" s="698">
        <f>IF(G301="",0,INDEX(Input_Range,MATCH((C189&amp;B304),Input_Call,0),MATCH(G301,Input_Header,0)))</f>
        <v>0</v>
      </c>
      <c r="H304" s="698">
        <f>IF(H301="",0,INDEX(Input_Range,MATCH((C189&amp;B304),Input_Call,0),MATCH(H301,Input_Header,0)))</f>
        <v>0</v>
      </c>
      <c r="I304" s="698">
        <f>IF(I301="",0,INDEX(Input_Range,MATCH((C189&amp;B304),Input_Call,0),MATCH(I301,Input_Header,0)))</f>
        <v>0</v>
      </c>
      <c r="J304" s="698">
        <f>IF(J301="",0,INDEX(Input_Range,MATCH((C189&amp;B304),Input_Call,0),MATCH(J301,Input_Header,0)))</f>
        <v>0</v>
      </c>
      <c r="K304" s="698">
        <f>IF(K301="",0,INDEX(Input_Range,MATCH((C189&amp;B304),Input_Call,0),MATCH(K301,Input_Header,0)))</f>
        <v>0</v>
      </c>
      <c r="L304" s="698">
        <f>IF(L301="",0,INDEX(Input_Range,MATCH((C189&amp;B304),Input_Call,0),MATCH(L301,Input_Header,0)))</f>
        <v>0</v>
      </c>
      <c r="M304" s="698">
        <f>IF(M301="",0,INDEX(Input_Range,MATCH((C189&amp;B304),Input_Call,0),MATCH(M301,Input_Header,0)))</f>
        <v>0</v>
      </c>
      <c r="N304" s="698">
        <f>IF(N301="",0,INDEX(Input_Range,MATCH((C189&amp;B304),Input_Call,0),MATCH(N301,Input_Header,0)))</f>
        <v>0</v>
      </c>
      <c r="O304" s="698">
        <f>IF(O301="",0,INDEX(Input_Range,MATCH((C189&amp;B304),Input_Call,0),MATCH(O301,Input_Header,0)))</f>
        <v>0</v>
      </c>
      <c r="P304" s="698">
        <f>IF(P301="",0,INDEX(Input_Range,MATCH((C189&amp;B304),Input_Call,0),MATCH(P301,Input_Header,0)))</f>
        <v>0</v>
      </c>
      <c r="Q304" s="698">
        <f>IF(Q301="",0,INDEX(Input_Range,MATCH((C189&amp;B304),Input_Call,0),MATCH(Q301,Input_Header,0)))</f>
        <v>0</v>
      </c>
      <c r="R304" s="698">
        <f t="shared" si="383"/>
        <v>0</v>
      </c>
      <c r="T304" s="699">
        <f t="shared" si="384"/>
        <v>0</v>
      </c>
      <c r="U304" s="699">
        <f t="shared" si="385"/>
        <v>0</v>
      </c>
      <c r="V304" s="699">
        <f t="shared" si="386"/>
        <v>0</v>
      </c>
      <c r="W304" s="699">
        <f t="shared" si="387"/>
        <v>0</v>
      </c>
      <c r="X304" s="699">
        <f t="shared" si="388"/>
        <v>0</v>
      </c>
      <c r="Y304" s="699">
        <f t="shared" si="389"/>
        <v>0</v>
      </c>
      <c r="Z304" s="699">
        <f t="shared" si="390"/>
        <v>0</v>
      </c>
      <c r="AA304" s="699">
        <f t="shared" si="391"/>
        <v>0</v>
      </c>
      <c r="AB304" s="699">
        <f t="shared" si="392"/>
        <v>0</v>
      </c>
      <c r="AC304" s="699">
        <f t="shared" si="393"/>
        <v>0</v>
      </c>
      <c r="AD304" s="699">
        <f t="shared" si="394"/>
        <v>0</v>
      </c>
      <c r="AE304" s="699">
        <f t="shared" si="395"/>
        <v>0</v>
      </c>
      <c r="AF304" s="699">
        <f t="shared" si="396"/>
        <v>0</v>
      </c>
      <c r="AG304" s="699">
        <f t="shared" si="397"/>
        <v>0</v>
      </c>
      <c r="AI304" s="698" t="e">
        <f t="shared" si="380"/>
        <v>#DIV/0!</v>
      </c>
      <c r="AJ304" s="698"/>
      <c r="AK304" s="698"/>
      <c r="AL304" s="4" t="str">
        <f>$A304&amp;$C189&amp;InputSheet!C$43&amp;InputSheet!D$43</f>
        <v>Option Year 9ESDOverheadGovt</v>
      </c>
      <c r="AM304" s="700" t="e">
        <f t="shared" si="381"/>
        <v>#DIV/0!</v>
      </c>
      <c r="AP304" s="387" t="e">
        <f t="shared" si="331"/>
        <v>#DIV/0!</v>
      </c>
    </row>
    <row r="305" spans="1:42">
      <c r="A305" s="6" t="str">
        <f t="shared" si="382"/>
        <v>Option Year 9</v>
      </c>
      <c r="B305" s="6" t="str">
        <f t="shared" si="378"/>
        <v>Material Handling</v>
      </c>
      <c r="E305" s="698">
        <f>IF(E301="",0,INDEX(Input_Range,MATCH((C189&amp;B305),Input_Call,0),MATCH(E301,Input_Header,0)))</f>
        <v>0</v>
      </c>
      <c r="F305" s="698">
        <f>IF(F301="",0,INDEX(Input_Range,MATCH((C189&amp;B305),Input_Call,0),MATCH(F301,Input_Header,0)))</f>
        <v>0</v>
      </c>
      <c r="G305" s="698">
        <f>IF(G301="",0,INDEX(Input_Range,MATCH((C189&amp;B305),Input_Call,0),MATCH(G301,Input_Header,0)))</f>
        <v>0</v>
      </c>
      <c r="H305" s="698">
        <f>IF(H301="",0,INDEX(Input_Range,MATCH((C189&amp;B305),Input_Call,0),MATCH(H301,Input_Header,0)))</f>
        <v>0</v>
      </c>
      <c r="I305" s="698">
        <f>IF(I301="",0,INDEX(Input_Range,MATCH((C189&amp;B305),Input_Call,0),MATCH(I301,Input_Header,0)))</f>
        <v>0</v>
      </c>
      <c r="J305" s="698">
        <f>IF(J301="",0,INDEX(Input_Range,MATCH((C189&amp;B305),Input_Call,0),MATCH(J301,Input_Header,0)))</f>
        <v>0</v>
      </c>
      <c r="K305" s="698">
        <f>IF(K301="",0,INDEX(Input_Range,MATCH((C189&amp;B305),Input_Call,0),MATCH(K301,Input_Header,0)))</f>
        <v>0</v>
      </c>
      <c r="L305" s="698">
        <f>IF(L301="",0,INDEX(Input_Range,MATCH((C189&amp;B305),Input_Call,0),MATCH(L301,Input_Header,0)))</f>
        <v>0</v>
      </c>
      <c r="M305" s="698">
        <f>IF(M301="",0,INDEX(Input_Range,MATCH((C189&amp;B305),Input_Call,0),MATCH(M301,Input_Header,0)))</f>
        <v>0</v>
      </c>
      <c r="N305" s="698">
        <f>IF(N301="",0,INDEX(Input_Range,MATCH((C189&amp;B305),Input_Call,0),MATCH(N301,Input_Header,0)))</f>
        <v>0</v>
      </c>
      <c r="O305" s="698">
        <f>IF(O301="",0,INDEX(Input_Range,MATCH((C189&amp;B305),Input_Call,0),MATCH(O301,Input_Header,0)))</f>
        <v>0</v>
      </c>
      <c r="P305" s="698">
        <f>IF(P301="",0,INDEX(Input_Range,MATCH((C189&amp;B305),Input_Call,0),MATCH(P301,Input_Header,0)))</f>
        <v>0</v>
      </c>
      <c r="Q305" s="698">
        <f>IF(Q301="",0,INDEX(Input_Range,MATCH((C189&amp;B305),Input_Call,0),MATCH(Q301,Input_Header,0)))</f>
        <v>0</v>
      </c>
      <c r="R305" s="698">
        <f t="shared" si="383"/>
        <v>0</v>
      </c>
      <c r="T305" s="699">
        <f t="shared" si="384"/>
        <v>0</v>
      </c>
      <c r="U305" s="699">
        <f t="shared" si="385"/>
        <v>0</v>
      </c>
      <c r="V305" s="699">
        <f t="shared" si="386"/>
        <v>0</v>
      </c>
      <c r="W305" s="699">
        <f t="shared" si="387"/>
        <v>0</v>
      </c>
      <c r="X305" s="699">
        <f t="shared" si="388"/>
        <v>0</v>
      </c>
      <c r="Y305" s="699">
        <f t="shared" si="389"/>
        <v>0</v>
      </c>
      <c r="Z305" s="699">
        <f t="shared" si="390"/>
        <v>0</v>
      </c>
      <c r="AA305" s="699">
        <f t="shared" si="391"/>
        <v>0</v>
      </c>
      <c r="AB305" s="699">
        <f t="shared" si="392"/>
        <v>0</v>
      </c>
      <c r="AC305" s="699">
        <f t="shared" si="393"/>
        <v>0</v>
      </c>
      <c r="AD305" s="699">
        <f t="shared" si="394"/>
        <v>0</v>
      </c>
      <c r="AE305" s="699">
        <f t="shared" si="395"/>
        <v>0</v>
      </c>
      <c r="AF305" s="699">
        <f t="shared" si="396"/>
        <v>0</v>
      </c>
      <c r="AG305" s="699">
        <f t="shared" si="397"/>
        <v>0</v>
      </c>
      <c r="AI305" s="698" t="e">
        <f t="shared" si="380"/>
        <v>#DIV/0!</v>
      </c>
      <c r="AJ305" s="698"/>
      <c r="AK305" s="698"/>
      <c r="AL305" s="4" t="str">
        <f>$A305&amp;$C189&amp;InputSheet!C$44&amp;InputSheet!D$44</f>
        <v>Option Year 9ESDMHContr/Govt</v>
      </c>
      <c r="AM305" s="700" t="e">
        <f t="shared" si="381"/>
        <v>#DIV/0!</v>
      </c>
      <c r="AP305" s="387" t="e">
        <f t="shared" si="331"/>
        <v>#DIV/0!</v>
      </c>
    </row>
    <row r="306" spans="1:42">
      <c r="A306" s="6" t="str">
        <f t="shared" si="382"/>
        <v>Option Year 9</v>
      </c>
      <c r="B306" s="6" t="str">
        <f t="shared" si="378"/>
        <v>G&amp;A</v>
      </c>
      <c r="E306" s="698">
        <f>IF(E301="",0,INDEX(Input_Range,MATCH((C189&amp;B306),Input_Call,0),MATCH(E301,Input_Header,0)))</f>
        <v>0</v>
      </c>
      <c r="F306" s="698">
        <f>IF(F301="",0,INDEX(Input_Range,MATCH((C189&amp;B306),Input_Call,0),MATCH(F301,Input_Header,0)))</f>
        <v>0</v>
      </c>
      <c r="G306" s="698">
        <f>IF(G301="",0,INDEX(Input_Range,MATCH((C189&amp;B306),Input_Call,0),MATCH(G301,Input_Header,0)))</f>
        <v>0</v>
      </c>
      <c r="H306" s="698">
        <f>IF(H301="",0,INDEX(Input_Range,MATCH((C189&amp;B306),Input_Call,0),MATCH(H301,Input_Header,0)))</f>
        <v>0</v>
      </c>
      <c r="I306" s="698">
        <f>IF(I301="",0,INDEX(Input_Range,MATCH((C189&amp;B306),Input_Call,0),MATCH(I301,Input_Header,0)))</f>
        <v>0</v>
      </c>
      <c r="J306" s="698">
        <f>IF(J301="",0,INDEX(Input_Range,MATCH((C189&amp;B306),Input_Call,0),MATCH(J301,Input_Header,0)))</f>
        <v>0</v>
      </c>
      <c r="K306" s="698">
        <f>IF(K301="",0,INDEX(Input_Range,MATCH((C189&amp;B306),Input_Call,0),MATCH(K301,Input_Header,0)))</f>
        <v>0</v>
      </c>
      <c r="L306" s="698">
        <f>IF(L301="",0,INDEX(Input_Range,MATCH((C189&amp;B306),Input_Call,0),MATCH(L301,Input_Header,0)))</f>
        <v>0</v>
      </c>
      <c r="M306" s="698">
        <f>IF(M301="",0,INDEX(Input_Range,MATCH((C189&amp;B306),Input_Call,0),MATCH(M301,Input_Header,0)))</f>
        <v>0</v>
      </c>
      <c r="N306" s="698">
        <f>IF(N301="",0,INDEX(Input_Range,MATCH((C189&amp;B306),Input_Call,0),MATCH(N301,Input_Header,0)))</f>
        <v>0</v>
      </c>
      <c r="O306" s="698">
        <f>IF(O301="",0,INDEX(Input_Range,MATCH((C189&amp;B306),Input_Call,0),MATCH(O301,Input_Header,0)))</f>
        <v>0</v>
      </c>
      <c r="P306" s="698">
        <f>IF(P301="",0,INDEX(Input_Range,MATCH((C189&amp;B306),Input_Call,0),MATCH(P301,Input_Header,0)))</f>
        <v>0</v>
      </c>
      <c r="Q306" s="698">
        <f>IF(Q301="",0,INDEX(Input_Range,MATCH((C189&amp;B306),Input_Call,0),MATCH(Q301,Input_Header,0)))</f>
        <v>0</v>
      </c>
      <c r="R306" s="698">
        <f t="shared" si="383"/>
        <v>0</v>
      </c>
      <c r="T306" s="699">
        <f t="shared" si="384"/>
        <v>0</v>
      </c>
      <c r="U306" s="699">
        <f t="shared" si="385"/>
        <v>0</v>
      </c>
      <c r="V306" s="699">
        <f t="shared" si="386"/>
        <v>0</v>
      </c>
      <c r="W306" s="699">
        <f t="shared" si="387"/>
        <v>0</v>
      </c>
      <c r="X306" s="699">
        <f t="shared" si="388"/>
        <v>0</v>
      </c>
      <c r="Y306" s="699">
        <f t="shared" si="389"/>
        <v>0</v>
      </c>
      <c r="Z306" s="699">
        <f t="shared" si="390"/>
        <v>0</v>
      </c>
      <c r="AA306" s="699">
        <f t="shared" si="391"/>
        <v>0</v>
      </c>
      <c r="AB306" s="699">
        <f t="shared" si="392"/>
        <v>0</v>
      </c>
      <c r="AC306" s="699">
        <f t="shared" si="393"/>
        <v>0</v>
      </c>
      <c r="AD306" s="699">
        <f t="shared" si="394"/>
        <v>0</v>
      </c>
      <c r="AE306" s="699">
        <f t="shared" si="395"/>
        <v>0</v>
      </c>
      <c r="AF306" s="699">
        <f t="shared" si="396"/>
        <v>0</v>
      </c>
      <c r="AG306" s="699">
        <f t="shared" si="397"/>
        <v>0</v>
      </c>
      <c r="AI306" s="698" t="e">
        <f t="shared" si="380"/>
        <v>#DIV/0!</v>
      </c>
      <c r="AJ306" s="698"/>
      <c r="AK306" s="698"/>
      <c r="AL306" s="4" t="str">
        <f>$A306&amp;$C189&amp;InputSheet!C$45&amp;InputSheet!D$45</f>
        <v>Option Year 9ESDG&amp;AContr/Govt</v>
      </c>
      <c r="AM306" s="700" t="e">
        <f t="shared" si="381"/>
        <v>#DIV/0!</v>
      </c>
      <c r="AP306" s="387" t="e">
        <f t="shared" si="331"/>
        <v>#DIV/0!</v>
      </c>
    </row>
    <row r="307" spans="1:42" outlineLevel="1">
      <c r="A307" s="6" t="str">
        <f t="shared" si="382"/>
        <v>Option Year 9</v>
      </c>
      <c r="B307" s="6" t="str">
        <f t="shared" si="378"/>
        <v>TBD1</v>
      </c>
      <c r="E307" s="21">
        <f>IF(E301="",0,INDEX(Input_Range,MATCH((C189&amp;B307),Input_Call,0),MATCH(E301,Input_Header,0)))</f>
        <v>0</v>
      </c>
      <c r="F307" s="21">
        <f>IF(F301="",0,INDEX(Input_Range,MATCH((C189&amp;B307),Input_Call,0),MATCH(F301,Input_Header,0)))</f>
        <v>0</v>
      </c>
      <c r="G307" s="21">
        <f>IF(G301="",0,INDEX(Input_Range,MATCH((C189&amp;B307),Input_Call,0),MATCH(G301,Input_Header,0)))</f>
        <v>0</v>
      </c>
      <c r="H307" s="21">
        <f>IF(H301="",0,INDEX(Input_Range,MATCH((C189&amp;B307),Input_Call,0),MATCH(H301,Input_Header,0)))</f>
        <v>0</v>
      </c>
      <c r="I307" s="21">
        <f>IF(I301="",0,INDEX(Input_Range,MATCH((C189&amp;B307),Input_Call,0),MATCH(I301,Input_Header,0)))</f>
        <v>0</v>
      </c>
      <c r="J307" s="21">
        <f>IF(J301="",0,INDEX(Input_Range,MATCH((C189&amp;B307),Input_Call,0),MATCH(J301,Input_Header,0)))</f>
        <v>0</v>
      </c>
      <c r="K307" s="21">
        <f>IF(K301="",0,INDEX(Input_Range,MATCH((C189&amp;B307),Input_Call,0),MATCH(K301,Input_Header,0)))</f>
        <v>0</v>
      </c>
      <c r="L307" s="21">
        <f>IF(L301="",0,INDEX(Input_Range,MATCH((C189&amp;B307),Input_Call,0),MATCH(L301,Input_Header,0)))</f>
        <v>0</v>
      </c>
      <c r="M307" s="21">
        <f>IF(M301="",0,INDEX(Input_Range,MATCH((C189&amp;B307),Input_Call,0),MATCH(M301,Input_Header,0)))</f>
        <v>0</v>
      </c>
      <c r="N307" s="21">
        <f>IF(N301="",0,INDEX(Input_Range,MATCH((C189&amp;B307),Input_Call,0),MATCH(N301,Input_Header,0)))</f>
        <v>0</v>
      </c>
      <c r="O307" s="21">
        <f>IF(O301="",0,INDEX(Input_Range,MATCH((C189&amp;B307),Input_Call,0),MATCH(O301,Input_Header,0)))</f>
        <v>0</v>
      </c>
      <c r="P307" s="21">
        <f>IF(P301="",0,INDEX(Input_Range,MATCH((C189&amp;B307),Input_Call,0),MATCH(P301,Input_Header,0)))</f>
        <v>0</v>
      </c>
      <c r="Q307" s="21">
        <f>IF(Q301="",0,INDEX(Input_Range,MATCH((C189&amp;B307),Input_Call,0),MATCH(Q301,Input_Header,0)))</f>
        <v>0</v>
      </c>
      <c r="R307" s="698">
        <f t="shared" si="383"/>
        <v>0</v>
      </c>
      <c r="T307" s="699">
        <f t="shared" si="384"/>
        <v>0</v>
      </c>
      <c r="U307" s="699">
        <f t="shared" si="385"/>
        <v>0</v>
      </c>
      <c r="V307" s="699">
        <f t="shared" si="386"/>
        <v>0</v>
      </c>
      <c r="W307" s="699">
        <f t="shared" si="387"/>
        <v>0</v>
      </c>
      <c r="X307" s="699">
        <f t="shared" si="388"/>
        <v>0</v>
      </c>
      <c r="Y307" s="699">
        <f t="shared" si="389"/>
        <v>0</v>
      </c>
      <c r="Z307" s="699">
        <f t="shared" si="390"/>
        <v>0</v>
      </c>
      <c r="AA307" s="699">
        <f t="shared" si="391"/>
        <v>0</v>
      </c>
      <c r="AB307" s="699">
        <f t="shared" si="392"/>
        <v>0</v>
      </c>
      <c r="AC307" s="699">
        <f t="shared" si="393"/>
        <v>0</v>
      </c>
      <c r="AD307" s="699">
        <f t="shared" si="394"/>
        <v>0</v>
      </c>
      <c r="AE307" s="699">
        <f t="shared" si="395"/>
        <v>0</v>
      </c>
      <c r="AF307" s="699">
        <f t="shared" si="396"/>
        <v>0</v>
      </c>
      <c r="AG307" s="699">
        <f t="shared" si="397"/>
        <v>0</v>
      </c>
      <c r="AI307" s="698" t="e">
        <f t="shared" si="380"/>
        <v>#DIV/0!</v>
      </c>
      <c r="AJ307" s="21"/>
      <c r="AK307" s="21"/>
      <c r="AL307" s="4" t="str">
        <f>$A307&amp;$C189&amp;InputSheet!C$46&amp;InputSheet!D$46</f>
        <v>Option Year 9ESDTBD1Contr/Govt</v>
      </c>
      <c r="AM307" s="700" t="e">
        <f t="shared" si="381"/>
        <v>#DIV/0!</v>
      </c>
      <c r="AP307" s="387" t="e">
        <f t="shared" si="331"/>
        <v>#DIV/0!</v>
      </c>
    </row>
    <row r="308" spans="1:42" outlineLevel="1">
      <c r="A308" s="6" t="str">
        <f t="shared" si="382"/>
        <v>Option Year 9</v>
      </c>
      <c r="B308" s="6" t="str">
        <f t="shared" si="378"/>
        <v>TBD2</v>
      </c>
      <c r="E308" s="21">
        <f>IF(E301="",0,INDEX(Input_Range,MATCH((C189&amp;B308),Input_Call,0),MATCH(E301,Input_Header,0)))</f>
        <v>0</v>
      </c>
      <c r="F308" s="21">
        <f>IF(F301="",0,INDEX(Input_Range,MATCH((C189&amp;B308),Input_Call,0),MATCH(F301,Input_Header,0)))</f>
        <v>0</v>
      </c>
      <c r="G308" s="21">
        <f>IF(G301="",0,INDEX(Input_Range,MATCH((C189&amp;B308),Input_Call,0),MATCH(G301,Input_Header,0)))</f>
        <v>0</v>
      </c>
      <c r="H308" s="21">
        <f>IF(H301="",0,INDEX(Input_Range,MATCH((C189&amp;B308),Input_Call,0),MATCH(H301,Input_Header,0)))</f>
        <v>0</v>
      </c>
      <c r="I308" s="21">
        <f>IF(I301="",0,INDEX(Input_Range,MATCH((C189&amp;B308),Input_Call,0),MATCH(I301,Input_Header,0)))</f>
        <v>0</v>
      </c>
      <c r="J308" s="21">
        <f>IF(J301="",0,INDEX(Input_Range,MATCH((C189&amp;B308),Input_Call,0),MATCH(J301,Input_Header,0)))</f>
        <v>0</v>
      </c>
      <c r="K308" s="21">
        <f>IF(K301="",0,INDEX(Input_Range,MATCH((C189&amp;B308),Input_Call,0),MATCH(K301,Input_Header,0)))</f>
        <v>0</v>
      </c>
      <c r="L308" s="21">
        <f>IF(L301="",0,INDEX(Input_Range,MATCH((C189&amp;B308),Input_Call,0),MATCH(L301,Input_Header,0)))</f>
        <v>0</v>
      </c>
      <c r="M308" s="21">
        <f>IF(M301="",0,INDEX(Input_Range,MATCH((C189&amp;B308),Input_Call,0),MATCH(M301,Input_Header,0)))</f>
        <v>0</v>
      </c>
      <c r="N308" s="21">
        <f>IF(N301="",0,INDEX(Input_Range,MATCH((C189&amp;B308),Input_Call,0),MATCH(N301,Input_Header,0)))</f>
        <v>0</v>
      </c>
      <c r="O308" s="21">
        <f>IF(O301="",0,INDEX(Input_Range,MATCH((C189&amp;B308),Input_Call,0),MATCH(O301,Input_Header,0)))</f>
        <v>0</v>
      </c>
      <c r="P308" s="21">
        <f>IF(P301="",0,INDEX(Input_Range,MATCH((C189&amp;B308),Input_Call,0),MATCH(P301,Input_Header,0)))</f>
        <v>0</v>
      </c>
      <c r="Q308" s="21">
        <f>IF(Q301="",0,INDEX(Input_Range,MATCH((C189&amp;B308),Input_Call,0),MATCH(Q301,Input_Header,0)))</f>
        <v>0</v>
      </c>
      <c r="R308" s="698">
        <f t="shared" si="383"/>
        <v>0</v>
      </c>
      <c r="T308" s="699">
        <f t="shared" si="384"/>
        <v>0</v>
      </c>
      <c r="U308" s="699">
        <f t="shared" si="385"/>
        <v>0</v>
      </c>
      <c r="V308" s="699">
        <f t="shared" si="386"/>
        <v>0</v>
      </c>
      <c r="W308" s="699">
        <f t="shared" si="387"/>
        <v>0</v>
      </c>
      <c r="X308" s="699">
        <f t="shared" si="388"/>
        <v>0</v>
      </c>
      <c r="Y308" s="699">
        <f t="shared" si="389"/>
        <v>0</v>
      </c>
      <c r="Z308" s="699">
        <f t="shared" si="390"/>
        <v>0</v>
      </c>
      <c r="AA308" s="699">
        <f t="shared" si="391"/>
        <v>0</v>
      </c>
      <c r="AB308" s="699">
        <f t="shared" si="392"/>
        <v>0</v>
      </c>
      <c r="AC308" s="699">
        <f t="shared" si="393"/>
        <v>0</v>
      </c>
      <c r="AD308" s="699">
        <f t="shared" si="394"/>
        <v>0</v>
      </c>
      <c r="AE308" s="699">
        <f t="shared" si="395"/>
        <v>0</v>
      </c>
      <c r="AF308" s="699">
        <f t="shared" si="396"/>
        <v>0</v>
      </c>
      <c r="AG308" s="699">
        <f t="shared" si="397"/>
        <v>0</v>
      </c>
      <c r="AI308" s="698" t="e">
        <f t="shared" si="380"/>
        <v>#DIV/0!</v>
      </c>
      <c r="AJ308" s="21"/>
      <c r="AK308" s="21"/>
      <c r="AL308" s="4" t="str">
        <f>$A308&amp;$C189&amp;InputSheet!C$47&amp;InputSheet!D$47</f>
        <v>Option Year 9ESDTBD2Contr/Govt</v>
      </c>
      <c r="AM308" s="700" t="e">
        <f t="shared" si="381"/>
        <v>#DIV/0!</v>
      </c>
      <c r="AP308" s="387" t="e">
        <f t="shared" si="331"/>
        <v>#DIV/0!</v>
      </c>
    </row>
    <row r="309" spans="1:42" outlineLevel="1">
      <c r="A309" s="6" t="str">
        <f t="shared" si="382"/>
        <v>Option Year 9</v>
      </c>
      <c r="B309" s="6" t="str">
        <f t="shared" si="378"/>
        <v>TBD3</v>
      </c>
      <c r="E309" s="21">
        <f>IF(E301="",0,INDEX(Input_Range,MATCH((C189&amp;B309),Input_Call,0),MATCH(E301,Input_Header,0)))</f>
        <v>0</v>
      </c>
      <c r="F309" s="21">
        <f>IF(F301="",0,INDEX(Input_Range,MATCH((C189&amp;B309),Input_Call,0),MATCH(F301,Input_Header,0)))</f>
        <v>0</v>
      </c>
      <c r="G309" s="21">
        <f>IF(G301="",0,INDEX(Input_Range,MATCH((C189&amp;B309),Input_Call,0),MATCH(G301,Input_Header,0)))</f>
        <v>0</v>
      </c>
      <c r="H309" s="21">
        <f>IF(H301="",0,INDEX(Input_Range,MATCH((C189&amp;B309),Input_Call,0),MATCH(H301,Input_Header,0)))</f>
        <v>0</v>
      </c>
      <c r="I309" s="21">
        <f>IF(I301="",0,INDEX(Input_Range,MATCH((C189&amp;B309),Input_Call,0),MATCH(I301,Input_Header,0)))</f>
        <v>0</v>
      </c>
      <c r="J309" s="21">
        <f>IF(J301="",0,INDEX(Input_Range,MATCH((C189&amp;B309),Input_Call,0),MATCH(J301,Input_Header,0)))</f>
        <v>0</v>
      </c>
      <c r="K309" s="21">
        <f>IF(K301="",0,INDEX(Input_Range,MATCH((C189&amp;B309),Input_Call,0),MATCH(K301,Input_Header,0)))</f>
        <v>0</v>
      </c>
      <c r="L309" s="21">
        <f>IF(L301="",0,INDEX(Input_Range,MATCH((C189&amp;B309),Input_Call,0),MATCH(L301,Input_Header,0)))</f>
        <v>0</v>
      </c>
      <c r="M309" s="21">
        <f>IF(M301="",0,INDEX(Input_Range,MATCH((C189&amp;B309),Input_Call,0),MATCH(M301,Input_Header,0)))</f>
        <v>0</v>
      </c>
      <c r="N309" s="21">
        <f>IF(N301="",0,INDEX(Input_Range,MATCH((C189&amp;B309),Input_Call,0),MATCH(N301,Input_Header,0)))</f>
        <v>0</v>
      </c>
      <c r="O309" s="21">
        <f>IF(O301="",0,INDEX(Input_Range,MATCH((C189&amp;B309),Input_Call,0),MATCH(O301,Input_Header,0)))</f>
        <v>0</v>
      </c>
      <c r="P309" s="21">
        <f>IF(P301="",0,INDEX(Input_Range,MATCH((C189&amp;B309),Input_Call,0),MATCH(P301,Input_Header,0)))</f>
        <v>0</v>
      </c>
      <c r="Q309" s="21">
        <f>IF(Q301="",0,INDEX(Input_Range,MATCH((C189&amp;B309),Input_Call,0),MATCH(Q301,Input_Header,0)))</f>
        <v>0</v>
      </c>
      <c r="R309" s="698">
        <f t="shared" si="383"/>
        <v>0</v>
      </c>
      <c r="T309" s="699">
        <f t="shared" si="384"/>
        <v>0</v>
      </c>
      <c r="U309" s="699">
        <f t="shared" si="385"/>
        <v>0</v>
      </c>
      <c r="V309" s="699">
        <f t="shared" si="386"/>
        <v>0</v>
      </c>
      <c r="W309" s="699">
        <f t="shared" si="387"/>
        <v>0</v>
      </c>
      <c r="X309" s="699">
        <f t="shared" si="388"/>
        <v>0</v>
      </c>
      <c r="Y309" s="699">
        <f t="shared" si="389"/>
        <v>0</v>
      </c>
      <c r="Z309" s="699">
        <f t="shared" si="390"/>
        <v>0</v>
      </c>
      <c r="AA309" s="699">
        <f t="shared" si="391"/>
        <v>0</v>
      </c>
      <c r="AB309" s="699">
        <f t="shared" si="392"/>
        <v>0</v>
      </c>
      <c r="AC309" s="699">
        <f t="shared" si="393"/>
        <v>0</v>
      </c>
      <c r="AD309" s="699">
        <f t="shared" si="394"/>
        <v>0</v>
      </c>
      <c r="AE309" s="699">
        <f t="shared" si="395"/>
        <v>0</v>
      </c>
      <c r="AF309" s="699">
        <f t="shared" si="396"/>
        <v>0</v>
      </c>
      <c r="AG309" s="699">
        <f t="shared" si="397"/>
        <v>0</v>
      </c>
      <c r="AI309" s="698" t="e">
        <f t="shared" si="380"/>
        <v>#DIV/0!</v>
      </c>
      <c r="AJ309" s="21"/>
      <c r="AK309" s="21"/>
      <c r="AL309" s="4" t="str">
        <f>$A309&amp;$C189&amp;InputSheet!C$48&amp;InputSheet!D$48</f>
        <v>Option Year 9ESDTBD3Contr/Govt</v>
      </c>
      <c r="AM309" s="700" t="e">
        <f t="shared" si="381"/>
        <v>#DIV/0!</v>
      </c>
      <c r="AP309" s="387" t="e">
        <f t="shared" si="331"/>
        <v>#DIV/0!</v>
      </c>
    </row>
    <row r="310" spans="1:42">
      <c r="E310" s="698"/>
      <c r="F310" s="698"/>
      <c r="G310" s="698"/>
      <c r="H310" s="698"/>
      <c r="I310" s="698"/>
      <c r="J310" s="698"/>
      <c r="K310" s="698"/>
      <c r="L310" s="698"/>
      <c r="M310" s="698"/>
      <c r="N310" s="698"/>
      <c r="O310" s="698"/>
      <c r="P310" s="698"/>
      <c r="Q310" s="698"/>
      <c r="R310" s="698"/>
      <c r="AI310" s="21"/>
      <c r="AJ310" s="21"/>
      <c r="AK310" s="21"/>
      <c r="AP310" s="387" t="str">
        <f t="shared" si="331"/>
        <v>1</v>
      </c>
    </row>
    <row r="311" spans="1:42">
      <c r="A311" s="530" t="str">
        <f>B311</f>
        <v>Option Year 10</v>
      </c>
      <c r="B311" s="691" t="str">
        <f>InputSheet!$C$32</f>
        <v>Option Year 10</v>
      </c>
      <c r="AP311" s="387" t="str">
        <f t="shared" si="331"/>
        <v>1</v>
      </c>
    </row>
    <row r="312" spans="1:42">
      <c r="B312" s="314" t="s">
        <v>587</v>
      </c>
      <c r="C312" s="692" t="s">
        <v>588</v>
      </c>
      <c r="E312" s="1216" t="str">
        <f>"Indirect Rates - "&amp;C$189</f>
        <v>Indirect Rates - ESD</v>
      </c>
      <c r="F312" s="1216"/>
      <c r="G312" s="1216"/>
      <c r="H312" s="1216"/>
      <c r="I312" s="1216"/>
      <c r="J312" s="1216"/>
      <c r="K312" s="1216"/>
      <c r="L312" s="1216"/>
      <c r="M312" s="1216"/>
      <c r="N312" s="1216"/>
      <c r="O312" s="1216"/>
      <c r="P312" s="1216"/>
      <c r="Q312" s="1216"/>
      <c r="R312" s="1216"/>
      <c r="S312" s="844"/>
      <c r="T312" s="1217" t="s">
        <v>794</v>
      </c>
      <c r="U312" s="1217"/>
      <c r="V312" s="1217"/>
      <c r="W312" s="1217"/>
      <c r="X312" s="1217"/>
      <c r="Y312" s="1217"/>
      <c r="Z312" s="1217"/>
      <c r="AA312" s="1217"/>
      <c r="AB312" s="1217"/>
      <c r="AC312" s="1217"/>
      <c r="AD312" s="1217"/>
      <c r="AE312" s="1217"/>
      <c r="AF312" s="1217"/>
      <c r="AG312" s="1217"/>
      <c r="AI312" s="692" t="s">
        <v>615</v>
      </c>
      <c r="AJ312" s="50"/>
      <c r="AK312" s="50"/>
      <c r="AP312" s="387" t="str">
        <f t="shared" si="331"/>
        <v>1</v>
      </c>
    </row>
    <row r="313" spans="1:42">
      <c r="B313" s="693">
        <f>VLOOKUP(A311,InputSheet!$C$8:$E$37,2,FALSE)</f>
        <v>1827</v>
      </c>
      <c r="C313" s="694">
        <f>VLOOKUP(A311,InputSheet!$C$8:$E$37,3,FALSE)</f>
        <v>2191</v>
      </c>
      <c r="E313" s="695">
        <f t="shared" ref="E313:R313" si="398">E301</f>
        <v>2009</v>
      </c>
      <c r="F313" s="695">
        <f t="shared" si="398"/>
        <v>2010</v>
      </c>
      <c r="G313" s="695">
        <f t="shared" si="398"/>
        <v>2011</v>
      </c>
      <c r="H313" s="695">
        <f t="shared" si="398"/>
        <v>2012</v>
      </c>
      <c r="I313" s="695">
        <f t="shared" si="398"/>
        <v>2013</v>
      </c>
      <c r="J313" s="695">
        <f t="shared" si="398"/>
        <v>2014</v>
      </c>
      <c r="K313" s="695">
        <f t="shared" si="398"/>
        <v>2015</v>
      </c>
      <c r="L313" s="695">
        <f t="shared" si="398"/>
        <v>2016</v>
      </c>
      <c r="M313" s="695">
        <f t="shared" si="398"/>
        <v>2017</v>
      </c>
      <c r="N313" s="695">
        <f t="shared" si="398"/>
        <v>2018</v>
      </c>
      <c r="O313" s="695">
        <f t="shared" si="398"/>
        <v>2019</v>
      </c>
      <c r="P313" s="695">
        <f t="shared" si="398"/>
        <v>2020</v>
      </c>
      <c r="Q313" s="695">
        <f t="shared" si="398"/>
        <v>2021</v>
      </c>
      <c r="R313" s="695">
        <f t="shared" si="398"/>
        <v>2022</v>
      </c>
      <c r="S313" s="680"/>
      <c r="T313" s="695">
        <f t="shared" ref="T313:AG313" si="399">T301</f>
        <v>2009</v>
      </c>
      <c r="U313" s="695">
        <f t="shared" si="399"/>
        <v>2010</v>
      </c>
      <c r="V313" s="695">
        <f t="shared" si="399"/>
        <v>2011</v>
      </c>
      <c r="W313" s="695">
        <f t="shared" si="399"/>
        <v>2012</v>
      </c>
      <c r="X313" s="695">
        <f t="shared" si="399"/>
        <v>2013</v>
      </c>
      <c r="Y313" s="695">
        <f t="shared" si="399"/>
        <v>2014</v>
      </c>
      <c r="Z313" s="695">
        <f t="shared" si="399"/>
        <v>2015</v>
      </c>
      <c r="AA313" s="695">
        <f t="shared" si="399"/>
        <v>2016</v>
      </c>
      <c r="AB313" s="695">
        <f t="shared" si="399"/>
        <v>2017</v>
      </c>
      <c r="AC313" s="695">
        <f t="shared" si="399"/>
        <v>2018</v>
      </c>
      <c r="AD313" s="695">
        <f t="shared" si="399"/>
        <v>2019</v>
      </c>
      <c r="AE313" s="695">
        <f t="shared" si="399"/>
        <v>2020</v>
      </c>
      <c r="AF313" s="695">
        <f t="shared" si="399"/>
        <v>2021</v>
      </c>
      <c r="AG313" s="695">
        <f t="shared" si="399"/>
        <v>2022</v>
      </c>
      <c r="AI313" s="696" t="str">
        <f>B311</f>
        <v>Option Year 10</v>
      </c>
      <c r="AJ313" s="28"/>
      <c r="AK313" s="28"/>
      <c r="AP313" s="387" t="str">
        <f t="shared" si="331"/>
        <v>1</v>
      </c>
    </row>
    <row r="314" spans="1:42">
      <c r="A314" s="6" t="str">
        <f>A311</f>
        <v>Option Year 10</v>
      </c>
      <c r="B314" s="6" t="str">
        <f t="shared" ref="B314:B321" si="400">B302</f>
        <v>PRB</v>
      </c>
      <c r="E314" s="698">
        <f>IF(E313="",0,INDEX(Input_Range,MATCH((C189&amp;B314),Input_Call,0),MATCH(E313,Input_Header,0)))</f>
        <v>0</v>
      </c>
      <c r="F314" s="698">
        <f>IF(F313="",0,INDEX(Input_Range,MATCH((C189&amp;B314),Input_Call,0),MATCH(F313,Input_Header,0)))</f>
        <v>0</v>
      </c>
      <c r="G314" s="698">
        <f>IF(G313="",0,INDEX(Input_Range,MATCH((C189&amp;B314),Input_Call,0),MATCH(G313,Input_Header,0)))</f>
        <v>0</v>
      </c>
      <c r="H314" s="698">
        <f>IF(H313="",0,INDEX(Input_Range,MATCH((C189&amp;B314),Input_Call,0),MATCH(H313,Input_Header,0)))</f>
        <v>0</v>
      </c>
      <c r="I314" s="698">
        <f>IF(I313="",0,INDEX(Input_Range,MATCH((C189&amp;B314),Input_Call,0),MATCH(I313,Input_Header,0)))</f>
        <v>0</v>
      </c>
      <c r="J314" s="698">
        <f>IF(J313="",0,INDEX(Input_Range,MATCH((C189&amp;B314),Input_Call,0),MATCH(J313,Input_Header,0)))</f>
        <v>0</v>
      </c>
      <c r="K314" s="698">
        <f>IF(K313="",0,INDEX(Input_Range,MATCH((C189&amp;B314),Input_Call,0),MATCH(K313,Input_Header,0)))</f>
        <v>0</v>
      </c>
      <c r="L314" s="698">
        <f>IF(L313="",0,INDEX(Input_Range,MATCH((C189&amp;B314),Input_Call,0),MATCH(L313,Input_Header,0)))</f>
        <v>0</v>
      </c>
      <c r="M314" s="698">
        <f>IF(M313="",0,INDEX(Input_Range,MATCH((C189&amp;B314),Input_Call,0),MATCH(M313,Input_Header,0)))</f>
        <v>0</v>
      </c>
      <c r="N314" s="698">
        <f>IF(N313="",0,INDEX(Input_Range,MATCH((C189&amp;B314),Input_Call,0),MATCH(N313,Input_Header,0)))</f>
        <v>0</v>
      </c>
      <c r="O314" s="698">
        <f>IF(O313="",0,INDEX(Input_Range,MATCH((C189&amp;B314),Input_Call,0),MATCH(O313,Input_Header,0)))</f>
        <v>0</v>
      </c>
      <c r="P314" s="698">
        <f>IF(P313="",0,INDEX(Input_Range,MATCH((C189&amp;B314),Input_Call,0),MATCH(P313,Input_Header,0)))</f>
        <v>0</v>
      </c>
      <c r="Q314" s="698">
        <f>IF(Q313="",0,INDEX(Input_Range,MATCH((C189&amp;B314),Input_Call,0),MATCH(Q313,Input_Header,0)))</f>
        <v>0</v>
      </c>
      <c r="R314" s="698">
        <f>Q314</f>
        <v>0</v>
      </c>
      <c r="T314" s="699">
        <f t="shared" ref="T314:AG314" si="401">ROUND((MAX(0,(MIN($C313,DATE(T313,12,31))-MAX($B313,DATE(T313,1,1))+1)))/30.41667,0)</f>
        <v>0</v>
      </c>
      <c r="U314" s="699">
        <f t="shared" si="401"/>
        <v>0</v>
      </c>
      <c r="V314" s="699">
        <f t="shared" si="401"/>
        <v>0</v>
      </c>
      <c r="W314" s="699">
        <f t="shared" si="401"/>
        <v>0</v>
      </c>
      <c r="X314" s="699">
        <f t="shared" si="401"/>
        <v>0</v>
      </c>
      <c r="Y314" s="699">
        <f t="shared" si="401"/>
        <v>0</v>
      </c>
      <c r="Z314" s="699">
        <f t="shared" si="401"/>
        <v>0</v>
      </c>
      <c r="AA314" s="699">
        <f t="shared" si="401"/>
        <v>0</v>
      </c>
      <c r="AB314" s="699">
        <f t="shared" si="401"/>
        <v>0</v>
      </c>
      <c r="AC314" s="699">
        <f t="shared" si="401"/>
        <v>0</v>
      </c>
      <c r="AD314" s="699">
        <f t="shared" si="401"/>
        <v>0</v>
      </c>
      <c r="AE314" s="699">
        <f t="shared" si="401"/>
        <v>0</v>
      </c>
      <c r="AF314" s="699">
        <f t="shared" si="401"/>
        <v>0</v>
      </c>
      <c r="AG314" s="699">
        <f t="shared" si="401"/>
        <v>0</v>
      </c>
      <c r="AI314" s="698" t="e">
        <f t="shared" ref="AI314:AI321" si="402">ROUND(SUMPRODUCT(E314:R314,T314:AG314)/SUM(T314:AG314),4)</f>
        <v>#DIV/0!</v>
      </c>
      <c r="AJ314" s="698"/>
      <c r="AK314" s="698"/>
      <c r="AL314" s="4" t="str">
        <f>$A314&amp;$C189&amp;InputSheet!C$41&amp;InputSheet!D$41</f>
        <v>Option Year 10ESDPRBContr/Govt</v>
      </c>
      <c r="AM314" s="700" t="e">
        <f t="shared" ref="AM314:AM321" si="403">AI314</f>
        <v>#DIV/0!</v>
      </c>
      <c r="AP314" s="387" t="e">
        <f t="shared" si="331"/>
        <v>#DIV/0!</v>
      </c>
    </row>
    <row r="315" spans="1:42">
      <c r="A315" s="6" t="str">
        <f t="shared" ref="A315:A321" si="404">A314</f>
        <v>Option Year 10</v>
      </c>
      <c r="B315" s="6" t="str">
        <f t="shared" si="400"/>
        <v>Overhead - Offsite</v>
      </c>
      <c r="E315" s="698">
        <f>IF(E313="",0,INDEX(Input_Range,MATCH((C189&amp;B315),Input_Call,0),MATCH(E313,Input_Header,0)))</f>
        <v>0</v>
      </c>
      <c r="F315" s="698">
        <f>IF(F313="",0,INDEX(Input_Range,MATCH((C189&amp;B315),Input_Call,0),MATCH(F313,Input_Header,0)))</f>
        <v>0</v>
      </c>
      <c r="G315" s="698">
        <f>IF(G313="",0,INDEX(Input_Range,MATCH((C189&amp;B315),Input_Call,0),MATCH(G313,Input_Header,0)))</f>
        <v>0</v>
      </c>
      <c r="H315" s="698">
        <f>IF(H313="",0,INDEX(Input_Range,MATCH((C189&amp;B315),Input_Call,0),MATCH(H313,Input_Header,0)))</f>
        <v>0</v>
      </c>
      <c r="I315" s="698">
        <f>IF(I313="",0,INDEX(Input_Range,MATCH((C189&amp;B315),Input_Call,0),MATCH(I313,Input_Header,0)))</f>
        <v>0</v>
      </c>
      <c r="J315" s="698">
        <f>IF(J313="",0,INDEX(Input_Range,MATCH((C189&amp;B315),Input_Call,0),MATCH(J313,Input_Header,0)))</f>
        <v>0</v>
      </c>
      <c r="K315" s="698">
        <f>IF(K313="",0,INDEX(Input_Range,MATCH((C189&amp;B315),Input_Call,0),MATCH(K313,Input_Header,0)))</f>
        <v>0</v>
      </c>
      <c r="L315" s="698">
        <f>IF(L313="",0,INDEX(Input_Range,MATCH((C189&amp;B315),Input_Call,0),MATCH(L313,Input_Header,0)))</f>
        <v>0</v>
      </c>
      <c r="M315" s="698">
        <f>IF(M313="",0,INDEX(Input_Range,MATCH((C189&amp;B315),Input_Call,0),MATCH(M313,Input_Header,0)))</f>
        <v>0</v>
      </c>
      <c r="N315" s="698">
        <f>IF(N313="",0,INDEX(Input_Range,MATCH((C189&amp;B315),Input_Call,0),MATCH(N313,Input_Header,0)))</f>
        <v>0</v>
      </c>
      <c r="O315" s="698">
        <f>IF(O313="",0,INDEX(Input_Range,MATCH((C189&amp;B315),Input_Call,0),MATCH(O313,Input_Header,0)))</f>
        <v>0</v>
      </c>
      <c r="P315" s="698">
        <f>IF(P313="",0,INDEX(Input_Range,MATCH((C189&amp;B315),Input_Call,0),MATCH(P313,Input_Header,0)))</f>
        <v>0</v>
      </c>
      <c r="Q315" s="698">
        <f>IF(Q313="",0,INDEX(Input_Range,MATCH((C189&amp;B315),Input_Call,0),MATCH(Q313,Input_Header,0)))</f>
        <v>0</v>
      </c>
      <c r="R315" s="698">
        <f t="shared" ref="R315:R321" si="405">Q315</f>
        <v>0</v>
      </c>
      <c r="T315" s="699">
        <f t="shared" ref="T315:T321" si="406">T314</f>
        <v>0</v>
      </c>
      <c r="U315" s="699">
        <f t="shared" ref="U315:U321" si="407">U314</f>
        <v>0</v>
      </c>
      <c r="V315" s="699">
        <f t="shared" ref="V315:V321" si="408">V314</f>
        <v>0</v>
      </c>
      <c r="W315" s="699">
        <f t="shared" ref="W315:W321" si="409">W314</f>
        <v>0</v>
      </c>
      <c r="X315" s="699">
        <f t="shared" ref="X315:X321" si="410">X314</f>
        <v>0</v>
      </c>
      <c r="Y315" s="699">
        <f t="shared" ref="Y315:Y321" si="411">Y314</f>
        <v>0</v>
      </c>
      <c r="Z315" s="699">
        <f t="shared" ref="Z315:Z321" si="412">Z314</f>
        <v>0</v>
      </c>
      <c r="AA315" s="699">
        <f t="shared" ref="AA315:AA321" si="413">AA314</f>
        <v>0</v>
      </c>
      <c r="AB315" s="699">
        <f t="shared" ref="AB315:AB321" si="414">AB314</f>
        <v>0</v>
      </c>
      <c r="AC315" s="699">
        <f t="shared" ref="AC315:AC321" si="415">AC314</f>
        <v>0</v>
      </c>
      <c r="AD315" s="699">
        <f t="shared" ref="AD315:AD321" si="416">AD314</f>
        <v>0</v>
      </c>
      <c r="AE315" s="699">
        <f t="shared" ref="AE315:AE321" si="417">AE314</f>
        <v>0</v>
      </c>
      <c r="AF315" s="699">
        <f t="shared" ref="AF315:AF321" si="418">AF314</f>
        <v>0</v>
      </c>
      <c r="AG315" s="699">
        <f t="shared" ref="AG315:AG321" si="419">AG314</f>
        <v>0</v>
      </c>
      <c r="AI315" s="698" t="e">
        <f t="shared" si="402"/>
        <v>#DIV/0!</v>
      </c>
      <c r="AJ315" s="698"/>
      <c r="AK315" s="698"/>
      <c r="AL315" s="4" t="str">
        <f>$A315&amp;$C189&amp;InputSheet!C$42&amp;InputSheet!D$42</f>
        <v>Option Year 10ESDOverheadContr</v>
      </c>
      <c r="AM315" s="700" t="e">
        <f t="shared" si="403"/>
        <v>#DIV/0!</v>
      </c>
      <c r="AP315" s="387" t="e">
        <f t="shared" si="331"/>
        <v>#DIV/0!</v>
      </c>
    </row>
    <row r="316" spans="1:42">
      <c r="A316" s="6" t="str">
        <f t="shared" si="404"/>
        <v>Option Year 10</v>
      </c>
      <c r="B316" s="6" t="str">
        <f t="shared" si="400"/>
        <v>Overhead - Onsite</v>
      </c>
      <c r="E316" s="698">
        <f>IF(E313="",0,INDEX(Input_Range,MATCH((C189&amp;B316),Input_Call,0),MATCH(E313,Input_Header,0)))</f>
        <v>0</v>
      </c>
      <c r="F316" s="698">
        <f>IF(F313="",0,INDEX(Input_Range,MATCH((C189&amp;B316),Input_Call,0),MATCH(F313,Input_Header,0)))</f>
        <v>0</v>
      </c>
      <c r="G316" s="698">
        <f>IF(G313="",0,INDEX(Input_Range,MATCH((C189&amp;B316),Input_Call,0),MATCH(G313,Input_Header,0)))</f>
        <v>0</v>
      </c>
      <c r="H316" s="698">
        <f>IF(H313="",0,INDEX(Input_Range,MATCH((C189&amp;B316),Input_Call,0),MATCH(H313,Input_Header,0)))</f>
        <v>0</v>
      </c>
      <c r="I316" s="698">
        <f>IF(I313="",0,INDEX(Input_Range,MATCH((C189&amp;B316),Input_Call,0),MATCH(I313,Input_Header,0)))</f>
        <v>0</v>
      </c>
      <c r="J316" s="698">
        <f>IF(J313="",0,INDEX(Input_Range,MATCH((C189&amp;B316),Input_Call,0),MATCH(J313,Input_Header,0)))</f>
        <v>0</v>
      </c>
      <c r="K316" s="698">
        <f>IF(K313="",0,INDEX(Input_Range,MATCH((C189&amp;B316),Input_Call,0),MATCH(K313,Input_Header,0)))</f>
        <v>0</v>
      </c>
      <c r="L316" s="698">
        <f>IF(L313="",0,INDEX(Input_Range,MATCH((C189&amp;B316),Input_Call,0),MATCH(L313,Input_Header,0)))</f>
        <v>0</v>
      </c>
      <c r="M316" s="698">
        <f>IF(M313="",0,INDEX(Input_Range,MATCH((C189&amp;B316),Input_Call,0),MATCH(M313,Input_Header,0)))</f>
        <v>0</v>
      </c>
      <c r="N316" s="698">
        <f>IF(N313="",0,INDEX(Input_Range,MATCH((C189&amp;B316),Input_Call,0),MATCH(N313,Input_Header,0)))</f>
        <v>0</v>
      </c>
      <c r="O316" s="698">
        <f>IF(O313="",0,INDEX(Input_Range,MATCH((C189&amp;B316),Input_Call,0),MATCH(O313,Input_Header,0)))</f>
        <v>0</v>
      </c>
      <c r="P316" s="698">
        <f>IF(P313="",0,INDEX(Input_Range,MATCH((C189&amp;B316),Input_Call,0),MATCH(P313,Input_Header,0)))</f>
        <v>0</v>
      </c>
      <c r="Q316" s="698">
        <f>IF(Q313="",0,INDEX(Input_Range,MATCH((C189&amp;B316),Input_Call,0),MATCH(Q313,Input_Header,0)))</f>
        <v>0</v>
      </c>
      <c r="R316" s="698">
        <f t="shared" si="405"/>
        <v>0</v>
      </c>
      <c r="T316" s="699">
        <f t="shared" si="406"/>
        <v>0</v>
      </c>
      <c r="U316" s="699">
        <f t="shared" si="407"/>
        <v>0</v>
      </c>
      <c r="V316" s="699">
        <f t="shared" si="408"/>
        <v>0</v>
      </c>
      <c r="W316" s="699">
        <f t="shared" si="409"/>
        <v>0</v>
      </c>
      <c r="X316" s="699">
        <f t="shared" si="410"/>
        <v>0</v>
      </c>
      <c r="Y316" s="699">
        <f t="shared" si="411"/>
        <v>0</v>
      </c>
      <c r="Z316" s="699">
        <f t="shared" si="412"/>
        <v>0</v>
      </c>
      <c r="AA316" s="699">
        <f t="shared" si="413"/>
        <v>0</v>
      </c>
      <c r="AB316" s="699">
        <f t="shared" si="414"/>
        <v>0</v>
      </c>
      <c r="AC316" s="699">
        <f t="shared" si="415"/>
        <v>0</v>
      </c>
      <c r="AD316" s="699">
        <f t="shared" si="416"/>
        <v>0</v>
      </c>
      <c r="AE316" s="699">
        <f t="shared" si="417"/>
        <v>0</v>
      </c>
      <c r="AF316" s="699">
        <f t="shared" si="418"/>
        <v>0</v>
      </c>
      <c r="AG316" s="699">
        <f t="shared" si="419"/>
        <v>0</v>
      </c>
      <c r="AI316" s="698" t="e">
        <f t="shared" si="402"/>
        <v>#DIV/0!</v>
      </c>
      <c r="AJ316" s="698"/>
      <c r="AK316" s="698"/>
      <c r="AL316" s="4" t="str">
        <f>$A316&amp;$C189&amp;InputSheet!C$43&amp;InputSheet!D$43</f>
        <v>Option Year 10ESDOverheadGovt</v>
      </c>
      <c r="AM316" s="700" t="e">
        <f t="shared" si="403"/>
        <v>#DIV/0!</v>
      </c>
      <c r="AP316" s="387" t="e">
        <f t="shared" si="331"/>
        <v>#DIV/0!</v>
      </c>
    </row>
    <row r="317" spans="1:42">
      <c r="A317" s="6" t="str">
        <f t="shared" si="404"/>
        <v>Option Year 10</v>
      </c>
      <c r="B317" s="6" t="str">
        <f t="shared" si="400"/>
        <v>Material Handling</v>
      </c>
      <c r="E317" s="698">
        <f>IF(E313="",0,INDEX(Input_Range,MATCH((C189&amp;B317),Input_Call,0),MATCH(E313,Input_Header,0)))</f>
        <v>0</v>
      </c>
      <c r="F317" s="698">
        <f>IF(F313="",0,INDEX(Input_Range,MATCH((C189&amp;B317),Input_Call,0),MATCH(F313,Input_Header,0)))</f>
        <v>0</v>
      </c>
      <c r="G317" s="698">
        <f>IF(G313="",0,INDEX(Input_Range,MATCH((C189&amp;B317),Input_Call,0),MATCH(G313,Input_Header,0)))</f>
        <v>0</v>
      </c>
      <c r="H317" s="698">
        <f>IF(H313="",0,INDEX(Input_Range,MATCH((C189&amp;B317),Input_Call,0),MATCH(H313,Input_Header,0)))</f>
        <v>0</v>
      </c>
      <c r="I317" s="698">
        <f>IF(I313="",0,INDEX(Input_Range,MATCH((C189&amp;B317),Input_Call,0),MATCH(I313,Input_Header,0)))</f>
        <v>0</v>
      </c>
      <c r="J317" s="698">
        <f>IF(J313="",0,INDEX(Input_Range,MATCH((C189&amp;B317),Input_Call,0),MATCH(J313,Input_Header,0)))</f>
        <v>0</v>
      </c>
      <c r="K317" s="698">
        <f>IF(K313="",0,INDEX(Input_Range,MATCH((C189&amp;B317),Input_Call,0),MATCH(K313,Input_Header,0)))</f>
        <v>0</v>
      </c>
      <c r="L317" s="698">
        <f>IF(L313="",0,INDEX(Input_Range,MATCH((C189&amp;B317),Input_Call,0),MATCH(L313,Input_Header,0)))</f>
        <v>0</v>
      </c>
      <c r="M317" s="698">
        <f>IF(M313="",0,INDEX(Input_Range,MATCH((C189&amp;B317),Input_Call,0),MATCH(M313,Input_Header,0)))</f>
        <v>0</v>
      </c>
      <c r="N317" s="698">
        <f>IF(N313="",0,INDEX(Input_Range,MATCH((C189&amp;B317),Input_Call,0),MATCH(N313,Input_Header,0)))</f>
        <v>0</v>
      </c>
      <c r="O317" s="698">
        <f>IF(O313="",0,INDEX(Input_Range,MATCH((C189&amp;B317),Input_Call,0),MATCH(O313,Input_Header,0)))</f>
        <v>0</v>
      </c>
      <c r="P317" s="698">
        <f>IF(P313="",0,INDEX(Input_Range,MATCH((C189&amp;B317),Input_Call,0),MATCH(P313,Input_Header,0)))</f>
        <v>0</v>
      </c>
      <c r="Q317" s="698">
        <f>IF(Q313="",0,INDEX(Input_Range,MATCH((C189&amp;B317),Input_Call,0),MATCH(Q313,Input_Header,0)))</f>
        <v>0</v>
      </c>
      <c r="R317" s="698">
        <f t="shared" si="405"/>
        <v>0</v>
      </c>
      <c r="T317" s="699">
        <f t="shared" si="406"/>
        <v>0</v>
      </c>
      <c r="U317" s="699">
        <f t="shared" si="407"/>
        <v>0</v>
      </c>
      <c r="V317" s="699">
        <f t="shared" si="408"/>
        <v>0</v>
      </c>
      <c r="W317" s="699">
        <f t="shared" si="409"/>
        <v>0</v>
      </c>
      <c r="X317" s="699">
        <f t="shared" si="410"/>
        <v>0</v>
      </c>
      <c r="Y317" s="699">
        <f t="shared" si="411"/>
        <v>0</v>
      </c>
      <c r="Z317" s="699">
        <f t="shared" si="412"/>
        <v>0</v>
      </c>
      <c r="AA317" s="699">
        <f t="shared" si="413"/>
        <v>0</v>
      </c>
      <c r="AB317" s="699">
        <f t="shared" si="414"/>
        <v>0</v>
      </c>
      <c r="AC317" s="699">
        <f t="shared" si="415"/>
        <v>0</v>
      </c>
      <c r="AD317" s="699">
        <f t="shared" si="416"/>
        <v>0</v>
      </c>
      <c r="AE317" s="699">
        <f t="shared" si="417"/>
        <v>0</v>
      </c>
      <c r="AF317" s="699">
        <f t="shared" si="418"/>
        <v>0</v>
      </c>
      <c r="AG317" s="699">
        <f t="shared" si="419"/>
        <v>0</v>
      </c>
      <c r="AI317" s="698" t="e">
        <f t="shared" si="402"/>
        <v>#DIV/0!</v>
      </c>
      <c r="AJ317" s="698"/>
      <c r="AK317" s="698"/>
      <c r="AL317" s="4" t="str">
        <f>$A317&amp;$C189&amp;InputSheet!C$44&amp;InputSheet!D$44</f>
        <v>Option Year 10ESDMHContr/Govt</v>
      </c>
      <c r="AM317" s="700" t="e">
        <f t="shared" si="403"/>
        <v>#DIV/0!</v>
      </c>
      <c r="AP317" s="387" t="e">
        <f t="shared" si="331"/>
        <v>#DIV/0!</v>
      </c>
    </row>
    <row r="318" spans="1:42">
      <c r="A318" s="6" t="str">
        <f t="shared" si="404"/>
        <v>Option Year 10</v>
      </c>
      <c r="B318" s="6" t="str">
        <f t="shared" si="400"/>
        <v>G&amp;A</v>
      </c>
      <c r="E318" s="698">
        <f>IF(E313="",0,INDEX(Input_Range,MATCH((C189&amp;B318),Input_Call,0),MATCH(E313,Input_Header,0)))</f>
        <v>0</v>
      </c>
      <c r="F318" s="698">
        <f>IF(F313="",0,INDEX(Input_Range,MATCH((C189&amp;B318),Input_Call,0),MATCH(F313,Input_Header,0)))</f>
        <v>0</v>
      </c>
      <c r="G318" s="698">
        <f>IF(G313="",0,INDEX(Input_Range,MATCH((C189&amp;B318),Input_Call,0),MATCH(G313,Input_Header,0)))</f>
        <v>0</v>
      </c>
      <c r="H318" s="698">
        <f>IF(H313="",0,INDEX(Input_Range,MATCH((C189&amp;B318),Input_Call,0),MATCH(H313,Input_Header,0)))</f>
        <v>0</v>
      </c>
      <c r="I318" s="698">
        <f>IF(I313="",0,INDEX(Input_Range,MATCH((C189&amp;B318),Input_Call,0),MATCH(I313,Input_Header,0)))</f>
        <v>0</v>
      </c>
      <c r="J318" s="698">
        <f>IF(J313="",0,INDEX(Input_Range,MATCH((C189&amp;B318),Input_Call,0),MATCH(J313,Input_Header,0)))</f>
        <v>0</v>
      </c>
      <c r="K318" s="698">
        <f>IF(K313="",0,INDEX(Input_Range,MATCH((C189&amp;B318),Input_Call,0),MATCH(K313,Input_Header,0)))</f>
        <v>0</v>
      </c>
      <c r="L318" s="698">
        <f>IF(L313="",0,INDEX(Input_Range,MATCH((C189&amp;B318),Input_Call,0),MATCH(L313,Input_Header,0)))</f>
        <v>0</v>
      </c>
      <c r="M318" s="698">
        <f>IF(M313="",0,INDEX(Input_Range,MATCH((C189&amp;B318),Input_Call,0),MATCH(M313,Input_Header,0)))</f>
        <v>0</v>
      </c>
      <c r="N318" s="698">
        <f>IF(N313="",0,INDEX(Input_Range,MATCH((C189&amp;B318),Input_Call,0),MATCH(N313,Input_Header,0)))</f>
        <v>0</v>
      </c>
      <c r="O318" s="698">
        <f>IF(O313="",0,INDEX(Input_Range,MATCH((C189&amp;B318),Input_Call,0),MATCH(O313,Input_Header,0)))</f>
        <v>0</v>
      </c>
      <c r="P318" s="698">
        <f>IF(P313="",0,INDEX(Input_Range,MATCH((C189&amp;B318),Input_Call,0),MATCH(P313,Input_Header,0)))</f>
        <v>0</v>
      </c>
      <c r="Q318" s="698">
        <f>IF(Q313="",0,INDEX(Input_Range,MATCH((C189&amp;B318),Input_Call,0),MATCH(Q313,Input_Header,0)))</f>
        <v>0</v>
      </c>
      <c r="R318" s="698">
        <f t="shared" si="405"/>
        <v>0</v>
      </c>
      <c r="T318" s="699">
        <f t="shared" si="406"/>
        <v>0</v>
      </c>
      <c r="U318" s="699">
        <f t="shared" si="407"/>
        <v>0</v>
      </c>
      <c r="V318" s="699">
        <f t="shared" si="408"/>
        <v>0</v>
      </c>
      <c r="W318" s="699">
        <f t="shared" si="409"/>
        <v>0</v>
      </c>
      <c r="X318" s="699">
        <f t="shared" si="410"/>
        <v>0</v>
      </c>
      <c r="Y318" s="699">
        <f t="shared" si="411"/>
        <v>0</v>
      </c>
      <c r="Z318" s="699">
        <f t="shared" si="412"/>
        <v>0</v>
      </c>
      <c r="AA318" s="699">
        <f t="shared" si="413"/>
        <v>0</v>
      </c>
      <c r="AB318" s="699">
        <f t="shared" si="414"/>
        <v>0</v>
      </c>
      <c r="AC318" s="699">
        <f t="shared" si="415"/>
        <v>0</v>
      </c>
      <c r="AD318" s="699">
        <f t="shared" si="416"/>
        <v>0</v>
      </c>
      <c r="AE318" s="699">
        <f t="shared" si="417"/>
        <v>0</v>
      </c>
      <c r="AF318" s="699">
        <f t="shared" si="418"/>
        <v>0</v>
      </c>
      <c r="AG318" s="699">
        <f t="shared" si="419"/>
        <v>0</v>
      </c>
      <c r="AI318" s="698" t="e">
        <f t="shared" si="402"/>
        <v>#DIV/0!</v>
      </c>
      <c r="AJ318" s="698"/>
      <c r="AK318" s="698"/>
      <c r="AL318" s="4" t="str">
        <f>$A318&amp;$C189&amp;InputSheet!C$45&amp;InputSheet!D$45</f>
        <v>Option Year 10ESDG&amp;AContr/Govt</v>
      </c>
      <c r="AM318" s="700" t="e">
        <f t="shared" si="403"/>
        <v>#DIV/0!</v>
      </c>
      <c r="AP318" s="387" t="e">
        <f t="shared" si="331"/>
        <v>#DIV/0!</v>
      </c>
    </row>
    <row r="319" spans="1:42" outlineLevel="1">
      <c r="A319" s="6" t="str">
        <f t="shared" si="404"/>
        <v>Option Year 10</v>
      </c>
      <c r="B319" s="6" t="str">
        <f t="shared" si="400"/>
        <v>TBD1</v>
      </c>
      <c r="E319" s="21">
        <f>IF(E313="",0,INDEX(Input_Range,MATCH((C189&amp;B319),Input_Call,0),MATCH(E313,Input_Header,0)))</f>
        <v>0</v>
      </c>
      <c r="F319" s="21">
        <f>IF(F313="",0,INDEX(Input_Range,MATCH((C189&amp;B319),Input_Call,0),MATCH(F313,Input_Header,0)))</f>
        <v>0</v>
      </c>
      <c r="G319" s="21">
        <f>IF(G313="",0,INDEX(Input_Range,MATCH((C189&amp;B319),Input_Call,0),MATCH(G313,Input_Header,0)))</f>
        <v>0</v>
      </c>
      <c r="H319" s="21">
        <f>IF(H313="",0,INDEX(Input_Range,MATCH((C189&amp;B319),Input_Call,0),MATCH(H313,Input_Header,0)))</f>
        <v>0</v>
      </c>
      <c r="I319" s="21">
        <f>IF(I313="",0,INDEX(Input_Range,MATCH((C189&amp;B319),Input_Call,0),MATCH(I313,Input_Header,0)))</f>
        <v>0</v>
      </c>
      <c r="J319" s="21">
        <f>IF(J313="",0,INDEX(Input_Range,MATCH((C189&amp;B319),Input_Call,0),MATCH(J313,Input_Header,0)))</f>
        <v>0</v>
      </c>
      <c r="K319" s="21">
        <f>IF(K313="",0,INDEX(Input_Range,MATCH((C189&amp;B319),Input_Call,0),MATCH(K313,Input_Header,0)))</f>
        <v>0</v>
      </c>
      <c r="L319" s="21">
        <f>IF(L313="",0,INDEX(Input_Range,MATCH((C189&amp;B319),Input_Call,0),MATCH(L313,Input_Header,0)))</f>
        <v>0</v>
      </c>
      <c r="M319" s="21">
        <f>IF(M313="",0,INDEX(Input_Range,MATCH((C189&amp;B319),Input_Call,0),MATCH(M313,Input_Header,0)))</f>
        <v>0</v>
      </c>
      <c r="N319" s="21">
        <f>IF(N313="",0,INDEX(Input_Range,MATCH((C189&amp;B319),Input_Call,0),MATCH(N313,Input_Header,0)))</f>
        <v>0</v>
      </c>
      <c r="O319" s="21">
        <f>IF(O313="",0,INDEX(Input_Range,MATCH((C189&amp;B319),Input_Call,0),MATCH(O313,Input_Header,0)))</f>
        <v>0</v>
      </c>
      <c r="P319" s="21">
        <f>IF(P313="",0,INDEX(Input_Range,MATCH((C189&amp;B319),Input_Call,0),MATCH(P313,Input_Header,0)))</f>
        <v>0</v>
      </c>
      <c r="Q319" s="21">
        <f>IF(Q313="",0,INDEX(Input_Range,MATCH((C189&amp;B319),Input_Call,0),MATCH(Q313,Input_Header,0)))</f>
        <v>0</v>
      </c>
      <c r="R319" s="698">
        <f t="shared" si="405"/>
        <v>0</v>
      </c>
      <c r="T319" s="699">
        <f t="shared" si="406"/>
        <v>0</v>
      </c>
      <c r="U319" s="699">
        <f t="shared" si="407"/>
        <v>0</v>
      </c>
      <c r="V319" s="699">
        <f t="shared" si="408"/>
        <v>0</v>
      </c>
      <c r="W319" s="699">
        <f t="shared" si="409"/>
        <v>0</v>
      </c>
      <c r="X319" s="699">
        <f t="shared" si="410"/>
        <v>0</v>
      </c>
      <c r="Y319" s="699">
        <f t="shared" si="411"/>
        <v>0</v>
      </c>
      <c r="Z319" s="699">
        <f t="shared" si="412"/>
        <v>0</v>
      </c>
      <c r="AA319" s="699">
        <f t="shared" si="413"/>
        <v>0</v>
      </c>
      <c r="AB319" s="699">
        <f t="shared" si="414"/>
        <v>0</v>
      </c>
      <c r="AC319" s="699">
        <f t="shared" si="415"/>
        <v>0</v>
      </c>
      <c r="AD319" s="699">
        <f t="shared" si="416"/>
        <v>0</v>
      </c>
      <c r="AE319" s="699">
        <f t="shared" si="417"/>
        <v>0</v>
      </c>
      <c r="AF319" s="699">
        <f t="shared" si="418"/>
        <v>0</v>
      </c>
      <c r="AG319" s="699">
        <f t="shared" si="419"/>
        <v>0</v>
      </c>
      <c r="AI319" s="698" t="e">
        <f t="shared" si="402"/>
        <v>#DIV/0!</v>
      </c>
      <c r="AJ319" s="21"/>
      <c r="AK319" s="21"/>
      <c r="AL319" s="4" t="str">
        <f>$A319&amp;$C189&amp;InputSheet!C$46&amp;InputSheet!D$46</f>
        <v>Option Year 10ESDTBD1Contr/Govt</v>
      </c>
      <c r="AM319" s="700" t="e">
        <f t="shared" si="403"/>
        <v>#DIV/0!</v>
      </c>
      <c r="AP319" s="387" t="e">
        <f t="shared" si="331"/>
        <v>#DIV/0!</v>
      </c>
    </row>
    <row r="320" spans="1:42" outlineLevel="1">
      <c r="A320" s="6" t="str">
        <f t="shared" si="404"/>
        <v>Option Year 10</v>
      </c>
      <c r="B320" s="6" t="str">
        <f t="shared" si="400"/>
        <v>TBD2</v>
      </c>
      <c r="E320" s="21">
        <f>IF(E313="",0,INDEX(Input_Range,MATCH((C189&amp;B320),Input_Call,0),MATCH(E313,Input_Header,0)))</f>
        <v>0</v>
      </c>
      <c r="F320" s="21">
        <f>IF(F313="",0,INDEX(Input_Range,MATCH((C189&amp;B320),Input_Call,0),MATCH(F313,Input_Header,0)))</f>
        <v>0</v>
      </c>
      <c r="G320" s="21">
        <f>IF(G313="",0,INDEX(Input_Range,MATCH((C189&amp;B320),Input_Call,0),MATCH(G313,Input_Header,0)))</f>
        <v>0</v>
      </c>
      <c r="H320" s="21">
        <f>IF(H313="",0,INDEX(Input_Range,MATCH((C189&amp;B320),Input_Call,0),MATCH(H313,Input_Header,0)))</f>
        <v>0</v>
      </c>
      <c r="I320" s="21">
        <f>IF(I313="",0,INDEX(Input_Range,MATCH((C189&amp;B320),Input_Call,0),MATCH(I313,Input_Header,0)))</f>
        <v>0</v>
      </c>
      <c r="J320" s="21">
        <f>IF(J313="",0,INDEX(Input_Range,MATCH((C189&amp;B320),Input_Call,0),MATCH(J313,Input_Header,0)))</f>
        <v>0</v>
      </c>
      <c r="K320" s="21">
        <f>IF(K313="",0,INDEX(Input_Range,MATCH((C189&amp;B320),Input_Call,0),MATCH(K313,Input_Header,0)))</f>
        <v>0</v>
      </c>
      <c r="L320" s="21">
        <f>IF(L313="",0,INDEX(Input_Range,MATCH((C189&amp;B320),Input_Call,0),MATCH(L313,Input_Header,0)))</f>
        <v>0</v>
      </c>
      <c r="M320" s="21">
        <f>IF(M313="",0,INDEX(Input_Range,MATCH((C189&amp;B320),Input_Call,0),MATCH(M313,Input_Header,0)))</f>
        <v>0</v>
      </c>
      <c r="N320" s="21">
        <f>IF(N313="",0,INDEX(Input_Range,MATCH((C189&amp;B320),Input_Call,0),MATCH(N313,Input_Header,0)))</f>
        <v>0</v>
      </c>
      <c r="O320" s="21">
        <f>IF(O313="",0,INDEX(Input_Range,MATCH((C189&amp;B320),Input_Call,0),MATCH(O313,Input_Header,0)))</f>
        <v>0</v>
      </c>
      <c r="P320" s="21">
        <f>IF(P313="",0,INDEX(Input_Range,MATCH((C189&amp;B320),Input_Call,0),MATCH(P313,Input_Header,0)))</f>
        <v>0</v>
      </c>
      <c r="Q320" s="21">
        <f>IF(Q313="",0,INDEX(Input_Range,MATCH((C189&amp;B320),Input_Call,0),MATCH(Q313,Input_Header,0)))</f>
        <v>0</v>
      </c>
      <c r="R320" s="698">
        <f t="shared" si="405"/>
        <v>0</v>
      </c>
      <c r="T320" s="699">
        <f t="shared" si="406"/>
        <v>0</v>
      </c>
      <c r="U320" s="699">
        <f t="shared" si="407"/>
        <v>0</v>
      </c>
      <c r="V320" s="699">
        <f t="shared" si="408"/>
        <v>0</v>
      </c>
      <c r="W320" s="699">
        <f t="shared" si="409"/>
        <v>0</v>
      </c>
      <c r="X320" s="699">
        <f t="shared" si="410"/>
        <v>0</v>
      </c>
      <c r="Y320" s="699">
        <f t="shared" si="411"/>
        <v>0</v>
      </c>
      <c r="Z320" s="699">
        <f t="shared" si="412"/>
        <v>0</v>
      </c>
      <c r="AA320" s="699">
        <f t="shared" si="413"/>
        <v>0</v>
      </c>
      <c r="AB320" s="699">
        <f t="shared" si="414"/>
        <v>0</v>
      </c>
      <c r="AC320" s="699">
        <f t="shared" si="415"/>
        <v>0</v>
      </c>
      <c r="AD320" s="699">
        <f t="shared" si="416"/>
        <v>0</v>
      </c>
      <c r="AE320" s="699">
        <f t="shared" si="417"/>
        <v>0</v>
      </c>
      <c r="AF320" s="699">
        <f t="shared" si="418"/>
        <v>0</v>
      </c>
      <c r="AG320" s="699">
        <f t="shared" si="419"/>
        <v>0</v>
      </c>
      <c r="AI320" s="698" t="e">
        <f t="shared" si="402"/>
        <v>#DIV/0!</v>
      </c>
      <c r="AJ320" s="21"/>
      <c r="AK320" s="21"/>
      <c r="AL320" s="4" t="str">
        <f>$A320&amp;$C189&amp;InputSheet!C$47&amp;InputSheet!D$47</f>
        <v>Option Year 10ESDTBD2Contr/Govt</v>
      </c>
      <c r="AM320" s="700" t="e">
        <f t="shared" si="403"/>
        <v>#DIV/0!</v>
      </c>
      <c r="AP320" s="387" t="e">
        <f t="shared" si="331"/>
        <v>#DIV/0!</v>
      </c>
    </row>
    <row r="321" spans="1:42" outlineLevel="1">
      <c r="A321" s="6" t="str">
        <f t="shared" si="404"/>
        <v>Option Year 10</v>
      </c>
      <c r="B321" s="6" t="str">
        <f t="shared" si="400"/>
        <v>TBD3</v>
      </c>
      <c r="E321" s="21">
        <f>IF(E313="",0,INDEX(Input_Range,MATCH((C189&amp;B321),Input_Call,0),MATCH(E313,Input_Header,0)))</f>
        <v>0</v>
      </c>
      <c r="F321" s="21">
        <f>IF(F313="",0,INDEX(Input_Range,MATCH((C189&amp;B321),Input_Call,0),MATCH(F313,Input_Header,0)))</f>
        <v>0</v>
      </c>
      <c r="G321" s="21">
        <f>IF(G313="",0,INDEX(Input_Range,MATCH((C189&amp;B321),Input_Call,0),MATCH(G313,Input_Header,0)))</f>
        <v>0</v>
      </c>
      <c r="H321" s="21">
        <f>IF(H313="",0,INDEX(Input_Range,MATCH((C189&amp;B321),Input_Call,0),MATCH(H313,Input_Header,0)))</f>
        <v>0</v>
      </c>
      <c r="I321" s="21">
        <f>IF(I313="",0,INDEX(Input_Range,MATCH((C189&amp;B321),Input_Call,0),MATCH(I313,Input_Header,0)))</f>
        <v>0</v>
      </c>
      <c r="J321" s="21">
        <f>IF(J313="",0,INDEX(Input_Range,MATCH((C189&amp;B321),Input_Call,0),MATCH(J313,Input_Header,0)))</f>
        <v>0</v>
      </c>
      <c r="K321" s="21">
        <f>IF(K313="",0,INDEX(Input_Range,MATCH((C189&amp;B321),Input_Call,0),MATCH(K313,Input_Header,0)))</f>
        <v>0</v>
      </c>
      <c r="L321" s="21">
        <f>IF(L313="",0,INDEX(Input_Range,MATCH((C189&amp;B321),Input_Call,0),MATCH(L313,Input_Header,0)))</f>
        <v>0</v>
      </c>
      <c r="M321" s="21">
        <f>IF(M313="",0,INDEX(Input_Range,MATCH((C189&amp;B321),Input_Call,0),MATCH(M313,Input_Header,0)))</f>
        <v>0</v>
      </c>
      <c r="N321" s="21">
        <f>IF(N313="",0,INDEX(Input_Range,MATCH((C189&amp;B321),Input_Call,0),MATCH(N313,Input_Header,0)))</f>
        <v>0</v>
      </c>
      <c r="O321" s="21">
        <f>IF(O313="",0,INDEX(Input_Range,MATCH((C189&amp;B321),Input_Call,0),MATCH(O313,Input_Header,0)))</f>
        <v>0</v>
      </c>
      <c r="P321" s="21">
        <f>IF(P313="",0,INDEX(Input_Range,MATCH((C189&amp;B321),Input_Call,0),MATCH(P313,Input_Header,0)))</f>
        <v>0</v>
      </c>
      <c r="Q321" s="21">
        <f>IF(Q313="",0,INDEX(Input_Range,MATCH((C189&amp;B321),Input_Call,0),MATCH(Q313,Input_Header,0)))</f>
        <v>0</v>
      </c>
      <c r="R321" s="698">
        <f t="shared" si="405"/>
        <v>0</v>
      </c>
      <c r="T321" s="699">
        <f t="shared" si="406"/>
        <v>0</v>
      </c>
      <c r="U321" s="699">
        <f t="shared" si="407"/>
        <v>0</v>
      </c>
      <c r="V321" s="699">
        <f t="shared" si="408"/>
        <v>0</v>
      </c>
      <c r="W321" s="699">
        <f t="shared" si="409"/>
        <v>0</v>
      </c>
      <c r="X321" s="699">
        <f t="shared" si="410"/>
        <v>0</v>
      </c>
      <c r="Y321" s="699">
        <f t="shared" si="411"/>
        <v>0</v>
      </c>
      <c r="Z321" s="699">
        <f t="shared" si="412"/>
        <v>0</v>
      </c>
      <c r="AA321" s="699">
        <f t="shared" si="413"/>
        <v>0</v>
      </c>
      <c r="AB321" s="699">
        <f t="shared" si="414"/>
        <v>0</v>
      </c>
      <c r="AC321" s="699">
        <f t="shared" si="415"/>
        <v>0</v>
      </c>
      <c r="AD321" s="699">
        <f t="shared" si="416"/>
        <v>0</v>
      </c>
      <c r="AE321" s="699">
        <f t="shared" si="417"/>
        <v>0</v>
      </c>
      <c r="AF321" s="699">
        <f t="shared" si="418"/>
        <v>0</v>
      </c>
      <c r="AG321" s="699">
        <f t="shared" si="419"/>
        <v>0</v>
      </c>
      <c r="AI321" s="698" t="e">
        <f t="shared" si="402"/>
        <v>#DIV/0!</v>
      </c>
      <c r="AJ321" s="21"/>
      <c r="AK321" s="21"/>
      <c r="AL321" s="4" t="str">
        <f>$A321&amp;$C189&amp;InputSheet!C$48&amp;InputSheet!D$48</f>
        <v>Option Year 10ESDTBD3Contr/Govt</v>
      </c>
      <c r="AM321" s="700" t="e">
        <f t="shared" si="403"/>
        <v>#DIV/0!</v>
      </c>
      <c r="AP321" s="387" t="e">
        <f t="shared" si="331"/>
        <v>#DIV/0!</v>
      </c>
    </row>
    <row r="322" spans="1:42">
      <c r="E322" s="698"/>
      <c r="F322" s="698"/>
      <c r="G322" s="698"/>
      <c r="H322" s="698"/>
      <c r="I322" s="698"/>
      <c r="J322" s="698"/>
      <c r="K322" s="698"/>
      <c r="L322" s="698"/>
      <c r="M322" s="698"/>
      <c r="N322" s="698"/>
      <c r="O322" s="698"/>
      <c r="P322" s="698"/>
      <c r="Q322" s="698"/>
      <c r="R322" s="698"/>
      <c r="AI322" s="21"/>
      <c r="AJ322" s="21"/>
      <c r="AK322" s="21"/>
      <c r="AP322" s="387" t="str">
        <f t="shared" si="331"/>
        <v>1</v>
      </c>
    </row>
    <row r="323" spans="1:42">
      <c r="A323" s="530" t="str">
        <f>B323</f>
        <v>Option Year 11</v>
      </c>
      <c r="B323" s="691" t="str">
        <f>InputSheet!$C$33</f>
        <v>Option Year 11</v>
      </c>
      <c r="AP323" s="387" t="str">
        <f t="shared" si="331"/>
        <v>1</v>
      </c>
    </row>
    <row r="324" spans="1:42">
      <c r="B324" s="314" t="s">
        <v>587</v>
      </c>
      <c r="C324" s="692" t="s">
        <v>588</v>
      </c>
      <c r="E324" s="1216" t="str">
        <f>"Indirect Rates - "&amp;C$189</f>
        <v>Indirect Rates - ESD</v>
      </c>
      <c r="F324" s="1216"/>
      <c r="G324" s="1216"/>
      <c r="H324" s="1216"/>
      <c r="I324" s="1216"/>
      <c r="J324" s="1216"/>
      <c r="K324" s="1216"/>
      <c r="L324" s="1216"/>
      <c r="M324" s="1216"/>
      <c r="N324" s="1216"/>
      <c r="O324" s="1216"/>
      <c r="P324" s="1216"/>
      <c r="Q324" s="1216"/>
      <c r="R324" s="1216"/>
      <c r="S324" s="844"/>
      <c r="T324" s="1217" t="s">
        <v>794</v>
      </c>
      <c r="U324" s="1217"/>
      <c r="V324" s="1217"/>
      <c r="W324" s="1217"/>
      <c r="X324" s="1217"/>
      <c r="Y324" s="1217"/>
      <c r="Z324" s="1217"/>
      <c r="AA324" s="1217"/>
      <c r="AB324" s="1217"/>
      <c r="AC324" s="1217"/>
      <c r="AD324" s="1217"/>
      <c r="AE324" s="1217"/>
      <c r="AF324" s="1217"/>
      <c r="AG324" s="1217"/>
      <c r="AI324" s="692" t="s">
        <v>615</v>
      </c>
      <c r="AJ324" s="50"/>
      <c r="AK324" s="50"/>
      <c r="AP324" s="387" t="str">
        <f t="shared" si="331"/>
        <v>1</v>
      </c>
    </row>
    <row r="325" spans="1:42">
      <c r="B325" s="693">
        <f>VLOOKUP(A323,InputSheet!$C$8:$E$37,2,FALSE)</f>
        <v>2192</v>
      </c>
      <c r="C325" s="694">
        <f>VLOOKUP(A323,InputSheet!$C$8:$E$37,3,FALSE)</f>
        <v>2557</v>
      </c>
      <c r="E325" s="695">
        <f t="shared" ref="E325:R325" si="420">E313</f>
        <v>2009</v>
      </c>
      <c r="F325" s="695">
        <f t="shared" si="420"/>
        <v>2010</v>
      </c>
      <c r="G325" s="695">
        <f t="shared" si="420"/>
        <v>2011</v>
      </c>
      <c r="H325" s="695">
        <f t="shared" si="420"/>
        <v>2012</v>
      </c>
      <c r="I325" s="695">
        <f t="shared" si="420"/>
        <v>2013</v>
      </c>
      <c r="J325" s="695">
        <f t="shared" si="420"/>
        <v>2014</v>
      </c>
      <c r="K325" s="695">
        <f t="shared" si="420"/>
        <v>2015</v>
      </c>
      <c r="L325" s="695">
        <f t="shared" si="420"/>
        <v>2016</v>
      </c>
      <c r="M325" s="695">
        <f t="shared" si="420"/>
        <v>2017</v>
      </c>
      <c r="N325" s="695">
        <f t="shared" si="420"/>
        <v>2018</v>
      </c>
      <c r="O325" s="695">
        <f t="shared" si="420"/>
        <v>2019</v>
      </c>
      <c r="P325" s="695">
        <f t="shared" si="420"/>
        <v>2020</v>
      </c>
      <c r="Q325" s="695">
        <f t="shared" si="420"/>
        <v>2021</v>
      </c>
      <c r="R325" s="695">
        <f t="shared" si="420"/>
        <v>2022</v>
      </c>
      <c r="S325" s="680"/>
      <c r="T325" s="695">
        <f t="shared" ref="T325:AG325" si="421">T313</f>
        <v>2009</v>
      </c>
      <c r="U325" s="695">
        <f t="shared" si="421"/>
        <v>2010</v>
      </c>
      <c r="V325" s="695">
        <f t="shared" si="421"/>
        <v>2011</v>
      </c>
      <c r="W325" s="695">
        <f t="shared" si="421"/>
        <v>2012</v>
      </c>
      <c r="X325" s="695">
        <f t="shared" si="421"/>
        <v>2013</v>
      </c>
      <c r="Y325" s="695">
        <f t="shared" si="421"/>
        <v>2014</v>
      </c>
      <c r="Z325" s="695">
        <f t="shared" si="421"/>
        <v>2015</v>
      </c>
      <c r="AA325" s="695">
        <f t="shared" si="421"/>
        <v>2016</v>
      </c>
      <c r="AB325" s="695">
        <f t="shared" si="421"/>
        <v>2017</v>
      </c>
      <c r="AC325" s="695">
        <f t="shared" si="421"/>
        <v>2018</v>
      </c>
      <c r="AD325" s="695">
        <f t="shared" si="421"/>
        <v>2019</v>
      </c>
      <c r="AE325" s="695">
        <f t="shared" si="421"/>
        <v>2020</v>
      </c>
      <c r="AF325" s="695">
        <f t="shared" si="421"/>
        <v>2021</v>
      </c>
      <c r="AG325" s="695">
        <f t="shared" si="421"/>
        <v>2022</v>
      </c>
      <c r="AI325" s="696" t="str">
        <f>B323</f>
        <v>Option Year 11</v>
      </c>
      <c r="AJ325" s="28"/>
      <c r="AK325" s="28"/>
      <c r="AP325" s="387" t="str">
        <f t="shared" si="331"/>
        <v>1</v>
      </c>
    </row>
    <row r="326" spans="1:42">
      <c r="A326" s="6" t="str">
        <f>A323</f>
        <v>Option Year 11</v>
      </c>
      <c r="B326" s="6" t="str">
        <f t="shared" ref="B326:B333" si="422">B314</f>
        <v>PRB</v>
      </c>
      <c r="E326" s="698">
        <f>IF(E325="",0,INDEX(Input_Range,MATCH((C189&amp;B326),Input_Call,0),MATCH(E325,Input_Header,0)))</f>
        <v>0</v>
      </c>
      <c r="F326" s="698">
        <f>IF(F325="",0,INDEX(Input_Range,MATCH((C189&amp;B326),Input_Call,0),MATCH(F325,Input_Header,0)))</f>
        <v>0</v>
      </c>
      <c r="G326" s="698">
        <f>IF(G325="",0,INDEX(Input_Range,MATCH((C189&amp;B326),Input_Call,0),MATCH(G325,Input_Header,0)))</f>
        <v>0</v>
      </c>
      <c r="H326" s="698">
        <f>IF(H325="",0,INDEX(Input_Range,MATCH((C189&amp;B326),Input_Call,0),MATCH(H325,Input_Header,0)))</f>
        <v>0</v>
      </c>
      <c r="I326" s="698">
        <f>IF(I325="",0,INDEX(Input_Range,MATCH((C189&amp;B326),Input_Call,0),MATCH(I325,Input_Header,0)))</f>
        <v>0</v>
      </c>
      <c r="J326" s="698">
        <f>IF(J325="",0,INDEX(Input_Range,MATCH((C189&amp;B326),Input_Call,0),MATCH(J325,Input_Header,0)))</f>
        <v>0</v>
      </c>
      <c r="K326" s="698">
        <f>IF(K325="",0,INDEX(Input_Range,MATCH((C189&amp;B326),Input_Call,0),MATCH(K325,Input_Header,0)))</f>
        <v>0</v>
      </c>
      <c r="L326" s="698">
        <f>IF(L325="",0,INDEX(Input_Range,MATCH((C189&amp;B326),Input_Call,0),MATCH(L325,Input_Header,0)))</f>
        <v>0</v>
      </c>
      <c r="M326" s="698">
        <f>IF(M325="",0,INDEX(Input_Range,MATCH((C189&amp;B326),Input_Call,0),MATCH(M325,Input_Header,0)))</f>
        <v>0</v>
      </c>
      <c r="N326" s="698">
        <f>IF(N325="",0,INDEX(Input_Range,MATCH((C189&amp;B326),Input_Call,0),MATCH(N325,Input_Header,0)))</f>
        <v>0</v>
      </c>
      <c r="O326" s="698">
        <f>IF(O325="",0,INDEX(Input_Range,MATCH((C189&amp;B326),Input_Call,0),MATCH(O325,Input_Header,0)))</f>
        <v>0</v>
      </c>
      <c r="P326" s="698">
        <f>IF(P325="",0,INDEX(Input_Range,MATCH((C189&amp;B326),Input_Call,0),MATCH(P325,Input_Header,0)))</f>
        <v>0</v>
      </c>
      <c r="Q326" s="698">
        <f>IF(Q325="",0,INDEX(Input_Range,MATCH((C189&amp;B326),Input_Call,0),MATCH(Q325,Input_Header,0)))</f>
        <v>0</v>
      </c>
      <c r="R326" s="698">
        <f>Q326</f>
        <v>0</v>
      </c>
      <c r="T326" s="699">
        <f t="shared" ref="T326:AG326" si="423">ROUND((MAX(0,(MIN($C325,DATE(T325,12,31))-MAX($B325,DATE(T325,1,1))+1)))/30.41667,0)</f>
        <v>0</v>
      </c>
      <c r="U326" s="699">
        <f t="shared" si="423"/>
        <v>0</v>
      </c>
      <c r="V326" s="699">
        <f t="shared" si="423"/>
        <v>0</v>
      </c>
      <c r="W326" s="699">
        <f t="shared" si="423"/>
        <v>0</v>
      </c>
      <c r="X326" s="699">
        <f t="shared" si="423"/>
        <v>0</v>
      </c>
      <c r="Y326" s="699">
        <f t="shared" si="423"/>
        <v>0</v>
      </c>
      <c r="Z326" s="699">
        <f t="shared" si="423"/>
        <v>0</v>
      </c>
      <c r="AA326" s="699">
        <f t="shared" si="423"/>
        <v>0</v>
      </c>
      <c r="AB326" s="699">
        <f t="shared" si="423"/>
        <v>0</v>
      </c>
      <c r="AC326" s="699">
        <f t="shared" si="423"/>
        <v>0</v>
      </c>
      <c r="AD326" s="699">
        <f t="shared" si="423"/>
        <v>0</v>
      </c>
      <c r="AE326" s="699">
        <f t="shared" si="423"/>
        <v>0</v>
      </c>
      <c r="AF326" s="699">
        <f t="shared" si="423"/>
        <v>0</v>
      </c>
      <c r="AG326" s="699">
        <f t="shared" si="423"/>
        <v>0</v>
      </c>
      <c r="AI326" s="698" t="e">
        <f t="shared" ref="AI326:AI333" si="424">ROUND(SUMPRODUCT(E326:R326,T326:AG326)/SUM(T326:AG326),4)</f>
        <v>#DIV/0!</v>
      </c>
      <c r="AJ326" s="698"/>
      <c r="AK326" s="698"/>
      <c r="AL326" s="4" t="str">
        <f>$A326&amp;$C189&amp;InputSheet!C$41&amp;InputSheet!D$41</f>
        <v>Option Year 11ESDPRBContr/Govt</v>
      </c>
      <c r="AM326" s="700" t="e">
        <f t="shared" ref="AM326:AM333" si="425">AI326</f>
        <v>#DIV/0!</v>
      </c>
      <c r="AP326" s="387" t="e">
        <f t="shared" si="331"/>
        <v>#DIV/0!</v>
      </c>
    </row>
    <row r="327" spans="1:42">
      <c r="A327" s="6" t="str">
        <f t="shared" ref="A327:A333" si="426">A326</f>
        <v>Option Year 11</v>
      </c>
      <c r="B327" s="6" t="str">
        <f t="shared" si="422"/>
        <v>Overhead - Offsite</v>
      </c>
      <c r="E327" s="698">
        <f>IF(E325="",0,INDEX(Input_Range,MATCH((C189&amp;B327),Input_Call,0),MATCH(E325,Input_Header,0)))</f>
        <v>0</v>
      </c>
      <c r="F327" s="698">
        <f>IF(F325="",0,INDEX(Input_Range,MATCH((C189&amp;B327),Input_Call,0),MATCH(F325,Input_Header,0)))</f>
        <v>0</v>
      </c>
      <c r="G327" s="698">
        <f>IF(G325="",0,INDEX(Input_Range,MATCH((C189&amp;B327),Input_Call,0),MATCH(G325,Input_Header,0)))</f>
        <v>0</v>
      </c>
      <c r="H327" s="698">
        <f>IF(H325="",0,INDEX(Input_Range,MATCH((C189&amp;B327),Input_Call,0),MATCH(H325,Input_Header,0)))</f>
        <v>0</v>
      </c>
      <c r="I327" s="698">
        <f>IF(I325="",0,INDEX(Input_Range,MATCH((C189&amp;B327),Input_Call,0),MATCH(I325,Input_Header,0)))</f>
        <v>0</v>
      </c>
      <c r="J327" s="698">
        <f>IF(J325="",0,INDEX(Input_Range,MATCH((C189&amp;B327),Input_Call,0),MATCH(J325,Input_Header,0)))</f>
        <v>0</v>
      </c>
      <c r="K327" s="698">
        <f>IF(K325="",0,INDEX(Input_Range,MATCH((C189&amp;B327),Input_Call,0),MATCH(K325,Input_Header,0)))</f>
        <v>0</v>
      </c>
      <c r="L327" s="698">
        <f>IF(L325="",0,INDEX(Input_Range,MATCH((C189&amp;B327),Input_Call,0),MATCH(L325,Input_Header,0)))</f>
        <v>0</v>
      </c>
      <c r="M327" s="698">
        <f>IF(M325="",0,INDEX(Input_Range,MATCH((C189&amp;B327),Input_Call,0),MATCH(M325,Input_Header,0)))</f>
        <v>0</v>
      </c>
      <c r="N327" s="698">
        <f>IF(N325="",0,INDEX(Input_Range,MATCH((C189&amp;B327),Input_Call,0),MATCH(N325,Input_Header,0)))</f>
        <v>0</v>
      </c>
      <c r="O327" s="698">
        <f>IF(O325="",0,INDEX(Input_Range,MATCH((C189&amp;B327),Input_Call,0),MATCH(O325,Input_Header,0)))</f>
        <v>0</v>
      </c>
      <c r="P327" s="698">
        <f>IF(P325="",0,INDEX(Input_Range,MATCH((C189&amp;B327),Input_Call,0),MATCH(P325,Input_Header,0)))</f>
        <v>0</v>
      </c>
      <c r="Q327" s="698">
        <f>IF(Q325="",0,INDEX(Input_Range,MATCH((C189&amp;B327),Input_Call,0),MATCH(Q325,Input_Header,0)))</f>
        <v>0</v>
      </c>
      <c r="R327" s="698">
        <f t="shared" ref="R327:R333" si="427">Q327</f>
        <v>0</v>
      </c>
      <c r="T327" s="699">
        <f t="shared" ref="T327:T333" si="428">T326</f>
        <v>0</v>
      </c>
      <c r="U327" s="699">
        <f t="shared" ref="U327:U333" si="429">U326</f>
        <v>0</v>
      </c>
      <c r="V327" s="699">
        <f t="shared" ref="V327:V333" si="430">V326</f>
        <v>0</v>
      </c>
      <c r="W327" s="699">
        <f t="shared" ref="W327:W333" si="431">W326</f>
        <v>0</v>
      </c>
      <c r="X327" s="699">
        <f t="shared" ref="X327:X333" si="432">X326</f>
        <v>0</v>
      </c>
      <c r="Y327" s="699">
        <f t="shared" ref="Y327:Y333" si="433">Y326</f>
        <v>0</v>
      </c>
      <c r="Z327" s="699">
        <f t="shared" ref="Z327:Z333" si="434">Z326</f>
        <v>0</v>
      </c>
      <c r="AA327" s="699">
        <f t="shared" ref="AA327:AA333" si="435">AA326</f>
        <v>0</v>
      </c>
      <c r="AB327" s="699">
        <f t="shared" ref="AB327:AB333" si="436">AB326</f>
        <v>0</v>
      </c>
      <c r="AC327" s="699">
        <f t="shared" ref="AC327:AC333" si="437">AC326</f>
        <v>0</v>
      </c>
      <c r="AD327" s="699">
        <f t="shared" ref="AD327:AD333" si="438">AD326</f>
        <v>0</v>
      </c>
      <c r="AE327" s="699">
        <f t="shared" ref="AE327:AE333" si="439">AE326</f>
        <v>0</v>
      </c>
      <c r="AF327" s="699">
        <f t="shared" ref="AF327:AF333" si="440">AF326</f>
        <v>0</v>
      </c>
      <c r="AG327" s="699">
        <f t="shared" ref="AG327:AG333" si="441">AG326</f>
        <v>0</v>
      </c>
      <c r="AI327" s="698" t="e">
        <f t="shared" si="424"/>
        <v>#DIV/0!</v>
      </c>
      <c r="AJ327" s="698"/>
      <c r="AK327" s="698"/>
      <c r="AL327" s="4" t="str">
        <f>$A327&amp;$C189&amp;InputSheet!C$42&amp;InputSheet!D$42</f>
        <v>Option Year 11ESDOverheadContr</v>
      </c>
      <c r="AM327" s="700" t="e">
        <f t="shared" si="425"/>
        <v>#DIV/0!</v>
      </c>
      <c r="AP327" s="387" t="e">
        <f t="shared" si="331"/>
        <v>#DIV/0!</v>
      </c>
    </row>
    <row r="328" spans="1:42">
      <c r="A328" s="6" t="str">
        <f t="shared" si="426"/>
        <v>Option Year 11</v>
      </c>
      <c r="B328" s="6" t="str">
        <f t="shared" si="422"/>
        <v>Overhead - Onsite</v>
      </c>
      <c r="E328" s="698">
        <f>IF(E325="",0,INDEX(Input_Range,MATCH((C189&amp;B328),Input_Call,0),MATCH(E325,Input_Header,0)))</f>
        <v>0</v>
      </c>
      <c r="F328" s="698">
        <f>IF(F325="",0,INDEX(Input_Range,MATCH((C189&amp;B328),Input_Call,0),MATCH(F325,Input_Header,0)))</f>
        <v>0</v>
      </c>
      <c r="G328" s="698">
        <f>IF(G325="",0,INDEX(Input_Range,MATCH((C189&amp;B328),Input_Call,0),MATCH(G325,Input_Header,0)))</f>
        <v>0</v>
      </c>
      <c r="H328" s="698">
        <f>IF(H325="",0,INDEX(Input_Range,MATCH((C189&amp;B328),Input_Call,0),MATCH(H325,Input_Header,0)))</f>
        <v>0</v>
      </c>
      <c r="I328" s="698">
        <f>IF(I325="",0,INDEX(Input_Range,MATCH((C189&amp;B328),Input_Call,0),MATCH(I325,Input_Header,0)))</f>
        <v>0</v>
      </c>
      <c r="J328" s="698">
        <f>IF(J325="",0,INDEX(Input_Range,MATCH((C189&amp;B328),Input_Call,0),MATCH(J325,Input_Header,0)))</f>
        <v>0</v>
      </c>
      <c r="K328" s="698">
        <f>IF(K325="",0,INDEX(Input_Range,MATCH((C189&amp;B328),Input_Call,0),MATCH(K325,Input_Header,0)))</f>
        <v>0</v>
      </c>
      <c r="L328" s="698">
        <f>IF(L325="",0,INDEX(Input_Range,MATCH((C189&amp;B328),Input_Call,0),MATCH(L325,Input_Header,0)))</f>
        <v>0</v>
      </c>
      <c r="M328" s="698">
        <f>IF(M325="",0,INDEX(Input_Range,MATCH((C189&amp;B328),Input_Call,0),MATCH(M325,Input_Header,0)))</f>
        <v>0</v>
      </c>
      <c r="N328" s="698">
        <f>IF(N325="",0,INDEX(Input_Range,MATCH((C189&amp;B328),Input_Call,0),MATCH(N325,Input_Header,0)))</f>
        <v>0</v>
      </c>
      <c r="O328" s="698">
        <f>IF(O325="",0,INDEX(Input_Range,MATCH((C189&amp;B328),Input_Call,0),MATCH(O325,Input_Header,0)))</f>
        <v>0</v>
      </c>
      <c r="P328" s="698">
        <f>IF(P325="",0,INDEX(Input_Range,MATCH((C189&amp;B328),Input_Call,0),MATCH(P325,Input_Header,0)))</f>
        <v>0</v>
      </c>
      <c r="Q328" s="698">
        <f>IF(Q325="",0,INDEX(Input_Range,MATCH((C189&amp;B328),Input_Call,0),MATCH(Q325,Input_Header,0)))</f>
        <v>0</v>
      </c>
      <c r="R328" s="698">
        <f t="shared" si="427"/>
        <v>0</v>
      </c>
      <c r="T328" s="699">
        <f t="shared" si="428"/>
        <v>0</v>
      </c>
      <c r="U328" s="699">
        <f t="shared" si="429"/>
        <v>0</v>
      </c>
      <c r="V328" s="699">
        <f t="shared" si="430"/>
        <v>0</v>
      </c>
      <c r="W328" s="699">
        <f t="shared" si="431"/>
        <v>0</v>
      </c>
      <c r="X328" s="699">
        <f t="shared" si="432"/>
        <v>0</v>
      </c>
      <c r="Y328" s="699">
        <f t="shared" si="433"/>
        <v>0</v>
      </c>
      <c r="Z328" s="699">
        <f t="shared" si="434"/>
        <v>0</v>
      </c>
      <c r="AA328" s="699">
        <f t="shared" si="435"/>
        <v>0</v>
      </c>
      <c r="AB328" s="699">
        <f t="shared" si="436"/>
        <v>0</v>
      </c>
      <c r="AC328" s="699">
        <f t="shared" si="437"/>
        <v>0</v>
      </c>
      <c r="AD328" s="699">
        <f t="shared" si="438"/>
        <v>0</v>
      </c>
      <c r="AE328" s="699">
        <f t="shared" si="439"/>
        <v>0</v>
      </c>
      <c r="AF328" s="699">
        <f t="shared" si="440"/>
        <v>0</v>
      </c>
      <c r="AG328" s="699">
        <f t="shared" si="441"/>
        <v>0</v>
      </c>
      <c r="AI328" s="698" t="e">
        <f t="shared" si="424"/>
        <v>#DIV/0!</v>
      </c>
      <c r="AJ328" s="698"/>
      <c r="AK328" s="698"/>
      <c r="AL328" s="4" t="str">
        <f>$A328&amp;$C189&amp;InputSheet!C$43&amp;InputSheet!D$43</f>
        <v>Option Year 11ESDOverheadGovt</v>
      </c>
      <c r="AM328" s="700" t="e">
        <f t="shared" si="425"/>
        <v>#DIV/0!</v>
      </c>
      <c r="AP328" s="387" t="e">
        <f t="shared" si="331"/>
        <v>#DIV/0!</v>
      </c>
    </row>
    <row r="329" spans="1:42">
      <c r="A329" s="6" t="str">
        <f t="shared" si="426"/>
        <v>Option Year 11</v>
      </c>
      <c r="B329" s="6" t="str">
        <f t="shared" si="422"/>
        <v>Material Handling</v>
      </c>
      <c r="E329" s="698">
        <f>IF(E325="",0,INDEX(Input_Range,MATCH((C189&amp;B329),Input_Call,0),MATCH(E325,Input_Header,0)))</f>
        <v>0</v>
      </c>
      <c r="F329" s="698">
        <f>IF(F325="",0,INDEX(Input_Range,MATCH((C189&amp;B329),Input_Call,0),MATCH(F325,Input_Header,0)))</f>
        <v>0</v>
      </c>
      <c r="G329" s="698">
        <f>IF(G325="",0,INDEX(Input_Range,MATCH((C189&amp;B329),Input_Call,0),MATCH(G325,Input_Header,0)))</f>
        <v>0</v>
      </c>
      <c r="H329" s="698">
        <f>IF(H325="",0,INDEX(Input_Range,MATCH((C189&amp;B329),Input_Call,0),MATCH(H325,Input_Header,0)))</f>
        <v>0</v>
      </c>
      <c r="I329" s="698">
        <f>IF(I325="",0,INDEX(Input_Range,MATCH((C189&amp;B329),Input_Call,0),MATCH(I325,Input_Header,0)))</f>
        <v>0</v>
      </c>
      <c r="J329" s="698">
        <f>IF(J325="",0,INDEX(Input_Range,MATCH((C189&amp;B329),Input_Call,0),MATCH(J325,Input_Header,0)))</f>
        <v>0</v>
      </c>
      <c r="K329" s="698">
        <f>IF(K325="",0,INDEX(Input_Range,MATCH((C189&amp;B329),Input_Call,0),MATCH(K325,Input_Header,0)))</f>
        <v>0</v>
      </c>
      <c r="L329" s="698">
        <f>IF(L325="",0,INDEX(Input_Range,MATCH((C189&amp;B329),Input_Call,0),MATCH(L325,Input_Header,0)))</f>
        <v>0</v>
      </c>
      <c r="M329" s="698">
        <f>IF(M325="",0,INDEX(Input_Range,MATCH((C189&amp;B329),Input_Call,0),MATCH(M325,Input_Header,0)))</f>
        <v>0</v>
      </c>
      <c r="N329" s="698">
        <f>IF(N325="",0,INDEX(Input_Range,MATCH((C189&amp;B329),Input_Call,0),MATCH(N325,Input_Header,0)))</f>
        <v>0</v>
      </c>
      <c r="O329" s="698">
        <f>IF(O325="",0,INDEX(Input_Range,MATCH((C189&amp;B329),Input_Call,0),MATCH(O325,Input_Header,0)))</f>
        <v>0</v>
      </c>
      <c r="P329" s="698">
        <f>IF(P325="",0,INDEX(Input_Range,MATCH((C189&amp;B329),Input_Call,0),MATCH(P325,Input_Header,0)))</f>
        <v>0</v>
      </c>
      <c r="Q329" s="698">
        <f>IF(Q325="",0,INDEX(Input_Range,MATCH((C189&amp;B329),Input_Call,0),MATCH(Q325,Input_Header,0)))</f>
        <v>0</v>
      </c>
      <c r="R329" s="698">
        <f t="shared" si="427"/>
        <v>0</v>
      </c>
      <c r="T329" s="699">
        <f t="shared" si="428"/>
        <v>0</v>
      </c>
      <c r="U329" s="699">
        <f t="shared" si="429"/>
        <v>0</v>
      </c>
      <c r="V329" s="699">
        <f t="shared" si="430"/>
        <v>0</v>
      </c>
      <c r="W329" s="699">
        <f t="shared" si="431"/>
        <v>0</v>
      </c>
      <c r="X329" s="699">
        <f t="shared" si="432"/>
        <v>0</v>
      </c>
      <c r="Y329" s="699">
        <f t="shared" si="433"/>
        <v>0</v>
      </c>
      <c r="Z329" s="699">
        <f t="shared" si="434"/>
        <v>0</v>
      </c>
      <c r="AA329" s="699">
        <f t="shared" si="435"/>
        <v>0</v>
      </c>
      <c r="AB329" s="699">
        <f t="shared" si="436"/>
        <v>0</v>
      </c>
      <c r="AC329" s="699">
        <f t="shared" si="437"/>
        <v>0</v>
      </c>
      <c r="AD329" s="699">
        <f t="shared" si="438"/>
        <v>0</v>
      </c>
      <c r="AE329" s="699">
        <f t="shared" si="439"/>
        <v>0</v>
      </c>
      <c r="AF329" s="699">
        <f t="shared" si="440"/>
        <v>0</v>
      </c>
      <c r="AG329" s="699">
        <f t="shared" si="441"/>
        <v>0</v>
      </c>
      <c r="AI329" s="698" t="e">
        <f t="shared" si="424"/>
        <v>#DIV/0!</v>
      </c>
      <c r="AJ329" s="698"/>
      <c r="AK329" s="698"/>
      <c r="AL329" s="4" t="str">
        <f>$A329&amp;$C189&amp;InputSheet!C$44&amp;InputSheet!D$44</f>
        <v>Option Year 11ESDMHContr/Govt</v>
      </c>
      <c r="AM329" s="700" t="e">
        <f t="shared" si="425"/>
        <v>#DIV/0!</v>
      </c>
      <c r="AP329" s="387" t="e">
        <f t="shared" si="331"/>
        <v>#DIV/0!</v>
      </c>
    </row>
    <row r="330" spans="1:42">
      <c r="A330" s="6" t="str">
        <f t="shared" si="426"/>
        <v>Option Year 11</v>
      </c>
      <c r="B330" s="6" t="str">
        <f t="shared" si="422"/>
        <v>G&amp;A</v>
      </c>
      <c r="E330" s="698">
        <f>IF(E325="",0,INDEX(Input_Range,MATCH((C189&amp;B330),Input_Call,0),MATCH(E325,Input_Header,0)))</f>
        <v>0</v>
      </c>
      <c r="F330" s="698">
        <f>IF(F325="",0,INDEX(Input_Range,MATCH((C189&amp;B330),Input_Call,0),MATCH(F325,Input_Header,0)))</f>
        <v>0</v>
      </c>
      <c r="G330" s="698">
        <f>IF(G325="",0,INDEX(Input_Range,MATCH((C189&amp;B330),Input_Call,0),MATCH(G325,Input_Header,0)))</f>
        <v>0</v>
      </c>
      <c r="H330" s="698">
        <f>IF(H325="",0,INDEX(Input_Range,MATCH((C189&amp;B330),Input_Call,0),MATCH(H325,Input_Header,0)))</f>
        <v>0</v>
      </c>
      <c r="I330" s="698">
        <f>IF(I325="",0,INDEX(Input_Range,MATCH((C189&amp;B330),Input_Call,0),MATCH(I325,Input_Header,0)))</f>
        <v>0</v>
      </c>
      <c r="J330" s="698">
        <f>IF(J325="",0,INDEX(Input_Range,MATCH((C189&amp;B330),Input_Call,0),MATCH(J325,Input_Header,0)))</f>
        <v>0</v>
      </c>
      <c r="K330" s="698">
        <f>IF(K325="",0,INDEX(Input_Range,MATCH((C189&amp;B330),Input_Call,0),MATCH(K325,Input_Header,0)))</f>
        <v>0</v>
      </c>
      <c r="L330" s="698">
        <f>IF(L325="",0,INDEX(Input_Range,MATCH((C189&amp;B330),Input_Call,0),MATCH(L325,Input_Header,0)))</f>
        <v>0</v>
      </c>
      <c r="M330" s="698">
        <f>IF(M325="",0,INDEX(Input_Range,MATCH((C189&amp;B330),Input_Call,0),MATCH(M325,Input_Header,0)))</f>
        <v>0</v>
      </c>
      <c r="N330" s="698">
        <f>IF(N325="",0,INDEX(Input_Range,MATCH((C189&amp;B330),Input_Call,0),MATCH(N325,Input_Header,0)))</f>
        <v>0</v>
      </c>
      <c r="O330" s="698">
        <f>IF(O325="",0,INDEX(Input_Range,MATCH((C189&amp;B330),Input_Call,0),MATCH(O325,Input_Header,0)))</f>
        <v>0</v>
      </c>
      <c r="P330" s="698">
        <f>IF(P325="",0,INDEX(Input_Range,MATCH((C189&amp;B330),Input_Call,0),MATCH(P325,Input_Header,0)))</f>
        <v>0</v>
      </c>
      <c r="Q330" s="698">
        <f>IF(Q325="",0,INDEX(Input_Range,MATCH((C189&amp;B330),Input_Call,0),MATCH(Q325,Input_Header,0)))</f>
        <v>0</v>
      </c>
      <c r="R330" s="698">
        <f t="shared" si="427"/>
        <v>0</v>
      </c>
      <c r="T330" s="699">
        <f t="shared" si="428"/>
        <v>0</v>
      </c>
      <c r="U330" s="699">
        <f t="shared" si="429"/>
        <v>0</v>
      </c>
      <c r="V330" s="699">
        <f t="shared" si="430"/>
        <v>0</v>
      </c>
      <c r="W330" s="699">
        <f t="shared" si="431"/>
        <v>0</v>
      </c>
      <c r="X330" s="699">
        <f t="shared" si="432"/>
        <v>0</v>
      </c>
      <c r="Y330" s="699">
        <f t="shared" si="433"/>
        <v>0</v>
      </c>
      <c r="Z330" s="699">
        <f t="shared" si="434"/>
        <v>0</v>
      </c>
      <c r="AA330" s="699">
        <f t="shared" si="435"/>
        <v>0</v>
      </c>
      <c r="AB330" s="699">
        <f t="shared" si="436"/>
        <v>0</v>
      </c>
      <c r="AC330" s="699">
        <f t="shared" si="437"/>
        <v>0</v>
      </c>
      <c r="AD330" s="699">
        <f t="shared" si="438"/>
        <v>0</v>
      </c>
      <c r="AE330" s="699">
        <f t="shared" si="439"/>
        <v>0</v>
      </c>
      <c r="AF330" s="699">
        <f t="shared" si="440"/>
        <v>0</v>
      </c>
      <c r="AG330" s="699">
        <f t="shared" si="441"/>
        <v>0</v>
      </c>
      <c r="AI330" s="698" t="e">
        <f t="shared" si="424"/>
        <v>#DIV/0!</v>
      </c>
      <c r="AJ330" s="698"/>
      <c r="AK330" s="698"/>
      <c r="AL330" s="4" t="str">
        <f>$A330&amp;$C189&amp;InputSheet!C$45&amp;InputSheet!D$45</f>
        <v>Option Year 11ESDG&amp;AContr/Govt</v>
      </c>
      <c r="AM330" s="700" t="e">
        <f t="shared" si="425"/>
        <v>#DIV/0!</v>
      </c>
      <c r="AP330" s="387" t="e">
        <f t="shared" si="331"/>
        <v>#DIV/0!</v>
      </c>
    </row>
    <row r="331" spans="1:42" outlineLevel="1">
      <c r="A331" s="6" t="str">
        <f t="shared" si="426"/>
        <v>Option Year 11</v>
      </c>
      <c r="B331" s="6" t="str">
        <f t="shared" si="422"/>
        <v>TBD1</v>
      </c>
      <c r="E331" s="21">
        <f>IF(E325="",0,INDEX(Input_Range,MATCH((C189&amp;B331),Input_Call,0),MATCH(E325,Input_Header,0)))</f>
        <v>0</v>
      </c>
      <c r="F331" s="21">
        <f>IF(F325="",0,INDEX(Input_Range,MATCH((C189&amp;B331),Input_Call,0),MATCH(F325,Input_Header,0)))</f>
        <v>0</v>
      </c>
      <c r="G331" s="21">
        <f>IF(G325="",0,INDEX(Input_Range,MATCH((C189&amp;B331),Input_Call,0),MATCH(G325,Input_Header,0)))</f>
        <v>0</v>
      </c>
      <c r="H331" s="21">
        <f>IF(H325="",0,INDEX(Input_Range,MATCH((C189&amp;B331),Input_Call,0),MATCH(H325,Input_Header,0)))</f>
        <v>0</v>
      </c>
      <c r="I331" s="21">
        <f>IF(I325="",0,INDEX(Input_Range,MATCH((C189&amp;B331),Input_Call,0),MATCH(I325,Input_Header,0)))</f>
        <v>0</v>
      </c>
      <c r="J331" s="21">
        <f>IF(J325="",0,INDEX(Input_Range,MATCH((C189&amp;B331),Input_Call,0),MATCH(J325,Input_Header,0)))</f>
        <v>0</v>
      </c>
      <c r="K331" s="21">
        <f>IF(K325="",0,INDEX(Input_Range,MATCH((C189&amp;B331),Input_Call,0),MATCH(K325,Input_Header,0)))</f>
        <v>0</v>
      </c>
      <c r="L331" s="21">
        <f>IF(L325="",0,INDEX(Input_Range,MATCH((C189&amp;B331),Input_Call,0),MATCH(L325,Input_Header,0)))</f>
        <v>0</v>
      </c>
      <c r="M331" s="21">
        <f>IF(M325="",0,INDEX(Input_Range,MATCH((C189&amp;B331),Input_Call,0),MATCH(M325,Input_Header,0)))</f>
        <v>0</v>
      </c>
      <c r="N331" s="21">
        <f>IF(N325="",0,INDEX(Input_Range,MATCH((C189&amp;B331),Input_Call,0),MATCH(N325,Input_Header,0)))</f>
        <v>0</v>
      </c>
      <c r="O331" s="21">
        <f>IF(O325="",0,INDEX(Input_Range,MATCH((C189&amp;B331),Input_Call,0),MATCH(O325,Input_Header,0)))</f>
        <v>0</v>
      </c>
      <c r="P331" s="21">
        <f>IF(P325="",0,INDEX(Input_Range,MATCH((C189&amp;B331),Input_Call,0),MATCH(P325,Input_Header,0)))</f>
        <v>0</v>
      </c>
      <c r="Q331" s="21">
        <f>IF(Q325="",0,INDEX(Input_Range,MATCH((C189&amp;B331),Input_Call,0),MATCH(Q325,Input_Header,0)))</f>
        <v>0</v>
      </c>
      <c r="R331" s="698">
        <f t="shared" si="427"/>
        <v>0</v>
      </c>
      <c r="T331" s="699">
        <f t="shared" si="428"/>
        <v>0</v>
      </c>
      <c r="U331" s="699">
        <f t="shared" si="429"/>
        <v>0</v>
      </c>
      <c r="V331" s="699">
        <f t="shared" si="430"/>
        <v>0</v>
      </c>
      <c r="W331" s="699">
        <f t="shared" si="431"/>
        <v>0</v>
      </c>
      <c r="X331" s="699">
        <f t="shared" si="432"/>
        <v>0</v>
      </c>
      <c r="Y331" s="699">
        <f t="shared" si="433"/>
        <v>0</v>
      </c>
      <c r="Z331" s="699">
        <f t="shared" si="434"/>
        <v>0</v>
      </c>
      <c r="AA331" s="699">
        <f t="shared" si="435"/>
        <v>0</v>
      </c>
      <c r="AB331" s="699">
        <f t="shared" si="436"/>
        <v>0</v>
      </c>
      <c r="AC331" s="699">
        <f t="shared" si="437"/>
        <v>0</v>
      </c>
      <c r="AD331" s="699">
        <f t="shared" si="438"/>
        <v>0</v>
      </c>
      <c r="AE331" s="699">
        <f t="shared" si="439"/>
        <v>0</v>
      </c>
      <c r="AF331" s="699">
        <f t="shared" si="440"/>
        <v>0</v>
      </c>
      <c r="AG331" s="699">
        <f t="shared" si="441"/>
        <v>0</v>
      </c>
      <c r="AI331" s="698" t="e">
        <f t="shared" si="424"/>
        <v>#DIV/0!</v>
      </c>
      <c r="AJ331" s="21"/>
      <c r="AK331" s="21"/>
      <c r="AL331" s="4" t="str">
        <f>$A331&amp;$C189&amp;InputSheet!C$46&amp;InputSheet!D$46</f>
        <v>Option Year 11ESDTBD1Contr/Govt</v>
      </c>
      <c r="AM331" s="700" t="e">
        <f t="shared" si="425"/>
        <v>#DIV/0!</v>
      </c>
      <c r="AP331" s="387" t="e">
        <f t="shared" si="331"/>
        <v>#DIV/0!</v>
      </c>
    </row>
    <row r="332" spans="1:42" outlineLevel="1">
      <c r="A332" s="6" t="str">
        <f t="shared" si="426"/>
        <v>Option Year 11</v>
      </c>
      <c r="B332" s="6" t="str">
        <f t="shared" si="422"/>
        <v>TBD2</v>
      </c>
      <c r="E332" s="21">
        <f>IF(E325="",0,INDEX(Input_Range,MATCH((C189&amp;B332),Input_Call,0),MATCH(E325,Input_Header,0)))</f>
        <v>0</v>
      </c>
      <c r="F332" s="21">
        <f>IF(F325="",0,INDEX(Input_Range,MATCH((C189&amp;B332),Input_Call,0),MATCH(F325,Input_Header,0)))</f>
        <v>0</v>
      </c>
      <c r="G332" s="21">
        <f>IF(G325="",0,INDEX(Input_Range,MATCH((C189&amp;B332),Input_Call,0),MATCH(G325,Input_Header,0)))</f>
        <v>0</v>
      </c>
      <c r="H332" s="21">
        <f>IF(H325="",0,INDEX(Input_Range,MATCH((C189&amp;B332),Input_Call,0),MATCH(H325,Input_Header,0)))</f>
        <v>0</v>
      </c>
      <c r="I332" s="21">
        <f>IF(I325="",0,INDEX(Input_Range,MATCH((C189&amp;B332),Input_Call,0),MATCH(I325,Input_Header,0)))</f>
        <v>0</v>
      </c>
      <c r="J332" s="21">
        <f>IF(J325="",0,INDEX(Input_Range,MATCH((C189&amp;B332),Input_Call,0),MATCH(J325,Input_Header,0)))</f>
        <v>0</v>
      </c>
      <c r="K332" s="21">
        <f>IF(K325="",0,INDEX(Input_Range,MATCH((C189&amp;B332),Input_Call,0),MATCH(K325,Input_Header,0)))</f>
        <v>0</v>
      </c>
      <c r="L332" s="21">
        <f>IF(L325="",0,INDEX(Input_Range,MATCH((C189&amp;B332),Input_Call,0),MATCH(L325,Input_Header,0)))</f>
        <v>0</v>
      </c>
      <c r="M332" s="21">
        <f>IF(M325="",0,INDEX(Input_Range,MATCH((C189&amp;B332),Input_Call,0),MATCH(M325,Input_Header,0)))</f>
        <v>0</v>
      </c>
      <c r="N332" s="21">
        <f>IF(N325="",0,INDEX(Input_Range,MATCH((C189&amp;B332),Input_Call,0),MATCH(N325,Input_Header,0)))</f>
        <v>0</v>
      </c>
      <c r="O332" s="21">
        <f>IF(O325="",0,INDEX(Input_Range,MATCH((C189&amp;B332),Input_Call,0),MATCH(O325,Input_Header,0)))</f>
        <v>0</v>
      </c>
      <c r="P332" s="21">
        <f>IF(P325="",0,INDEX(Input_Range,MATCH((C189&amp;B332),Input_Call,0),MATCH(P325,Input_Header,0)))</f>
        <v>0</v>
      </c>
      <c r="Q332" s="21">
        <f>IF(Q325="",0,INDEX(Input_Range,MATCH((C189&amp;B332),Input_Call,0),MATCH(Q325,Input_Header,0)))</f>
        <v>0</v>
      </c>
      <c r="R332" s="698">
        <f t="shared" si="427"/>
        <v>0</v>
      </c>
      <c r="T332" s="699">
        <f t="shared" si="428"/>
        <v>0</v>
      </c>
      <c r="U332" s="699">
        <f t="shared" si="429"/>
        <v>0</v>
      </c>
      <c r="V332" s="699">
        <f t="shared" si="430"/>
        <v>0</v>
      </c>
      <c r="W332" s="699">
        <f t="shared" si="431"/>
        <v>0</v>
      </c>
      <c r="X332" s="699">
        <f t="shared" si="432"/>
        <v>0</v>
      </c>
      <c r="Y332" s="699">
        <f t="shared" si="433"/>
        <v>0</v>
      </c>
      <c r="Z332" s="699">
        <f t="shared" si="434"/>
        <v>0</v>
      </c>
      <c r="AA332" s="699">
        <f t="shared" si="435"/>
        <v>0</v>
      </c>
      <c r="AB332" s="699">
        <f t="shared" si="436"/>
        <v>0</v>
      </c>
      <c r="AC332" s="699">
        <f t="shared" si="437"/>
        <v>0</v>
      </c>
      <c r="AD332" s="699">
        <f t="shared" si="438"/>
        <v>0</v>
      </c>
      <c r="AE332" s="699">
        <f t="shared" si="439"/>
        <v>0</v>
      </c>
      <c r="AF332" s="699">
        <f t="shared" si="440"/>
        <v>0</v>
      </c>
      <c r="AG332" s="699">
        <f t="shared" si="441"/>
        <v>0</v>
      </c>
      <c r="AI332" s="698" t="e">
        <f t="shared" si="424"/>
        <v>#DIV/0!</v>
      </c>
      <c r="AJ332" s="21"/>
      <c r="AK332" s="21"/>
      <c r="AL332" s="4" t="str">
        <f>$A332&amp;$C189&amp;InputSheet!C$47&amp;InputSheet!D$47</f>
        <v>Option Year 11ESDTBD2Contr/Govt</v>
      </c>
      <c r="AM332" s="700" t="e">
        <f t="shared" si="425"/>
        <v>#DIV/0!</v>
      </c>
      <c r="AP332" s="387" t="e">
        <f t="shared" ref="AP332:AP395" si="442">IF(AM332="","1",(IF((VLOOKUP(B332,$AO$2:$AP$9,2,FALSE))="","0","1")))</f>
        <v>#DIV/0!</v>
      </c>
    </row>
    <row r="333" spans="1:42" outlineLevel="1">
      <c r="A333" s="6" t="str">
        <f t="shared" si="426"/>
        <v>Option Year 11</v>
      </c>
      <c r="B333" s="6" t="str">
        <f t="shared" si="422"/>
        <v>TBD3</v>
      </c>
      <c r="E333" s="21">
        <f>IF(E325="",0,INDEX(Input_Range,MATCH((C189&amp;B333),Input_Call,0),MATCH(E325,Input_Header,0)))</f>
        <v>0</v>
      </c>
      <c r="F333" s="21">
        <f>IF(F325="",0,INDEX(Input_Range,MATCH((C189&amp;B333),Input_Call,0),MATCH(F325,Input_Header,0)))</f>
        <v>0</v>
      </c>
      <c r="G333" s="21">
        <f>IF(G325="",0,INDEX(Input_Range,MATCH((C189&amp;B333),Input_Call,0),MATCH(G325,Input_Header,0)))</f>
        <v>0</v>
      </c>
      <c r="H333" s="21">
        <f>IF(H325="",0,INDEX(Input_Range,MATCH((C189&amp;B333),Input_Call,0),MATCH(H325,Input_Header,0)))</f>
        <v>0</v>
      </c>
      <c r="I333" s="21">
        <f>IF(I325="",0,INDEX(Input_Range,MATCH((C189&amp;B333),Input_Call,0),MATCH(I325,Input_Header,0)))</f>
        <v>0</v>
      </c>
      <c r="J333" s="21">
        <f>IF(J325="",0,INDEX(Input_Range,MATCH((C189&amp;B333),Input_Call,0),MATCH(J325,Input_Header,0)))</f>
        <v>0</v>
      </c>
      <c r="K333" s="21">
        <f>IF(K325="",0,INDEX(Input_Range,MATCH((C189&amp;B333),Input_Call,0),MATCH(K325,Input_Header,0)))</f>
        <v>0</v>
      </c>
      <c r="L333" s="21">
        <f>IF(L325="",0,INDEX(Input_Range,MATCH((C189&amp;B333),Input_Call,0),MATCH(L325,Input_Header,0)))</f>
        <v>0</v>
      </c>
      <c r="M333" s="21">
        <f>IF(M325="",0,INDEX(Input_Range,MATCH((C189&amp;B333),Input_Call,0),MATCH(M325,Input_Header,0)))</f>
        <v>0</v>
      </c>
      <c r="N333" s="21">
        <f>IF(N325="",0,INDEX(Input_Range,MATCH((C189&amp;B333),Input_Call,0),MATCH(N325,Input_Header,0)))</f>
        <v>0</v>
      </c>
      <c r="O333" s="21">
        <f>IF(O325="",0,INDEX(Input_Range,MATCH((C189&amp;B333),Input_Call,0),MATCH(O325,Input_Header,0)))</f>
        <v>0</v>
      </c>
      <c r="P333" s="21">
        <f>IF(P325="",0,INDEX(Input_Range,MATCH((C189&amp;B333),Input_Call,0),MATCH(P325,Input_Header,0)))</f>
        <v>0</v>
      </c>
      <c r="Q333" s="21">
        <f>IF(Q325="",0,INDEX(Input_Range,MATCH((C189&amp;B333),Input_Call,0),MATCH(Q325,Input_Header,0)))</f>
        <v>0</v>
      </c>
      <c r="R333" s="698">
        <f t="shared" si="427"/>
        <v>0</v>
      </c>
      <c r="T333" s="699">
        <f t="shared" si="428"/>
        <v>0</v>
      </c>
      <c r="U333" s="699">
        <f t="shared" si="429"/>
        <v>0</v>
      </c>
      <c r="V333" s="699">
        <f t="shared" si="430"/>
        <v>0</v>
      </c>
      <c r="W333" s="699">
        <f t="shared" si="431"/>
        <v>0</v>
      </c>
      <c r="X333" s="699">
        <f t="shared" si="432"/>
        <v>0</v>
      </c>
      <c r="Y333" s="699">
        <f t="shared" si="433"/>
        <v>0</v>
      </c>
      <c r="Z333" s="699">
        <f t="shared" si="434"/>
        <v>0</v>
      </c>
      <c r="AA333" s="699">
        <f t="shared" si="435"/>
        <v>0</v>
      </c>
      <c r="AB333" s="699">
        <f t="shared" si="436"/>
        <v>0</v>
      </c>
      <c r="AC333" s="699">
        <f t="shared" si="437"/>
        <v>0</v>
      </c>
      <c r="AD333" s="699">
        <f t="shared" si="438"/>
        <v>0</v>
      </c>
      <c r="AE333" s="699">
        <f t="shared" si="439"/>
        <v>0</v>
      </c>
      <c r="AF333" s="699">
        <f t="shared" si="440"/>
        <v>0</v>
      </c>
      <c r="AG333" s="699">
        <f t="shared" si="441"/>
        <v>0</v>
      </c>
      <c r="AI333" s="698" t="e">
        <f t="shared" si="424"/>
        <v>#DIV/0!</v>
      </c>
      <c r="AJ333" s="21"/>
      <c r="AK333" s="21"/>
      <c r="AL333" s="4" t="str">
        <f>$A333&amp;$C189&amp;InputSheet!C$48&amp;InputSheet!D$48</f>
        <v>Option Year 11ESDTBD3Contr/Govt</v>
      </c>
      <c r="AM333" s="700" t="e">
        <f t="shared" si="425"/>
        <v>#DIV/0!</v>
      </c>
      <c r="AP333" s="387" t="e">
        <f t="shared" si="442"/>
        <v>#DIV/0!</v>
      </c>
    </row>
    <row r="334" spans="1:42">
      <c r="E334" s="698"/>
      <c r="F334" s="698"/>
      <c r="G334" s="698"/>
      <c r="H334" s="698"/>
      <c r="I334" s="698"/>
      <c r="J334" s="698"/>
      <c r="K334" s="698"/>
      <c r="L334" s="698"/>
      <c r="M334" s="698"/>
      <c r="N334" s="698"/>
      <c r="O334" s="698"/>
      <c r="P334" s="698"/>
      <c r="Q334" s="698"/>
      <c r="R334" s="698"/>
      <c r="AI334" s="21"/>
      <c r="AJ334" s="21"/>
      <c r="AK334" s="21"/>
      <c r="AP334" s="387" t="str">
        <f t="shared" si="442"/>
        <v>1</v>
      </c>
    </row>
    <row r="335" spans="1:42">
      <c r="A335" s="530" t="str">
        <f>B335</f>
        <v>Option Year 12</v>
      </c>
      <c r="B335" s="691" t="str">
        <f>InputSheet!$C$34</f>
        <v>Option Year 12</v>
      </c>
      <c r="AP335" s="387" t="str">
        <f t="shared" si="442"/>
        <v>1</v>
      </c>
    </row>
    <row r="336" spans="1:42">
      <c r="B336" s="314" t="s">
        <v>587</v>
      </c>
      <c r="C336" s="692" t="s">
        <v>588</v>
      </c>
      <c r="E336" s="1216" t="str">
        <f>"Indirect Rates - "&amp;C$189</f>
        <v>Indirect Rates - ESD</v>
      </c>
      <c r="F336" s="1216"/>
      <c r="G336" s="1216"/>
      <c r="H336" s="1216"/>
      <c r="I336" s="1216"/>
      <c r="J336" s="1216"/>
      <c r="K336" s="1216"/>
      <c r="L336" s="1216"/>
      <c r="M336" s="1216"/>
      <c r="N336" s="1216"/>
      <c r="O336" s="1216"/>
      <c r="P336" s="1216"/>
      <c r="Q336" s="1216"/>
      <c r="R336" s="1216"/>
      <c r="S336" s="844"/>
      <c r="T336" s="1217" t="s">
        <v>794</v>
      </c>
      <c r="U336" s="1217"/>
      <c r="V336" s="1217"/>
      <c r="W336" s="1217"/>
      <c r="X336" s="1217"/>
      <c r="Y336" s="1217"/>
      <c r="Z336" s="1217"/>
      <c r="AA336" s="1217"/>
      <c r="AB336" s="1217"/>
      <c r="AC336" s="1217"/>
      <c r="AD336" s="1217"/>
      <c r="AE336" s="1217"/>
      <c r="AF336" s="1217"/>
      <c r="AG336" s="1217"/>
      <c r="AI336" s="692" t="s">
        <v>615</v>
      </c>
      <c r="AJ336" s="50"/>
      <c r="AK336" s="50"/>
      <c r="AP336" s="387" t="str">
        <f t="shared" si="442"/>
        <v>1</v>
      </c>
    </row>
    <row r="337" spans="1:42">
      <c r="B337" s="693">
        <f>VLOOKUP(A335,InputSheet!$C$8:$E$37,2,FALSE)</f>
        <v>2558</v>
      </c>
      <c r="C337" s="694">
        <f>VLOOKUP(A335,InputSheet!$C$8:$E$37,3,FALSE)</f>
        <v>2922</v>
      </c>
      <c r="E337" s="695">
        <f t="shared" ref="E337:R337" si="443">E325</f>
        <v>2009</v>
      </c>
      <c r="F337" s="695">
        <f t="shared" si="443"/>
        <v>2010</v>
      </c>
      <c r="G337" s="695">
        <f t="shared" si="443"/>
        <v>2011</v>
      </c>
      <c r="H337" s="695">
        <f t="shared" si="443"/>
        <v>2012</v>
      </c>
      <c r="I337" s="695">
        <f t="shared" si="443"/>
        <v>2013</v>
      </c>
      <c r="J337" s="695">
        <f t="shared" si="443"/>
        <v>2014</v>
      </c>
      <c r="K337" s="695">
        <f t="shared" si="443"/>
        <v>2015</v>
      </c>
      <c r="L337" s="695">
        <f t="shared" si="443"/>
        <v>2016</v>
      </c>
      <c r="M337" s="695">
        <f t="shared" si="443"/>
        <v>2017</v>
      </c>
      <c r="N337" s="695">
        <f t="shared" si="443"/>
        <v>2018</v>
      </c>
      <c r="O337" s="695">
        <f t="shared" si="443"/>
        <v>2019</v>
      </c>
      <c r="P337" s="695">
        <f t="shared" si="443"/>
        <v>2020</v>
      </c>
      <c r="Q337" s="695">
        <f t="shared" si="443"/>
        <v>2021</v>
      </c>
      <c r="R337" s="695">
        <f t="shared" si="443"/>
        <v>2022</v>
      </c>
      <c r="S337" s="680"/>
      <c r="T337" s="695">
        <f t="shared" ref="T337:AG337" si="444">T325</f>
        <v>2009</v>
      </c>
      <c r="U337" s="695">
        <f t="shared" si="444"/>
        <v>2010</v>
      </c>
      <c r="V337" s="695">
        <f t="shared" si="444"/>
        <v>2011</v>
      </c>
      <c r="W337" s="695">
        <f t="shared" si="444"/>
        <v>2012</v>
      </c>
      <c r="X337" s="695">
        <f t="shared" si="444"/>
        <v>2013</v>
      </c>
      <c r="Y337" s="695">
        <f t="shared" si="444"/>
        <v>2014</v>
      </c>
      <c r="Z337" s="695">
        <f t="shared" si="444"/>
        <v>2015</v>
      </c>
      <c r="AA337" s="695">
        <f t="shared" si="444"/>
        <v>2016</v>
      </c>
      <c r="AB337" s="695">
        <f t="shared" si="444"/>
        <v>2017</v>
      </c>
      <c r="AC337" s="695">
        <f t="shared" si="444"/>
        <v>2018</v>
      </c>
      <c r="AD337" s="695">
        <f t="shared" si="444"/>
        <v>2019</v>
      </c>
      <c r="AE337" s="695">
        <f t="shared" si="444"/>
        <v>2020</v>
      </c>
      <c r="AF337" s="695">
        <f t="shared" si="444"/>
        <v>2021</v>
      </c>
      <c r="AG337" s="695">
        <f t="shared" si="444"/>
        <v>2022</v>
      </c>
      <c r="AI337" s="696" t="str">
        <f>B335</f>
        <v>Option Year 12</v>
      </c>
      <c r="AJ337" s="28"/>
      <c r="AK337" s="28"/>
      <c r="AP337" s="387" t="str">
        <f t="shared" si="442"/>
        <v>1</v>
      </c>
    </row>
    <row r="338" spans="1:42">
      <c r="A338" s="6" t="str">
        <f>A335</f>
        <v>Option Year 12</v>
      </c>
      <c r="B338" s="6" t="str">
        <f t="shared" ref="B338:B345" si="445">B326</f>
        <v>PRB</v>
      </c>
      <c r="E338" s="698">
        <f>IF(E337="",0,INDEX(Input_Range,MATCH((C189&amp;B338),Input_Call,0),MATCH(E337,Input_Header,0)))</f>
        <v>0</v>
      </c>
      <c r="F338" s="698">
        <f>IF(F337="",0,INDEX(Input_Range,MATCH((C189&amp;B338),Input_Call,0),MATCH(F337,Input_Header,0)))</f>
        <v>0</v>
      </c>
      <c r="G338" s="698">
        <f>IF(G337="",0,INDEX(Input_Range,MATCH((C189&amp;B338),Input_Call,0),MATCH(G337,Input_Header,0)))</f>
        <v>0</v>
      </c>
      <c r="H338" s="698">
        <f>IF(H337="",0,INDEX(Input_Range,MATCH((C189&amp;B338),Input_Call,0),MATCH(H337,Input_Header,0)))</f>
        <v>0</v>
      </c>
      <c r="I338" s="698">
        <f>IF(I337="",0,INDEX(Input_Range,MATCH((C189&amp;B338),Input_Call,0),MATCH(I337,Input_Header,0)))</f>
        <v>0</v>
      </c>
      <c r="J338" s="698">
        <f>IF(J337="",0,INDEX(Input_Range,MATCH((C189&amp;B338),Input_Call,0),MATCH(J337,Input_Header,0)))</f>
        <v>0</v>
      </c>
      <c r="K338" s="698">
        <f>IF(K337="",0,INDEX(Input_Range,MATCH((C189&amp;B338),Input_Call,0),MATCH(K337,Input_Header,0)))</f>
        <v>0</v>
      </c>
      <c r="L338" s="698">
        <f>IF(L337="",0,INDEX(Input_Range,MATCH((C189&amp;B338),Input_Call,0),MATCH(L337,Input_Header,0)))</f>
        <v>0</v>
      </c>
      <c r="M338" s="698">
        <f>IF(M337="",0,INDEX(Input_Range,MATCH((C189&amp;B338),Input_Call,0),MATCH(M337,Input_Header,0)))</f>
        <v>0</v>
      </c>
      <c r="N338" s="698">
        <f>IF(N337="",0,INDEX(Input_Range,MATCH((C189&amp;B338),Input_Call,0),MATCH(N337,Input_Header,0)))</f>
        <v>0</v>
      </c>
      <c r="O338" s="698">
        <f>IF(O337="",0,INDEX(Input_Range,MATCH((C189&amp;B338),Input_Call,0),MATCH(O337,Input_Header,0)))</f>
        <v>0</v>
      </c>
      <c r="P338" s="698">
        <f>IF(P337="",0,INDEX(Input_Range,MATCH((C189&amp;B338),Input_Call,0),MATCH(P337,Input_Header,0)))</f>
        <v>0</v>
      </c>
      <c r="Q338" s="698">
        <f>IF(Q337="",0,INDEX(Input_Range,MATCH((C189&amp;B338),Input_Call,0),MATCH(Q337,Input_Header,0)))</f>
        <v>0</v>
      </c>
      <c r="R338" s="698">
        <f>Q338</f>
        <v>0</v>
      </c>
      <c r="T338" s="699">
        <f t="shared" ref="T338:AG338" si="446">ROUND((MAX(0,(MIN($C337,DATE(T337,12,31))-MAX($B337,DATE(T337,1,1))+1)))/30.41667,0)</f>
        <v>0</v>
      </c>
      <c r="U338" s="699">
        <f t="shared" si="446"/>
        <v>0</v>
      </c>
      <c r="V338" s="699">
        <f t="shared" si="446"/>
        <v>0</v>
      </c>
      <c r="W338" s="699">
        <f t="shared" si="446"/>
        <v>0</v>
      </c>
      <c r="X338" s="699">
        <f t="shared" si="446"/>
        <v>0</v>
      </c>
      <c r="Y338" s="699">
        <f t="shared" si="446"/>
        <v>0</v>
      </c>
      <c r="Z338" s="699">
        <f t="shared" si="446"/>
        <v>0</v>
      </c>
      <c r="AA338" s="699">
        <f t="shared" si="446"/>
        <v>0</v>
      </c>
      <c r="AB338" s="699">
        <f t="shared" si="446"/>
        <v>0</v>
      </c>
      <c r="AC338" s="699">
        <f t="shared" si="446"/>
        <v>0</v>
      </c>
      <c r="AD338" s="699">
        <f t="shared" si="446"/>
        <v>0</v>
      </c>
      <c r="AE338" s="699">
        <f t="shared" si="446"/>
        <v>0</v>
      </c>
      <c r="AF338" s="699">
        <f t="shared" si="446"/>
        <v>0</v>
      </c>
      <c r="AG338" s="699">
        <f t="shared" si="446"/>
        <v>0</v>
      </c>
      <c r="AI338" s="698" t="e">
        <f t="shared" ref="AI338:AI345" si="447">ROUND(SUMPRODUCT(E338:R338,T338:AG338)/SUM(T338:AG338),4)</f>
        <v>#DIV/0!</v>
      </c>
      <c r="AJ338" s="698"/>
      <c r="AK338" s="698"/>
      <c r="AL338" s="4" t="str">
        <f>$A338&amp;$C189&amp;InputSheet!C$41&amp;InputSheet!D$41</f>
        <v>Option Year 12ESDPRBContr/Govt</v>
      </c>
      <c r="AM338" s="700" t="e">
        <f t="shared" ref="AM338:AM345" si="448">AI338</f>
        <v>#DIV/0!</v>
      </c>
      <c r="AP338" s="387" t="e">
        <f t="shared" si="442"/>
        <v>#DIV/0!</v>
      </c>
    </row>
    <row r="339" spans="1:42">
      <c r="A339" s="6" t="str">
        <f t="shared" ref="A339:A345" si="449">A338</f>
        <v>Option Year 12</v>
      </c>
      <c r="B339" s="6" t="str">
        <f t="shared" si="445"/>
        <v>Overhead - Offsite</v>
      </c>
      <c r="E339" s="698">
        <f>IF(E337="",0,INDEX(Input_Range,MATCH((C189&amp;B339),Input_Call,0),MATCH(E337,Input_Header,0)))</f>
        <v>0</v>
      </c>
      <c r="F339" s="698">
        <f>IF(F337="",0,INDEX(Input_Range,MATCH((C189&amp;B339),Input_Call,0),MATCH(F337,Input_Header,0)))</f>
        <v>0</v>
      </c>
      <c r="G339" s="698">
        <f>IF(G337="",0,INDEX(Input_Range,MATCH((C189&amp;B339),Input_Call,0),MATCH(G337,Input_Header,0)))</f>
        <v>0</v>
      </c>
      <c r="H339" s="698">
        <f>IF(H337="",0,INDEX(Input_Range,MATCH((C189&amp;B339),Input_Call,0),MATCH(H337,Input_Header,0)))</f>
        <v>0</v>
      </c>
      <c r="I339" s="698">
        <f>IF(I337="",0,INDEX(Input_Range,MATCH((C189&amp;B339),Input_Call,0),MATCH(I337,Input_Header,0)))</f>
        <v>0</v>
      </c>
      <c r="J339" s="698">
        <f>IF(J337="",0,INDEX(Input_Range,MATCH((C189&amp;B339),Input_Call,0),MATCH(J337,Input_Header,0)))</f>
        <v>0</v>
      </c>
      <c r="K339" s="698">
        <f>IF(K337="",0,INDEX(Input_Range,MATCH((C189&amp;B339),Input_Call,0),MATCH(K337,Input_Header,0)))</f>
        <v>0</v>
      </c>
      <c r="L339" s="698">
        <f>IF(L337="",0,INDEX(Input_Range,MATCH((C189&amp;B339),Input_Call,0),MATCH(L337,Input_Header,0)))</f>
        <v>0</v>
      </c>
      <c r="M339" s="698">
        <f>IF(M337="",0,INDEX(Input_Range,MATCH((C189&amp;B339),Input_Call,0),MATCH(M337,Input_Header,0)))</f>
        <v>0</v>
      </c>
      <c r="N339" s="698">
        <f>IF(N337="",0,INDEX(Input_Range,MATCH((C189&amp;B339),Input_Call,0),MATCH(N337,Input_Header,0)))</f>
        <v>0</v>
      </c>
      <c r="O339" s="698">
        <f>IF(O337="",0,INDEX(Input_Range,MATCH((C189&amp;B339),Input_Call,0),MATCH(O337,Input_Header,0)))</f>
        <v>0</v>
      </c>
      <c r="P339" s="698">
        <f>IF(P337="",0,INDEX(Input_Range,MATCH((C189&amp;B339),Input_Call,0),MATCH(P337,Input_Header,0)))</f>
        <v>0</v>
      </c>
      <c r="Q339" s="698">
        <f>IF(Q337="",0,INDEX(Input_Range,MATCH((C189&amp;B339),Input_Call,0),MATCH(Q337,Input_Header,0)))</f>
        <v>0</v>
      </c>
      <c r="R339" s="698">
        <f t="shared" ref="R339:R345" si="450">Q339</f>
        <v>0</v>
      </c>
      <c r="T339" s="699">
        <f t="shared" ref="T339:T345" si="451">T338</f>
        <v>0</v>
      </c>
      <c r="U339" s="699">
        <f t="shared" ref="U339:U345" si="452">U338</f>
        <v>0</v>
      </c>
      <c r="V339" s="699">
        <f t="shared" ref="V339:V345" si="453">V338</f>
        <v>0</v>
      </c>
      <c r="W339" s="699">
        <f t="shared" ref="W339:W345" si="454">W338</f>
        <v>0</v>
      </c>
      <c r="X339" s="699">
        <f t="shared" ref="X339:X345" si="455">X338</f>
        <v>0</v>
      </c>
      <c r="Y339" s="699">
        <f t="shared" ref="Y339:Y345" si="456">Y338</f>
        <v>0</v>
      </c>
      <c r="Z339" s="699">
        <f t="shared" ref="Z339:Z345" si="457">Z338</f>
        <v>0</v>
      </c>
      <c r="AA339" s="699">
        <f t="shared" ref="AA339:AA345" si="458">AA338</f>
        <v>0</v>
      </c>
      <c r="AB339" s="699">
        <f t="shared" ref="AB339:AB345" si="459">AB338</f>
        <v>0</v>
      </c>
      <c r="AC339" s="699">
        <f t="shared" ref="AC339:AC345" si="460">AC338</f>
        <v>0</v>
      </c>
      <c r="AD339" s="699">
        <f t="shared" ref="AD339:AD345" si="461">AD338</f>
        <v>0</v>
      </c>
      <c r="AE339" s="699">
        <f t="shared" ref="AE339:AE345" si="462">AE338</f>
        <v>0</v>
      </c>
      <c r="AF339" s="699">
        <f t="shared" ref="AF339:AF345" si="463">AF338</f>
        <v>0</v>
      </c>
      <c r="AG339" s="699">
        <f t="shared" ref="AG339:AG345" si="464">AG338</f>
        <v>0</v>
      </c>
      <c r="AI339" s="698" t="e">
        <f t="shared" si="447"/>
        <v>#DIV/0!</v>
      </c>
      <c r="AJ339" s="698"/>
      <c r="AK339" s="698"/>
      <c r="AL339" s="4" t="str">
        <f>$A339&amp;$C189&amp;InputSheet!C$42&amp;InputSheet!D$42</f>
        <v>Option Year 12ESDOverheadContr</v>
      </c>
      <c r="AM339" s="700" t="e">
        <f t="shared" si="448"/>
        <v>#DIV/0!</v>
      </c>
      <c r="AP339" s="387" t="e">
        <f t="shared" si="442"/>
        <v>#DIV/0!</v>
      </c>
    </row>
    <row r="340" spans="1:42">
      <c r="A340" s="6" t="str">
        <f t="shared" si="449"/>
        <v>Option Year 12</v>
      </c>
      <c r="B340" s="6" t="str">
        <f t="shared" si="445"/>
        <v>Overhead - Onsite</v>
      </c>
      <c r="E340" s="698">
        <f>IF(E337="",0,INDEX(Input_Range,MATCH((C189&amp;B340),Input_Call,0),MATCH(E337,Input_Header,0)))</f>
        <v>0</v>
      </c>
      <c r="F340" s="698">
        <f>IF(F337="",0,INDEX(Input_Range,MATCH((C189&amp;B340),Input_Call,0),MATCH(F337,Input_Header,0)))</f>
        <v>0</v>
      </c>
      <c r="G340" s="698">
        <f>IF(G337="",0,INDEX(Input_Range,MATCH((C189&amp;B340),Input_Call,0),MATCH(G337,Input_Header,0)))</f>
        <v>0</v>
      </c>
      <c r="H340" s="698">
        <f>IF(H337="",0,INDEX(Input_Range,MATCH((C189&amp;B340),Input_Call,0),MATCH(H337,Input_Header,0)))</f>
        <v>0</v>
      </c>
      <c r="I340" s="698">
        <f>IF(I337="",0,INDEX(Input_Range,MATCH((C189&amp;B340),Input_Call,0),MATCH(I337,Input_Header,0)))</f>
        <v>0</v>
      </c>
      <c r="J340" s="698">
        <f>IF(J337="",0,INDEX(Input_Range,MATCH((C189&amp;B340),Input_Call,0),MATCH(J337,Input_Header,0)))</f>
        <v>0</v>
      </c>
      <c r="K340" s="698">
        <f>IF(K337="",0,INDEX(Input_Range,MATCH((C189&amp;B340),Input_Call,0),MATCH(K337,Input_Header,0)))</f>
        <v>0</v>
      </c>
      <c r="L340" s="698">
        <f>IF(L337="",0,INDEX(Input_Range,MATCH((C189&amp;B340),Input_Call,0),MATCH(L337,Input_Header,0)))</f>
        <v>0</v>
      </c>
      <c r="M340" s="698">
        <f>IF(M337="",0,INDEX(Input_Range,MATCH((C189&amp;B340),Input_Call,0),MATCH(M337,Input_Header,0)))</f>
        <v>0</v>
      </c>
      <c r="N340" s="698">
        <f>IF(N337="",0,INDEX(Input_Range,MATCH((C189&amp;B340),Input_Call,0),MATCH(N337,Input_Header,0)))</f>
        <v>0</v>
      </c>
      <c r="O340" s="698">
        <f>IF(O337="",0,INDEX(Input_Range,MATCH((C189&amp;B340),Input_Call,0),MATCH(O337,Input_Header,0)))</f>
        <v>0</v>
      </c>
      <c r="P340" s="698">
        <f>IF(P337="",0,INDEX(Input_Range,MATCH((C189&amp;B340),Input_Call,0),MATCH(P337,Input_Header,0)))</f>
        <v>0</v>
      </c>
      <c r="Q340" s="698">
        <f>IF(Q337="",0,INDEX(Input_Range,MATCH((C189&amp;B340),Input_Call,0),MATCH(Q337,Input_Header,0)))</f>
        <v>0</v>
      </c>
      <c r="R340" s="698">
        <f t="shared" si="450"/>
        <v>0</v>
      </c>
      <c r="T340" s="699">
        <f t="shared" si="451"/>
        <v>0</v>
      </c>
      <c r="U340" s="699">
        <f t="shared" si="452"/>
        <v>0</v>
      </c>
      <c r="V340" s="699">
        <f t="shared" si="453"/>
        <v>0</v>
      </c>
      <c r="W340" s="699">
        <f t="shared" si="454"/>
        <v>0</v>
      </c>
      <c r="X340" s="699">
        <f t="shared" si="455"/>
        <v>0</v>
      </c>
      <c r="Y340" s="699">
        <f t="shared" si="456"/>
        <v>0</v>
      </c>
      <c r="Z340" s="699">
        <f t="shared" si="457"/>
        <v>0</v>
      </c>
      <c r="AA340" s="699">
        <f t="shared" si="458"/>
        <v>0</v>
      </c>
      <c r="AB340" s="699">
        <f t="shared" si="459"/>
        <v>0</v>
      </c>
      <c r="AC340" s="699">
        <f t="shared" si="460"/>
        <v>0</v>
      </c>
      <c r="AD340" s="699">
        <f t="shared" si="461"/>
        <v>0</v>
      </c>
      <c r="AE340" s="699">
        <f t="shared" si="462"/>
        <v>0</v>
      </c>
      <c r="AF340" s="699">
        <f t="shared" si="463"/>
        <v>0</v>
      </c>
      <c r="AG340" s="699">
        <f t="shared" si="464"/>
        <v>0</v>
      </c>
      <c r="AI340" s="698" t="e">
        <f t="shared" si="447"/>
        <v>#DIV/0!</v>
      </c>
      <c r="AJ340" s="698"/>
      <c r="AK340" s="698"/>
      <c r="AL340" s="4" t="str">
        <f>$A340&amp;$C189&amp;InputSheet!C$43&amp;InputSheet!D$43</f>
        <v>Option Year 12ESDOverheadGovt</v>
      </c>
      <c r="AM340" s="700" t="e">
        <f t="shared" si="448"/>
        <v>#DIV/0!</v>
      </c>
      <c r="AP340" s="387" t="e">
        <f t="shared" si="442"/>
        <v>#DIV/0!</v>
      </c>
    </row>
    <row r="341" spans="1:42">
      <c r="A341" s="6" t="str">
        <f t="shared" si="449"/>
        <v>Option Year 12</v>
      </c>
      <c r="B341" s="6" t="str">
        <f t="shared" si="445"/>
        <v>Material Handling</v>
      </c>
      <c r="E341" s="698">
        <f>IF(E337="",0,INDEX(Input_Range,MATCH((C189&amp;B341),Input_Call,0),MATCH(E337,Input_Header,0)))</f>
        <v>0</v>
      </c>
      <c r="F341" s="698">
        <f>IF(F337="",0,INDEX(Input_Range,MATCH((C189&amp;B341),Input_Call,0),MATCH(F337,Input_Header,0)))</f>
        <v>0</v>
      </c>
      <c r="G341" s="698">
        <f>IF(G337="",0,INDEX(Input_Range,MATCH((C189&amp;B341),Input_Call,0),MATCH(G337,Input_Header,0)))</f>
        <v>0</v>
      </c>
      <c r="H341" s="698">
        <f>IF(H337="",0,INDEX(Input_Range,MATCH((C189&amp;B341),Input_Call,0),MATCH(H337,Input_Header,0)))</f>
        <v>0</v>
      </c>
      <c r="I341" s="698">
        <f>IF(I337="",0,INDEX(Input_Range,MATCH((C189&amp;B341),Input_Call,0),MATCH(I337,Input_Header,0)))</f>
        <v>0</v>
      </c>
      <c r="J341" s="698">
        <f>IF(J337="",0,INDEX(Input_Range,MATCH((C189&amp;B341),Input_Call,0),MATCH(J337,Input_Header,0)))</f>
        <v>0</v>
      </c>
      <c r="K341" s="698">
        <f>IF(K337="",0,INDEX(Input_Range,MATCH((C189&amp;B341),Input_Call,0),MATCH(K337,Input_Header,0)))</f>
        <v>0</v>
      </c>
      <c r="L341" s="698">
        <f>IF(L337="",0,INDEX(Input_Range,MATCH((C189&amp;B341),Input_Call,0),MATCH(L337,Input_Header,0)))</f>
        <v>0</v>
      </c>
      <c r="M341" s="698">
        <f>IF(M337="",0,INDEX(Input_Range,MATCH((C189&amp;B341),Input_Call,0),MATCH(M337,Input_Header,0)))</f>
        <v>0</v>
      </c>
      <c r="N341" s="698">
        <f>IF(N337="",0,INDEX(Input_Range,MATCH((C189&amp;B341),Input_Call,0),MATCH(N337,Input_Header,0)))</f>
        <v>0</v>
      </c>
      <c r="O341" s="698">
        <f>IF(O337="",0,INDEX(Input_Range,MATCH((C189&amp;B341),Input_Call,0),MATCH(O337,Input_Header,0)))</f>
        <v>0</v>
      </c>
      <c r="P341" s="698">
        <f>IF(P337="",0,INDEX(Input_Range,MATCH((C189&amp;B341),Input_Call,0),MATCH(P337,Input_Header,0)))</f>
        <v>0</v>
      </c>
      <c r="Q341" s="698">
        <f>IF(Q337="",0,INDEX(Input_Range,MATCH((C189&amp;B341),Input_Call,0),MATCH(Q337,Input_Header,0)))</f>
        <v>0</v>
      </c>
      <c r="R341" s="698">
        <f t="shared" si="450"/>
        <v>0</v>
      </c>
      <c r="T341" s="699">
        <f t="shared" si="451"/>
        <v>0</v>
      </c>
      <c r="U341" s="699">
        <f t="shared" si="452"/>
        <v>0</v>
      </c>
      <c r="V341" s="699">
        <f t="shared" si="453"/>
        <v>0</v>
      </c>
      <c r="W341" s="699">
        <f t="shared" si="454"/>
        <v>0</v>
      </c>
      <c r="X341" s="699">
        <f t="shared" si="455"/>
        <v>0</v>
      </c>
      <c r="Y341" s="699">
        <f t="shared" si="456"/>
        <v>0</v>
      </c>
      <c r="Z341" s="699">
        <f t="shared" si="457"/>
        <v>0</v>
      </c>
      <c r="AA341" s="699">
        <f t="shared" si="458"/>
        <v>0</v>
      </c>
      <c r="AB341" s="699">
        <f t="shared" si="459"/>
        <v>0</v>
      </c>
      <c r="AC341" s="699">
        <f t="shared" si="460"/>
        <v>0</v>
      </c>
      <c r="AD341" s="699">
        <f t="shared" si="461"/>
        <v>0</v>
      </c>
      <c r="AE341" s="699">
        <f t="shared" si="462"/>
        <v>0</v>
      </c>
      <c r="AF341" s="699">
        <f t="shared" si="463"/>
        <v>0</v>
      </c>
      <c r="AG341" s="699">
        <f t="shared" si="464"/>
        <v>0</v>
      </c>
      <c r="AI341" s="698" t="e">
        <f t="shared" si="447"/>
        <v>#DIV/0!</v>
      </c>
      <c r="AJ341" s="698"/>
      <c r="AK341" s="698"/>
      <c r="AL341" s="4" t="str">
        <f>$A341&amp;$C189&amp;InputSheet!C$44&amp;InputSheet!D$44</f>
        <v>Option Year 12ESDMHContr/Govt</v>
      </c>
      <c r="AM341" s="700" t="e">
        <f t="shared" si="448"/>
        <v>#DIV/0!</v>
      </c>
      <c r="AP341" s="387" t="e">
        <f t="shared" si="442"/>
        <v>#DIV/0!</v>
      </c>
    </row>
    <row r="342" spans="1:42">
      <c r="A342" s="6" t="str">
        <f t="shared" si="449"/>
        <v>Option Year 12</v>
      </c>
      <c r="B342" s="6" t="str">
        <f t="shared" si="445"/>
        <v>G&amp;A</v>
      </c>
      <c r="E342" s="698">
        <f>IF(E337="",0,INDEX(Input_Range,MATCH((C189&amp;B342),Input_Call,0),MATCH(E337,Input_Header,0)))</f>
        <v>0</v>
      </c>
      <c r="F342" s="698">
        <f>IF(F337="",0,INDEX(Input_Range,MATCH((C189&amp;B342),Input_Call,0),MATCH(F337,Input_Header,0)))</f>
        <v>0</v>
      </c>
      <c r="G342" s="698">
        <f>IF(G337="",0,INDEX(Input_Range,MATCH((C189&amp;B342),Input_Call,0),MATCH(G337,Input_Header,0)))</f>
        <v>0</v>
      </c>
      <c r="H342" s="698">
        <f>IF(H337="",0,INDEX(Input_Range,MATCH((C189&amp;B342),Input_Call,0),MATCH(H337,Input_Header,0)))</f>
        <v>0</v>
      </c>
      <c r="I342" s="698">
        <f>IF(I337="",0,INDEX(Input_Range,MATCH((C189&amp;B342),Input_Call,0),MATCH(I337,Input_Header,0)))</f>
        <v>0</v>
      </c>
      <c r="J342" s="698">
        <f>IF(J337="",0,INDEX(Input_Range,MATCH((C189&amp;B342),Input_Call,0),MATCH(J337,Input_Header,0)))</f>
        <v>0</v>
      </c>
      <c r="K342" s="698">
        <f>IF(K337="",0,INDEX(Input_Range,MATCH((C189&amp;B342),Input_Call,0),MATCH(K337,Input_Header,0)))</f>
        <v>0</v>
      </c>
      <c r="L342" s="698">
        <f>IF(L337="",0,INDEX(Input_Range,MATCH((C189&amp;B342),Input_Call,0),MATCH(L337,Input_Header,0)))</f>
        <v>0</v>
      </c>
      <c r="M342" s="698">
        <f>IF(M337="",0,INDEX(Input_Range,MATCH((C189&amp;B342),Input_Call,0),MATCH(M337,Input_Header,0)))</f>
        <v>0</v>
      </c>
      <c r="N342" s="698">
        <f>IF(N337="",0,INDEX(Input_Range,MATCH((C189&amp;B342),Input_Call,0),MATCH(N337,Input_Header,0)))</f>
        <v>0</v>
      </c>
      <c r="O342" s="698">
        <f>IF(O337="",0,INDEX(Input_Range,MATCH((C189&amp;B342),Input_Call,0),MATCH(O337,Input_Header,0)))</f>
        <v>0</v>
      </c>
      <c r="P342" s="698">
        <f>IF(P337="",0,INDEX(Input_Range,MATCH((C189&amp;B342),Input_Call,0),MATCH(P337,Input_Header,0)))</f>
        <v>0</v>
      </c>
      <c r="Q342" s="698">
        <f>IF(Q337="",0,INDEX(Input_Range,MATCH((C189&amp;B342),Input_Call,0),MATCH(Q337,Input_Header,0)))</f>
        <v>0</v>
      </c>
      <c r="R342" s="698">
        <f t="shared" si="450"/>
        <v>0</v>
      </c>
      <c r="T342" s="699">
        <f t="shared" si="451"/>
        <v>0</v>
      </c>
      <c r="U342" s="699">
        <f t="shared" si="452"/>
        <v>0</v>
      </c>
      <c r="V342" s="699">
        <f t="shared" si="453"/>
        <v>0</v>
      </c>
      <c r="W342" s="699">
        <f t="shared" si="454"/>
        <v>0</v>
      </c>
      <c r="X342" s="699">
        <f t="shared" si="455"/>
        <v>0</v>
      </c>
      <c r="Y342" s="699">
        <f t="shared" si="456"/>
        <v>0</v>
      </c>
      <c r="Z342" s="699">
        <f t="shared" si="457"/>
        <v>0</v>
      </c>
      <c r="AA342" s="699">
        <f t="shared" si="458"/>
        <v>0</v>
      </c>
      <c r="AB342" s="699">
        <f t="shared" si="459"/>
        <v>0</v>
      </c>
      <c r="AC342" s="699">
        <f t="shared" si="460"/>
        <v>0</v>
      </c>
      <c r="AD342" s="699">
        <f t="shared" si="461"/>
        <v>0</v>
      </c>
      <c r="AE342" s="699">
        <f t="shared" si="462"/>
        <v>0</v>
      </c>
      <c r="AF342" s="699">
        <f t="shared" si="463"/>
        <v>0</v>
      </c>
      <c r="AG342" s="699">
        <f t="shared" si="464"/>
        <v>0</v>
      </c>
      <c r="AI342" s="698" t="e">
        <f t="shared" si="447"/>
        <v>#DIV/0!</v>
      </c>
      <c r="AJ342" s="698"/>
      <c r="AK342" s="698"/>
      <c r="AL342" s="4" t="str">
        <f>$A342&amp;$C189&amp;InputSheet!C$45&amp;InputSheet!D$45</f>
        <v>Option Year 12ESDG&amp;AContr/Govt</v>
      </c>
      <c r="AM342" s="700" t="e">
        <f t="shared" si="448"/>
        <v>#DIV/0!</v>
      </c>
      <c r="AP342" s="387" t="e">
        <f t="shared" si="442"/>
        <v>#DIV/0!</v>
      </c>
    </row>
    <row r="343" spans="1:42" outlineLevel="1">
      <c r="A343" s="6" t="str">
        <f t="shared" si="449"/>
        <v>Option Year 12</v>
      </c>
      <c r="B343" s="6" t="str">
        <f t="shared" si="445"/>
        <v>TBD1</v>
      </c>
      <c r="E343" s="21">
        <f>IF(E337="",0,INDEX(Input_Range,MATCH((C189&amp;B343),Input_Call,0),MATCH(E337,Input_Header,0)))</f>
        <v>0</v>
      </c>
      <c r="F343" s="21">
        <f>IF(F337="",0,INDEX(Input_Range,MATCH((C189&amp;B343),Input_Call,0),MATCH(F337,Input_Header,0)))</f>
        <v>0</v>
      </c>
      <c r="G343" s="21">
        <f>IF(G337="",0,INDEX(Input_Range,MATCH((C189&amp;B343),Input_Call,0),MATCH(G337,Input_Header,0)))</f>
        <v>0</v>
      </c>
      <c r="H343" s="21">
        <f>IF(H337="",0,INDEX(Input_Range,MATCH((C189&amp;B343),Input_Call,0),MATCH(H337,Input_Header,0)))</f>
        <v>0</v>
      </c>
      <c r="I343" s="21">
        <f>IF(I337="",0,INDEX(Input_Range,MATCH((C189&amp;B343),Input_Call,0),MATCH(I337,Input_Header,0)))</f>
        <v>0</v>
      </c>
      <c r="J343" s="21">
        <f>IF(J337="",0,INDEX(Input_Range,MATCH((C189&amp;B343),Input_Call,0),MATCH(J337,Input_Header,0)))</f>
        <v>0</v>
      </c>
      <c r="K343" s="21">
        <f>IF(K337="",0,INDEX(Input_Range,MATCH((C189&amp;B343),Input_Call,0),MATCH(K337,Input_Header,0)))</f>
        <v>0</v>
      </c>
      <c r="L343" s="21">
        <f>IF(L337="",0,INDEX(Input_Range,MATCH((C189&amp;B343),Input_Call,0),MATCH(L337,Input_Header,0)))</f>
        <v>0</v>
      </c>
      <c r="M343" s="21">
        <f>IF(M337="",0,INDEX(Input_Range,MATCH((C189&amp;B343),Input_Call,0),MATCH(M337,Input_Header,0)))</f>
        <v>0</v>
      </c>
      <c r="N343" s="21">
        <f>IF(N337="",0,INDEX(Input_Range,MATCH((C189&amp;B343),Input_Call,0),MATCH(N337,Input_Header,0)))</f>
        <v>0</v>
      </c>
      <c r="O343" s="21">
        <f>IF(O337="",0,INDEX(Input_Range,MATCH((C189&amp;B343),Input_Call,0),MATCH(O337,Input_Header,0)))</f>
        <v>0</v>
      </c>
      <c r="P343" s="21">
        <f>IF(P337="",0,INDEX(Input_Range,MATCH((C189&amp;B343),Input_Call,0),MATCH(P337,Input_Header,0)))</f>
        <v>0</v>
      </c>
      <c r="Q343" s="21">
        <f>IF(Q337="",0,INDEX(Input_Range,MATCH((C189&amp;B343),Input_Call,0),MATCH(Q337,Input_Header,0)))</f>
        <v>0</v>
      </c>
      <c r="R343" s="698">
        <f t="shared" si="450"/>
        <v>0</v>
      </c>
      <c r="T343" s="699">
        <f t="shared" si="451"/>
        <v>0</v>
      </c>
      <c r="U343" s="699">
        <f t="shared" si="452"/>
        <v>0</v>
      </c>
      <c r="V343" s="699">
        <f t="shared" si="453"/>
        <v>0</v>
      </c>
      <c r="W343" s="699">
        <f t="shared" si="454"/>
        <v>0</v>
      </c>
      <c r="X343" s="699">
        <f t="shared" si="455"/>
        <v>0</v>
      </c>
      <c r="Y343" s="699">
        <f t="shared" si="456"/>
        <v>0</v>
      </c>
      <c r="Z343" s="699">
        <f t="shared" si="457"/>
        <v>0</v>
      </c>
      <c r="AA343" s="699">
        <f t="shared" si="458"/>
        <v>0</v>
      </c>
      <c r="AB343" s="699">
        <f t="shared" si="459"/>
        <v>0</v>
      </c>
      <c r="AC343" s="699">
        <f t="shared" si="460"/>
        <v>0</v>
      </c>
      <c r="AD343" s="699">
        <f t="shared" si="461"/>
        <v>0</v>
      </c>
      <c r="AE343" s="699">
        <f t="shared" si="462"/>
        <v>0</v>
      </c>
      <c r="AF343" s="699">
        <f t="shared" si="463"/>
        <v>0</v>
      </c>
      <c r="AG343" s="699">
        <f t="shared" si="464"/>
        <v>0</v>
      </c>
      <c r="AI343" s="698" t="e">
        <f t="shared" si="447"/>
        <v>#DIV/0!</v>
      </c>
      <c r="AJ343" s="21"/>
      <c r="AK343" s="21"/>
      <c r="AL343" s="4" t="str">
        <f>$A343&amp;$C189&amp;InputSheet!C$46&amp;InputSheet!D$46</f>
        <v>Option Year 12ESDTBD1Contr/Govt</v>
      </c>
      <c r="AM343" s="700" t="e">
        <f t="shared" si="448"/>
        <v>#DIV/0!</v>
      </c>
      <c r="AP343" s="387" t="e">
        <f t="shared" si="442"/>
        <v>#DIV/0!</v>
      </c>
    </row>
    <row r="344" spans="1:42" outlineLevel="1">
      <c r="A344" s="6" t="str">
        <f t="shared" si="449"/>
        <v>Option Year 12</v>
      </c>
      <c r="B344" s="6" t="str">
        <f t="shared" si="445"/>
        <v>TBD2</v>
      </c>
      <c r="E344" s="21">
        <f>IF(E337="",0,INDEX(Input_Range,MATCH((C189&amp;B344),Input_Call,0),MATCH(E337,Input_Header,0)))</f>
        <v>0</v>
      </c>
      <c r="F344" s="21">
        <f>IF(F337="",0,INDEX(Input_Range,MATCH((C189&amp;B344),Input_Call,0),MATCH(F337,Input_Header,0)))</f>
        <v>0</v>
      </c>
      <c r="G344" s="21">
        <f>IF(G337="",0,INDEX(Input_Range,MATCH((C189&amp;B344),Input_Call,0),MATCH(G337,Input_Header,0)))</f>
        <v>0</v>
      </c>
      <c r="H344" s="21">
        <f>IF(H337="",0,INDEX(Input_Range,MATCH((C189&amp;B344),Input_Call,0),MATCH(H337,Input_Header,0)))</f>
        <v>0</v>
      </c>
      <c r="I344" s="21">
        <f>IF(I337="",0,INDEX(Input_Range,MATCH((C189&amp;B344),Input_Call,0),MATCH(I337,Input_Header,0)))</f>
        <v>0</v>
      </c>
      <c r="J344" s="21">
        <f>IF(J337="",0,INDEX(Input_Range,MATCH((C189&amp;B344),Input_Call,0),MATCH(J337,Input_Header,0)))</f>
        <v>0</v>
      </c>
      <c r="K344" s="21">
        <f>IF(K337="",0,INDEX(Input_Range,MATCH((C189&amp;B344),Input_Call,0),MATCH(K337,Input_Header,0)))</f>
        <v>0</v>
      </c>
      <c r="L344" s="21">
        <f>IF(L337="",0,INDEX(Input_Range,MATCH((C189&amp;B344),Input_Call,0),MATCH(L337,Input_Header,0)))</f>
        <v>0</v>
      </c>
      <c r="M344" s="21">
        <f>IF(M337="",0,INDEX(Input_Range,MATCH((C189&amp;B344),Input_Call,0),MATCH(M337,Input_Header,0)))</f>
        <v>0</v>
      </c>
      <c r="N344" s="21">
        <f>IF(N337="",0,INDEX(Input_Range,MATCH((C189&amp;B344),Input_Call,0),MATCH(N337,Input_Header,0)))</f>
        <v>0</v>
      </c>
      <c r="O344" s="21">
        <f>IF(O337="",0,INDEX(Input_Range,MATCH((C189&amp;B344),Input_Call,0),MATCH(O337,Input_Header,0)))</f>
        <v>0</v>
      </c>
      <c r="P344" s="21">
        <f>IF(P337="",0,INDEX(Input_Range,MATCH((C189&amp;B344),Input_Call,0),MATCH(P337,Input_Header,0)))</f>
        <v>0</v>
      </c>
      <c r="Q344" s="21">
        <f>IF(Q337="",0,INDEX(Input_Range,MATCH((C189&amp;B344),Input_Call,0),MATCH(Q337,Input_Header,0)))</f>
        <v>0</v>
      </c>
      <c r="R344" s="698">
        <f t="shared" si="450"/>
        <v>0</v>
      </c>
      <c r="T344" s="699">
        <f t="shared" si="451"/>
        <v>0</v>
      </c>
      <c r="U344" s="699">
        <f t="shared" si="452"/>
        <v>0</v>
      </c>
      <c r="V344" s="699">
        <f t="shared" si="453"/>
        <v>0</v>
      </c>
      <c r="W344" s="699">
        <f t="shared" si="454"/>
        <v>0</v>
      </c>
      <c r="X344" s="699">
        <f t="shared" si="455"/>
        <v>0</v>
      </c>
      <c r="Y344" s="699">
        <f t="shared" si="456"/>
        <v>0</v>
      </c>
      <c r="Z344" s="699">
        <f t="shared" si="457"/>
        <v>0</v>
      </c>
      <c r="AA344" s="699">
        <f t="shared" si="458"/>
        <v>0</v>
      </c>
      <c r="AB344" s="699">
        <f t="shared" si="459"/>
        <v>0</v>
      </c>
      <c r="AC344" s="699">
        <f t="shared" si="460"/>
        <v>0</v>
      </c>
      <c r="AD344" s="699">
        <f t="shared" si="461"/>
        <v>0</v>
      </c>
      <c r="AE344" s="699">
        <f t="shared" si="462"/>
        <v>0</v>
      </c>
      <c r="AF344" s="699">
        <f t="shared" si="463"/>
        <v>0</v>
      </c>
      <c r="AG344" s="699">
        <f t="shared" si="464"/>
        <v>0</v>
      </c>
      <c r="AI344" s="698" t="e">
        <f t="shared" si="447"/>
        <v>#DIV/0!</v>
      </c>
      <c r="AJ344" s="21"/>
      <c r="AK344" s="21"/>
      <c r="AL344" s="4" t="str">
        <f>$A344&amp;$C189&amp;InputSheet!C$47&amp;InputSheet!D$47</f>
        <v>Option Year 12ESDTBD2Contr/Govt</v>
      </c>
      <c r="AM344" s="700" t="e">
        <f t="shared" si="448"/>
        <v>#DIV/0!</v>
      </c>
      <c r="AP344" s="387" t="e">
        <f t="shared" si="442"/>
        <v>#DIV/0!</v>
      </c>
    </row>
    <row r="345" spans="1:42" outlineLevel="1">
      <c r="A345" s="6" t="str">
        <f t="shared" si="449"/>
        <v>Option Year 12</v>
      </c>
      <c r="B345" s="6" t="str">
        <f t="shared" si="445"/>
        <v>TBD3</v>
      </c>
      <c r="E345" s="21">
        <f>IF(E337="",0,INDEX(Input_Range,MATCH((C189&amp;B345),Input_Call,0),MATCH(E337,Input_Header,0)))</f>
        <v>0</v>
      </c>
      <c r="F345" s="21">
        <f>IF(F337="",0,INDEX(Input_Range,MATCH((C189&amp;B345),Input_Call,0),MATCH(F337,Input_Header,0)))</f>
        <v>0</v>
      </c>
      <c r="G345" s="21">
        <f>IF(G337="",0,INDEX(Input_Range,MATCH((C189&amp;B345),Input_Call,0),MATCH(G337,Input_Header,0)))</f>
        <v>0</v>
      </c>
      <c r="H345" s="21">
        <f>IF(H337="",0,INDEX(Input_Range,MATCH((C189&amp;B345),Input_Call,0),MATCH(H337,Input_Header,0)))</f>
        <v>0</v>
      </c>
      <c r="I345" s="21">
        <f>IF(I337="",0,INDEX(Input_Range,MATCH((C189&amp;B345),Input_Call,0),MATCH(I337,Input_Header,0)))</f>
        <v>0</v>
      </c>
      <c r="J345" s="21">
        <f>IF(J337="",0,INDEX(Input_Range,MATCH((C189&amp;B345),Input_Call,0),MATCH(J337,Input_Header,0)))</f>
        <v>0</v>
      </c>
      <c r="K345" s="21">
        <f>IF(K337="",0,INDEX(Input_Range,MATCH((C189&amp;B345),Input_Call,0),MATCH(K337,Input_Header,0)))</f>
        <v>0</v>
      </c>
      <c r="L345" s="21">
        <f>IF(L337="",0,INDEX(Input_Range,MATCH((C189&amp;B345),Input_Call,0),MATCH(L337,Input_Header,0)))</f>
        <v>0</v>
      </c>
      <c r="M345" s="21">
        <f>IF(M337="",0,INDEX(Input_Range,MATCH((C189&amp;B345),Input_Call,0),MATCH(M337,Input_Header,0)))</f>
        <v>0</v>
      </c>
      <c r="N345" s="21">
        <f>IF(N337="",0,INDEX(Input_Range,MATCH((C189&amp;B345),Input_Call,0),MATCH(N337,Input_Header,0)))</f>
        <v>0</v>
      </c>
      <c r="O345" s="21">
        <f>IF(O337="",0,INDEX(Input_Range,MATCH((C189&amp;B345),Input_Call,0),MATCH(O337,Input_Header,0)))</f>
        <v>0</v>
      </c>
      <c r="P345" s="21">
        <f>IF(P337="",0,INDEX(Input_Range,MATCH((C189&amp;B345),Input_Call,0),MATCH(P337,Input_Header,0)))</f>
        <v>0</v>
      </c>
      <c r="Q345" s="21">
        <f>IF(Q337="",0,INDEX(Input_Range,MATCH((C189&amp;B345),Input_Call,0),MATCH(Q337,Input_Header,0)))</f>
        <v>0</v>
      </c>
      <c r="R345" s="698">
        <f t="shared" si="450"/>
        <v>0</v>
      </c>
      <c r="T345" s="699">
        <f t="shared" si="451"/>
        <v>0</v>
      </c>
      <c r="U345" s="699">
        <f t="shared" si="452"/>
        <v>0</v>
      </c>
      <c r="V345" s="699">
        <f t="shared" si="453"/>
        <v>0</v>
      </c>
      <c r="W345" s="699">
        <f t="shared" si="454"/>
        <v>0</v>
      </c>
      <c r="X345" s="699">
        <f t="shared" si="455"/>
        <v>0</v>
      </c>
      <c r="Y345" s="699">
        <f t="shared" si="456"/>
        <v>0</v>
      </c>
      <c r="Z345" s="699">
        <f t="shared" si="457"/>
        <v>0</v>
      </c>
      <c r="AA345" s="699">
        <f t="shared" si="458"/>
        <v>0</v>
      </c>
      <c r="AB345" s="699">
        <f t="shared" si="459"/>
        <v>0</v>
      </c>
      <c r="AC345" s="699">
        <f t="shared" si="460"/>
        <v>0</v>
      </c>
      <c r="AD345" s="699">
        <f t="shared" si="461"/>
        <v>0</v>
      </c>
      <c r="AE345" s="699">
        <f t="shared" si="462"/>
        <v>0</v>
      </c>
      <c r="AF345" s="699">
        <f t="shared" si="463"/>
        <v>0</v>
      </c>
      <c r="AG345" s="699">
        <f t="shared" si="464"/>
        <v>0</v>
      </c>
      <c r="AI345" s="698" t="e">
        <f t="shared" si="447"/>
        <v>#DIV/0!</v>
      </c>
      <c r="AJ345" s="21"/>
      <c r="AK345" s="21"/>
      <c r="AL345" s="4" t="str">
        <f>$A345&amp;$C189&amp;InputSheet!C$48&amp;InputSheet!D$48</f>
        <v>Option Year 12ESDTBD3Contr/Govt</v>
      </c>
      <c r="AM345" s="700" t="e">
        <f t="shared" si="448"/>
        <v>#DIV/0!</v>
      </c>
      <c r="AP345" s="387" t="e">
        <f t="shared" si="442"/>
        <v>#DIV/0!</v>
      </c>
    </row>
    <row r="346" spans="1:42">
      <c r="E346" s="698"/>
      <c r="F346" s="698"/>
      <c r="G346" s="698"/>
      <c r="H346" s="698"/>
      <c r="I346" s="698"/>
      <c r="J346" s="698"/>
      <c r="K346" s="698"/>
      <c r="L346" s="698"/>
      <c r="M346" s="698"/>
      <c r="N346" s="698"/>
      <c r="O346" s="698"/>
      <c r="P346" s="698"/>
      <c r="Q346" s="698"/>
      <c r="R346" s="698"/>
      <c r="AI346" s="21"/>
      <c r="AJ346" s="21"/>
      <c r="AK346" s="21"/>
      <c r="AP346" s="387" t="str">
        <f t="shared" si="442"/>
        <v>1</v>
      </c>
    </row>
    <row r="347" spans="1:42">
      <c r="A347" s="530" t="str">
        <f>B347</f>
        <v>Option Year 13</v>
      </c>
      <c r="B347" s="691" t="str">
        <f>InputSheet!$C$35</f>
        <v>Option Year 13</v>
      </c>
      <c r="AP347" s="387" t="str">
        <f t="shared" si="442"/>
        <v>1</v>
      </c>
    </row>
    <row r="348" spans="1:42">
      <c r="B348" s="314" t="s">
        <v>587</v>
      </c>
      <c r="C348" s="692" t="s">
        <v>588</v>
      </c>
      <c r="E348" s="1216" t="str">
        <f>"Indirect Rates - "&amp;C$189</f>
        <v>Indirect Rates - ESD</v>
      </c>
      <c r="F348" s="1216"/>
      <c r="G348" s="1216"/>
      <c r="H348" s="1216"/>
      <c r="I348" s="1216"/>
      <c r="J348" s="1216"/>
      <c r="K348" s="1216"/>
      <c r="L348" s="1216"/>
      <c r="M348" s="1216"/>
      <c r="N348" s="1216"/>
      <c r="O348" s="1216"/>
      <c r="P348" s="1216"/>
      <c r="Q348" s="1216"/>
      <c r="R348" s="1216"/>
      <c r="S348" s="844"/>
      <c r="T348" s="1217" t="s">
        <v>794</v>
      </c>
      <c r="U348" s="1217"/>
      <c r="V348" s="1217"/>
      <c r="W348" s="1217"/>
      <c r="X348" s="1217"/>
      <c r="Y348" s="1217"/>
      <c r="Z348" s="1217"/>
      <c r="AA348" s="1217"/>
      <c r="AB348" s="1217"/>
      <c r="AC348" s="1217"/>
      <c r="AD348" s="1217"/>
      <c r="AE348" s="1217"/>
      <c r="AF348" s="1217"/>
      <c r="AG348" s="1217"/>
      <c r="AI348" s="692" t="s">
        <v>615</v>
      </c>
      <c r="AJ348" s="50"/>
      <c r="AK348" s="50"/>
      <c r="AP348" s="387" t="str">
        <f t="shared" si="442"/>
        <v>1</v>
      </c>
    </row>
    <row r="349" spans="1:42">
      <c r="B349" s="693">
        <f>VLOOKUP(A347,InputSheet!$C$8:$E$37,2,FALSE)</f>
        <v>2923</v>
      </c>
      <c r="C349" s="694">
        <f>VLOOKUP(A347,InputSheet!$C$8:$E$37,3,FALSE)</f>
        <v>3287</v>
      </c>
      <c r="E349" s="695">
        <f t="shared" ref="E349:R349" si="465">E337</f>
        <v>2009</v>
      </c>
      <c r="F349" s="695">
        <f t="shared" si="465"/>
        <v>2010</v>
      </c>
      <c r="G349" s="695">
        <f t="shared" si="465"/>
        <v>2011</v>
      </c>
      <c r="H349" s="695">
        <f t="shared" si="465"/>
        <v>2012</v>
      </c>
      <c r="I349" s="695">
        <f t="shared" si="465"/>
        <v>2013</v>
      </c>
      <c r="J349" s="695">
        <f t="shared" si="465"/>
        <v>2014</v>
      </c>
      <c r="K349" s="695">
        <f t="shared" si="465"/>
        <v>2015</v>
      </c>
      <c r="L349" s="695">
        <f t="shared" si="465"/>
        <v>2016</v>
      </c>
      <c r="M349" s="695">
        <f t="shared" si="465"/>
        <v>2017</v>
      </c>
      <c r="N349" s="695">
        <f t="shared" si="465"/>
        <v>2018</v>
      </c>
      <c r="O349" s="695">
        <f t="shared" si="465"/>
        <v>2019</v>
      </c>
      <c r="P349" s="695">
        <f t="shared" si="465"/>
        <v>2020</v>
      </c>
      <c r="Q349" s="695">
        <f t="shared" si="465"/>
        <v>2021</v>
      </c>
      <c r="R349" s="695">
        <f t="shared" si="465"/>
        <v>2022</v>
      </c>
      <c r="S349" s="680"/>
      <c r="T349" s="695">
        <f t="shared" ref="T349:AG349" si="466">T337</f>
        <v>2009</v>
      </c>
      <c r="U349" s="695">
        <f t="shared" si="466"/>
        <v>2010</v>
      </c>
      <c r="V349" s="695">
        <f t="shared" si="466"/>
        <v>2011</v>
      </c>
      <c r="W349" s="695">
        <f t="shared" si="466"/>
        <v>2012</v>
      </c>
      <c r="X349" s="695">
        <f t="shared" si="466"/>
        <v>2013</v>
      </c>
      <c r="Y349" s="695">
        <f t="shared" si="466"/>
        <v>2014</v>
      </c>
      <c r="Z349" s="695">
        <f t="shared" si="466"/>
        <v>2015</v>
      </c>
      <c r="AA349" s="695">
        <f t="shared" si="466"/>
        <v>2016</v>
      </c>
      <c r="AB349" s="695">
        <f t="shared" si="466"/>
        <v>2017</v>
      </c>
      <c r="AC349" s="695">
        <f t="shared" si="466"/>
        <v>2018</v>
      </c>
      <c r="AD349" s="695">
        <f t="shared" si="466"/>
        <v>2019</v>
      </c>
      <c r="AE349" s="695">
        <f t="shared" si="466"/>
        <v>2020</v>
      </c>
      <c r="AF349" s="695">
        <f t="shared" si="466"/>
        <v>2021</v>
      </c>
      <c r="AG349" s="695">
        <f t="shared" si="466"/>
        <v>2022</v>
      </c>
      <c r="AI349" s="696" t="str">
        <f>B347</f>
        <v>Option Year 13</v>
      </c>
      <c r="AJ349" s="28"/>
      <c r="AK349" s="28"/>
      <c r="AP349" s="387" t="str">
        <f t="shared" si="442"/>
        <v>1</v>
      </c>
    </row>
    <row r="350" spans="1:42">
      <c r="A350" s="6" t="str">
        <f>A347</f>
        <v>Option Year 13</v>
      </c>
      <c r="B350" s="6" t="str">
        <f t="shared" ref="B350:B357" si="467">B338</f>
        <v>PRB</v>
      </c>
      <c r="E350" s="698">
        <f>IF(E349="",0,INDEX(Input_Range,MATCH((C189&amp;B350),Input_Call,0),MATCH(E349,Input_Header,0)))</f>
        <v>0</v>
      </c>
      <c r="F350" s="698">
        <f>IF(F349="",0,INDEX(Input_Range,MATCH((C189&amp;B350),Input_Call,0),MATCH(F349,Input_Header,0)))</f>
        <v>0</v>
      </c>
      <c r="G350" s="698">
        <f>IF(G349="",0,INDEX(Input_Range,MATCH((C189&amp;B350),Input_Call,0),MATCH(G349,Input_Header,0)))</f>
        <v>0</v>
      </c>
      <c r="H350" s="698">
        <f>IF(H349="",0,INDEX(Input_Range,MATCH((C189&amp;B350),Input_Call,0),MATCH(H349,Input_Header,0)))</f>
        <v>0</v>
      </c>
      <c r="I350" s="698">
        <f>IF(I349="",0,INDEX(Input_Range,MATCH((C189&amp;B350),Input_Call,0),MATCH(I349,Input_Header,0)))</f>
        <v>0</v>
      </c>
      <c r="J350" s="698">
        <f>IF(J349="",0,INDEX(Input_Range,MATCH((C189&amp;B350),Input_Call,0),MATCH(J349,Input_Header,0)))</f>
        <v>0</v>
      </c>
      <c r="K350" s="698">
        <f>IF(K349="",0,INDEX(Input_Range,MATCH((C189&amp;B350),Input_Call,0),MATCH(K349,Input_Header,0)))</f>
        <v>0</v>
      </c>
      <c r="L350" s="698">
        <f>IF(L349="",0,INDEX(Input_Range,MATCH((C189&amp;B350),Input_Call,0),MATCH(L349,Input_Header,0)))</f>
        <v>0</v>
      </c>
      <c r="M350" s="698">
        <f>IF(M349="",0,INDEX(Input_Range,MATCH((C189&amp;B350),Input_Call,0),MATCH(M349,Input_Header,0)))</f>
        <v>0</v>
      </c>
      <c r="N350" s="698">
        <f>IF(N349="",0,INDEX(Input_Range,MATCH((C189&amp;B350),Input_Call,0),MATCH(N349,Input_Header,0)))</f>
        <v>0</v>
      </c>
      <c r="O350" s="698">
        <f>IF(O349="",0,INDEX(Input_Range,MATCH((C189&amp;B350),Input_Call,0),MATCH(O349,Input_Header,0)))</f>
        <v>0</v>
      </c>
      <c r="P350" s="698">
        <f>IF(P349="",0,INDEX(Input_Range,MATCH((C189&amp;B350),Input_Call,0),MATCH(P349,Input_Header,0)))</f>
        <v>0</v>
      </c>
      <c r="Q350" s="698">
        <f>IF(Q349="",0,INDEX(Input_Range,MATCH((C189&amp;B350),Input_Call,0),MATCH(Q349,Input_Header,0)))</f>
        <v>0</v>
      </c>
      <c r="R350" s="698">
        <f>Q350</f>
        <v>0</v>
      </c>
      <c r="T350" s="699">
        <f t="shared" ref="T350:AG350" si="468">ROUND((MAX(0,(MIN($C349,DATE(T349,12,31))-MAX($B349,DATE(T349,1,1))+1)))/30.41667,0)</f>
        <v>0</v>
      </c>
      <c r="U350" s="699">
        <f t="shared" si="468"/>
        <v>0</v>
      </c>
      <c r="V350" s="699">
        <f t="shared" si="468"/>
        <v>0</v>
      </c>
      <c r="W350" s="699">
        <f t="shared" si="468"/>
        <v>0</v>
      </c>
      <c r="X350" s="699">
        <f t="shared" si="468"/>
        <v>0</v>
      </c>
      <c r="Y350" s="699">
        <f t="shared" si="468"/>
        <v>0</v>
      </c>
      <c r="Z350" s="699">
        <f t="shared" si="468"/>
        <v>0</v>
      </c>
      <c r="AA350" s="699">
        <f t="shared" si="468"/>
        <v>0</v>
      </c>
      <c r="AB350" s="699">
        <f t="shared" si="468"/>
        <v>0</v>
      </c>
      <c r="AC350" s="699">
        <f t="shared" si="468"/>
        <v>0</v>
      </c>
      <c r="AD350" s="699">
        <f t="shared" si="468"/>
        <v>0</v>
      </c>
      <c r="AE350" s="699">
        <f t="shared" si="468"/>
        <v>0</v>
      </c>
      <c r="AF350" s="699">
        <f t="shared" si="468"/>
        <v>0</v>
      </c>
      <c r="AG350" s="699">
        <f t="shared" si="468"/>
        <v>0</v>
      </c>
      <c r="AI350" s="698" t="e">
        <f t="shared" ref="AI350:AI357" si="469">ROUND(SUMPRODUCT(E350:R350,T350:AG350)/SUM(T350:AG350),4)</f>
        <v>#DIV/0!</v>
      </c>
      <c r="AJ350" s="698"/>
      <c r="AK350" s="698"/>
      <c r="AL350" s="4" t="str">
        <f>$A350&amp;$C189&amp;InputSheet!C$41&amp;InputSheet!D$41</f>
        <v>Option Year 13ESDPRBContr/Govt</v>
      </c>
      <c r="AM350" s="700" t="e">
        <f t="shared" ref="AM350:AM357" si="470">AI350</f>
        <v>#DIV/0!</v>
      </c>
      <c r="AP350" s="387" t="e">
        <f t="shared" si="442"/>
        <v>#DIV/0!</v>
      </c>
    </row>
    <row r="351" spans="1:42">
      <c r="A351" s="6" t="str">
        <f t="shared" ref="A351:A357" si="471">A350</f>
        <v>Option Year 13</v>
      </c>
      <c r="B351" s="6" t="str">
        <f t="shared" si="467"/>
        <v>Overhead - Offsite</v>
      </c>
      <c r="E351" s="698">
        <f>IF(E349="",0,INDEX(Input_Range,MATCH((C189&amp;B351),Input_Call,0),MATCH(E349,Input_Header,0)))</f>
        <v>0</v>
      </c>
      <c r="F351" s="698">
        <f>IF(F349="",0,INDEX(Input_Range,MATCH((C189&amp;B351),Input_Call,0),MATCH(F349,Input_Header,0)))</f>
        <v>0</v>
      </c>
      <c r="G351" s="698">
        <f>IF(G349="",0,INDEX(Input_Range,MATCH((C189&amp;B351),Input_Call,0),MATCH(G349,Input_Header,0)))</f>
        <v>0</v>
      </c>
      <c r="H351" s="698">
        <f>IF(H349="",0,INDEX(Input_Range,MATCH((C189&amp;B351),Input_Call,0),MATCH(H349,Input_Header,0)))</f>
        <v>0</v>
      </c>
      <c r="I351" s="698">
        <f>IF(I349="",0,INDEX(Input_Range,MATCH((C189&amp;B351),Input_Call,0),MATCH(I349,Input_Header,0)))</f>
        <v>0</v>
      </c>
      <c r="J351" s="698">
        <f>IF(J349="",0,INDEX(Input_Range,MATCH((C189&amp;B351),Input_Call,0),MATCH(J349,Input_Header,0)))</f>
        <v>0</v>
      </c>
      <c r="K351" s="698">
        <f>IF(K349="",0,INDEX(Input_Range,MATCH((C189&amp;B351),Input_Call,0),MATCH(K349,Input_Header,0)))</f>
        <v>0</v>
      </c>
      <c r="L351" s="698">
        <f>IF(L349="",0,INDEX(Input_Range,MATCH((C189&amp;B351),Input_Call,0),MATCH(L349,Input_Header,0)))</f>
        <v>0</v>
      </c>
      <c r="M351" s="698">
        <f>IF(M349="",0,INDEX(Input_Range,MATCH((C189&amp;B351),Input_Call,0),MATCH(M349,Input_Header,0)))</f>
        <v>0</v>
      </c>
      <c r="N351" s="698">
        <f>IF(N349="",0,INDEX(Input_Range,MATCH((C189&amp;B351),Input_Call,0),MATCH(N349,Input_Header,0)))</f>
        <v>0</v>
      </c>
      <c r="O351" s="698">
        <f>IF(O349="",0,INDEX(Input_Range,MATCH((C189&amp;B351),Input_Call,0),MATCH(O349,Input_Header,0)))</f>
        <v>0</v>
      </c>
      <c r="P351" s="698">
        <f>IF(P349="",0,INDEX(Input_Range,MATCH((C189&amp;B351),Input_Call,0),MATCH(P349,Input_Header,0)))</f>
        <v>0</v>
      </c>
      <c r="Q351" s="698">
        <f>IF(Q349="",0,INDEX(Input_Range,MATCH((C189&amp;B351),Input_Call,0),MATCH(Q349,Input_Header,0)))</f>
        <v>0</v>
      </c>
      <c r="R351" s="698">
        <f t="shared" ref="R351:R357" si="472">Q351</f>
        <v>0</v>
      </c>
      <c r="T351" s="699">
        <f t="shared" ref="T351:T357" si="473">T350</f>
        <v>0</v>
      </c>
      <c r="U351" s="699">
        <f t="shared" ref="U351:U357" si="474">U350</f>
        <v>0</v>
      </c>
      <c r="V351" s="699">
        <f t="shared" ref="V351:V357" si="475">V350</f>
        <v>0</v>
      </c>
      <c r="W351" s="699">
        <f t="shared" ref="W351:W357" si="476">W350</f>
        <v>0</v>
      </c>
      <c r="X351" s="699">
        <f t="shared" ref="X351:X357" si="477">X350</f>
        <v>0</v>
      </c>
      <c r="Y351" s="699">
        <f t="shared" ref="Y351:Y357" si="478">Y350</f>
        <v>0</v>
      </c>
      <c r="Z351" s="699">
        <f t="shared" ref="Z351:Z357" si="479">Z350</f>
        <v>0</v>
      </c>
      <c r="AA351" s="699">
        <f t="shared" ref="AA351:AA357" si="480">AA350</f>
        <v>0</v>
      </c>
      <c r="AB351" s="699">
        <f t="shared" ref="AB351:AB357" si="481">AB350</f>
        <v>0</v>
      </c>
      <c r="AC351" s="699">
        <f t="shared" ref="AC351:AC357" si="482">AC350</f>
        <v>0</v>
      </c>
      <c r="AD351" s="699">
        <f t="shared" ref="AD351:AD357" si="483">AD350</f>
        <v>0</v>
      </c>
      <c r="AE351" s="699">
        <f t="shared" ref="AE351:AE357" si="484">AE350</f>
        <v>0</v>
      </c>
      <c r="AF351" s="699">
        <f t="shared" ref="AF351:AF357" si="485">AF350</f>
        <v>0</v>
      </c>
      <c r="AG351" s="699">
        <f t="shared" ref="AG351:AG357" si="486">AG350</f>
        <v>0</v>
      </c>
      <c r="AI351" s="698" t="e">
        <f t="shared" si="469"/>
        <v>#DIV/0!</v>
      </c>
      <c r="AJ351" s="698"/>
      <c r="AK351" s="698"/>
      <c r="AL351" s="4" t="str">
        <f>$A351&amp;$C189&amp;InputSheet!C$42&amp;InputSheet!D$42</f>
        <v>Option Year 13ESDOverheadContr</v>
      </c>
      <c r="AM351" s="700" t="e">
        <f t="shared" si="470"/>
        <v>#DIV/0!</v>
      </c>
      <c r="AP351" s="387" t="e">
        <f t="shared" si="442"/>
        <v>#DIV/0!</v>
      </c>
    </row>
    <row r="352" spans="1:42">
      <c r="A352" s="6" t="str">
        <f t="shared" si="471"/>
        <v>Option Year 13</v>
      </c>
      <c r="B352" s="6" t="str">
        <f t="shared" si="467"/>
        <v>Overhead - Onsite</v>
      </c>
      <c r="E352" s="698">
        <f>IF(E349="",0,INDEX(Input_Range,MATCH((C189&amp;B352),Input_Call,0),MATCH(E349,Input_Header,0)))</f>
        <v>0</v>
      </c>
      <c r="F352" s="698">
        <f>IF(F349="",0,INDEX(Input_Range,MATCH((C189&amp;B352),Input_Call,0),MATCH(F349,Input_Header,0)))</f>
        <v>0</v>
      </c>
      <c r="G352" s="698">
        <f>IF(G349="",0,INDEX(Input_Range,MATCH((C189&amp;B352),Input_Call,0),MATCH(G349,Input_Header,0)))</f>
        <v>0</v>
      </c>
      <c r="H352" s="698">
        <f>IF(H349="",0,INDEX(Input_Range,MATCH((C189&amp;B352),Input_Call,0),MATCH(H349,Input_Header,0)))</f>
        <v>0</v>
      </c>
      <c r="I352" s="698">
        <f>IF(I349="",0,INDEX(Input_Range,MATCH((C189&amp;B352),Input_Call,0),MATCH(I349,Input_Header,0)))</f>
        <v>0</v>
      </c>
      <c r="J352" s="698">
        <f>IF(J349="",0,INDEX(Input_Range,MATCH((C189&amp;B352),Input_Call,0),MATCH(J349,Input_Header,0)))</f>
        <v>0</v>
      </c>
      <c r="K352" s="698">
        <f>IF(K349="",0,INDEX(Input_Range,MATCH((C189&amp;B352),Input_Call,0),MATCH(K349,Input_Header,0)))</f>
        <v>0</v>
      </c>
      <c r="L352" s="698">
        <f>IF(L349="",0,INDEX(Input_Range,MATCH((C189&amp;B352),Input_Call,0),MATCH(L349,Input_Header,0)))</f>
        <v>0</v>
      </c>
      <c r="M352" s="698">
        <f>IF(M349="",0,INDEX(Input_Range,MATCH((C189&amp;B352),Input_Call,0),MATCH(M349,Input_Header,0)))</f>
        <v>0</v>
      </c>
      <c r="N352" s="698">
        <f>IF(N349="",0,INDEX(Input_Range,MATCH((C189&amp;B352),Input_Call,0),MATCH(N349,Input_Header,0)))</f>
        <v>0</v>
      </c>
      <c r="O352" s="698">
        <f>IF(O349="",0,INDEX(Input_Range,MATCH((C189&amp;B352),Input_Call,0),MATCH(O349,Input_Header,0)))</f>
        <v>0</v>
      </c>
      <c r="P352" s="698">
        <f>IF(P349="",0,INDEX(Input_Range,MATCH((C189&amp;B352),Input_Call,0),MATCH(P349,Input_Header,0)))</f>
        <v>0</v>
      </c>
      <c r="Q352" s="698">
        <f>IF(Q349="",0,INDEX(Input_Range,MATCH((C189&amp;B352),Input_Call,0),MATCH(Q349,Input_Header,0)))</f>
        <v>0</v>
      </c>
      <c r="R352" s="698">
        <f t="shared" si="472"/>
        <v>0</v>
      </c>
      <c r="T352" s="699">
        <f t="shared" si="473"/>
        <v>0</v>
      </c>
      <c r="U352" s="699">
        <f t="shared" si="474"/>
        <v>0</v>
      </c>
      <c r="V352" s="699">
        <f t="shared" si="475"/>
        <v>0</v>
      </c>
      <c r="W352" s="699">
        <f t="shared" si="476"/>
        <v>0</v>
      </c>
      <c r="X352" s="699">
        <f t="shared" si="477"/>
        <v>0</v>
      </c>
      <c r="Y352" s="699">
        <f t="shared" si="478"/>
        <v>0</v>
      </c>
      <c r="Z352" s="699">
        <f t="shared" si="479"/>
        <v>0</v>
      </c>
      <c r="AA352" s="699">
        <f t="shared" si="480"/>
        <v>0</v>
      </c>
      <c r="AB352" s="699">
        <f t="shared" si="481"/>
        <v>0</v>
      </c>
      <c r="AC352" s="699">
        <f t="shared" si="482"/>
        <v>0</v>
      </c>
      <c r="AD352" s="699">
        <f t="shared" si="483"/>
        <v>0</v>
      </c>
      <c r="AE352" s="699">
        <f t="shared" si="484"/>
        <v>0</v>
      </c>
      <c r="AF352" s="699">
        <f t="shared" si="485"/>
        <v>0</v>
      </c>
      <c r="AG352" s="699">
        <f t="shared" si="486"/>
        <v>0</v>
      </c>
      <c r="AI352" s="698" t="e">
        <f t="shared" si="469"/>
        <v>#DIV/0!</v>
      </c>
      <c r="AJ352" s="698"/>
      <c r="AK352" s="698"/>
      <c r="AL352" s="4" t="str">
        <f>$A352&amp;$C189&amp;InputSheet!C$43&amp;InputSheet!D$43</f>
        <v>Option Year 13ESDOverheadGovt</v>
      </c>
      <c r="AM352" s="700" t="e">
        <f t="shared" si="470"/>
        <v>#DIV/0!</v>
      </c>
      <c r="AP352" s="387" t="e">
        <f t="shared" si="442"/>
        <v>#DIV/0!</v>
      </c>
    </row>
    <row r="353" spans="1:42">
      <c r="A353" s="6" t="str">
        <f t="shared" si="471"/>
        <v>Option Year 13</v>
      </c>
      <c r="B353" s="6" t="str">
        <f t="shared" si="467"/>
        <v>Material Handling</v>
      </c>
      <c r="E353" s="698">
        <f>IF(E349="",0,INDEX(Input_Range,MATCH((C189&amp;B353),Input_Call,0),MATCH(E349,Input_Header,0)))</f>
        <v>0</v>
      </c>
      <c r="F353" s="698">
        <f>IF(F349="",0,INDEX(Input_Range,MATCH((C189&amp;B353),Input_Call,0),MATCH(F349,Input_Header,0)))</f>
        <v>0</v>
      </c>
      <c r="G353" s="698">
        <f>IF(G349="",0,INDEX(Input_Range,MATCH((C189&amp;B353),Input_Call,0),MATCH(G349,Input_Header,0)))</f>
        <v>0</v>
      </c>
      <c r="H353" s="698">
        <f>IF(H349="",0,INDEX(Input_Range,MATCH((C189&amp;B353),Input_Call,0),MATCH(H349,Input_Header,0)))</f>
        <v>0</v>
      </c>
      <c r="I353" s="698">
        <f>IF(I349="",0,INDEX(Input_Range,MATCH((C189&amp;B353),Input_Call,0),MATCH(I349,Input_Header,0)))</f>
        <v>0</v>
      </c>
      <c r="J353" s="698">
        <f>IF(J349="",0,INDEX(Input_Range,MATCH((C189&amp;B353),Input_Call,0),MATCH(J349,Input_Header,0)))</f>
        <v>0</v>
      </c>
      <c r="K353" s="698">
        <f>IF(K349="",0,INDEX(Input_Range,MATCH((C189&amp;B353),Input_Call,0),MATCH(K349,Input_Header,0)))</f>
        <v>0</v>
      </c>
      <c r="L353" s="698">
        <f>IF(L349="",0,INDEX(Input_Range,MATCH((C189&amp;B353),Input_Call,0),MATCH(L349,Input_Header,0)))</f>
        <v>0</v>
      </c>
      <c r="M353" s="698">
        <f>IF(M349="",0,INDEX(Input_Range,MATCH((C189&amp;B353),Input_Call,0),MATCH(M349,Input_Header,0)))</f>
        <v>0</v>
      </c>
      <c r="N353" s="698">
        <f>IF(N349="",0,INDEX(Input_Range,MATCH((C189&amp;B353),Input_Call,0),MATCH(N349,Input_Header,0)))</f>
        <v>0</v>
      </c>
      <c r="O353" s="698">
        <f>IF(O349="",0,INDEX(Input_Range,MATCH((C189&amp;B353),Input_Call,0),MATCH(O349,Input_Header,0)))</f>
        <v>0</v>
      </c>
      <c r="P353" s="698">
        <f>IF(P349="",0,INDEX(Input_Range,MATCH((C189&amp;B353),Input_Call,0),MATCH(P349,Input_Header,0)))</f>
        <v>0</v>
      </c>
      <c r="Q353" s="698">
        <f>IF(Q349="",0,INDEX(Input_Range,MATCH((C189&amp;B353),Input_Call,0),MATCH(Q349,Input_Header,0)))</f>
        <v>0</v>
      </c>
      <c r="R353" s="698">
        <f t="shared" si="472"/>
        <v>0</v>
      </c>
      <c r="T353" s="699">
        <f t="shared" si="473"/>
        <v>0</v>
      </c>
      <c r="U353" s="699">
        <f t="shared" si="474"/>
        <v>0</v>
      </c>
      <c r="V353" s="699">
        <f t="shared" si="475"/>
        <v>0</v>
      </c>
      <c r="W353" s="699">
        <f t="shared" si="476"/>
        <v>0</v>
      </c>
      <c r="X353" s="699">
        <f t="shared" si="477"/>
        <v>0</v>
      </c>
      <c r="Y353" s="699">
        <f t="shared" si="478"/>
        <v>0</v>
      </c>
      <c r="Z353" s="699">
        <f t="shared" si="479"/>
        <v>0</v>
      </c>
      <c r="AA353" s="699">
        <f t="shared" si="480"/>
        <v>0</v>
      </c>
      <c r="AB353" s="699">
        <f t="shared" si="481"/>
        <v>0</v>
      </c>
      <c r="AC353" s="699">
        <f t="shared" si="482"/>
        <v>0</v>
      </c>
      <c r="AD353" s="699">
        <f t="shared" si="483"/>
        <v>0</v>
      </c>
      <c r="AE353" s="699">
        <f t="shared" si="484"/>
        <v>0</v>
      </c>
      <c r="AF353" s="699">
        <f t="shared" si="485"/>
        <v>0</v>
      </c>
      <c r="AG353" s="699">
        <f t="shared" si="486"/>
        <v>0</v>
      </c>
      <c r="AI353" s="698" t="e">
        <f t="shared" si="469"/>
        <v>#DIV/0!</v>
      </c>
      <c r="AJ353" s="698"/>
      <c r="AK353" s="698"/>
      <c r="AL353" s="4" t="str">
        <f>$A353&amp;$C189&amp;InputSheet!C$44&amp;InputSheet!D$44</f>
        <v>Option Year 13ESDMHContr/Govt</v>
      </c>
      <c r="AM353" s="700" t="e">
        <f t="shared" si="470"/>
        <v>#DIV/0!</v>
      </c>
      <c r="AP353" s="387" t="e">
        <f t="shared" si="442"/>
        <v>#DIV/0!</v>
      </c>
    </row>
    <row r="354" spans="1:42">
      <c r="A354" s="6" t="str">
        <f t="shared" si="471"/>
        <v>Option Year 13</v>
      </c>
      <c r="B354" s="6" t="str">
        <f t="shared" si="467"/>
        <v>G&amp;A</v>
      </c>
      <c r="E354" s="698">
        <f>IF(E349="",0,INDEX(Input_Range,MATCH((C189&amp;B354),Input_Call,0),MATCH(E349,Input_Header,0)))</f>
        <v>0</v>
      </c>
      <c r="F354" s="698">
        <f>IF(F349="",0,INDEX(Input_Range,MATCH((C189&amp;B354),Input_Call,0),MATCH(F349,Input_Header,0)))</f>
        <v>0</v>
      </c>
      <c r="G354" s="698">
        <f>IF(G349="",0,INDEX(Input_Range,MATCH((C189&amp;B354),Input_Call,0),MATCH(G349,Input_Header,0)))</f>
        <v>0</v>
      </c>
      <c r="H354" s="698">
        <f>IF(H349="",0,INDEX(Input_Range,MATCH((C189&amp;B354),Input_Call,0),MATCH(H349,Input_Header,0)))</f>
        <v>0</v>
      </c>
      <c r="I354" s="698">
        <f>IF(I349="",0,INDEX(Input_Range,MATCH((C189&amp;B354),Input_Call,0),MATCH(I349,Input_Header,0)))</f>
        <v>0</v>
      </c>
      <c r="J354" s="698">
        <f>IF(J349="",0,INDEX(Input_Range,MATCH((C189&amp;B354),Input_Call,0),MATCH(J349,Input_Header,0)))</f>
        <v>0</v>
      </c>
      <c r="K354" s="698">
        <f>IF(K349="",0,INDEX(Input_Range,MATCH((C189&amp;B354),Input_Call,0),MATCH(K349,Input_Header,0)))</f>
        <v>0</v>
      </c>
      <c r="L354" s="698">
        <f>IF(L349="",0,INDEX(Input_Range,MATCH((C189&amp;B354),Input_Call,0),MATCH(L349,Input_Header,0)))</f>
        <v>0</v>
      </c>
      <c r="M354" s="698">
        <f>IF(M349="",0,INDEX(Input_Range,MATCH((C189&amp;B354),Input_Call,0),MATCH(M349,Input_Header,0)))</f>
        <v>0</v>
      </c>
      <c r="N354" s="698">
        <f>IF(N349="",0,INDEX(Input_Range,MATCH((C189&amp;B354),Input_Call,0),MATCH(N349,Input_Header,0)))</f>
        <v>0</v>
      </c>
      <c r="O354" s="698">
        <f>IF(O349="",0,INDEX(Input_Range,MATCH((C189&amp;B354),Input_Call,0),MATCH(O349,Input_Header,0)))</f>
        <v>0</v>
      </c>
      <c r="P354" s="698">
        <f>IF(P349="",0,INDEX(Input_Range,MATCH((C189&amp;B354),Input_Call,0),MATCH(P349,Input_Header,0)))</f>
        <v>0</v>
      </c>
      <c r="Q354" s="698">
        <f>IF(Q349="",0,INDEX(Input_Range,MATCH((C189&amp;B354),Input_Call,0),MATCH(Q349,Input_Header,0)))</f>
        <v>0</v>
      </c>
      <c r="R354" s="698">
        <f t="shared" si="472"/>
        <v>0</v>
      </c>
      <c r="T354" s="699">
        <f t="shared" si="473"/>
        <v>0</v>
      </c>
      <c r="U354" s="699">
        <f t="shared" si="474"/>
        <v>0</v>
      </c>
      <c r="V354" s="699">
        <f t="shared" si="475"/>
        <v>0</v>
      </c>
      <c r="W354" s="699">
        <f t="shared" si="476"/>
        <v>0</v>
      </c>
      <c r="X354" s="699">
        <f t="shared" si="477"/>
        <v>0</v>
      </c>
      <c r="Y354" s="699">
        <f t="shared" si="478"/>
        <v>0</v>
      </c>
      <c r="Z354" s="699">
        <f t="shared" si="479"/>
        <v>0</v>
      </c>
      <c r="AA354" s="699">
        <f t="shared" si="480"/>
        <v>0</v>
      </c>
      <c r="AB354" s="699">
        <f t="shared" si="481"/>
        <v>0</v>
      </c>
      <c r="AC354" s="699">
        <f t="shared" si="482"/>
        <v>0</v>
      </c>
      <c r="AD354" s="699">
        <f t="shared" si="483"/>
        <v>0</v>
      </c>
      <c r="AE354" s="699">
        <f t="shared" si="484"/>
        <v>0</v>
      </c>
      <c r="AF354" s="699">
        <f t="shared" si="485"/>
        <v>0</v>
      </c>
      <c r="AG354" s="699">
        <f t="shared" si="486"/>
        <v>0</v>
      </c>
      <c r="AI354" s="698" t="e">
        <f t="shared" si="469"/>
        <v>#DIV/0!</v>
      </c>
      <c r="AJ354" s="698"/>
      <c r="AK354" s="698"/>
      <c r="AL354" s="4" t="str">
        <f>$A354&amp;$C189&amp;InputSheet!C$45&amp;InputSheet!D$45</f>
        <v>Option Year 13ESDG&amp;AContr/Govt</v>
      </c>
      <c r="AM354" s="700" t="e">
        <f t="shared" si="470"/>
        <v>#DIV/0!</v>
      </c>
      <c r="AP354" s="387" t="e">
        <f t="shared" si="442"/>
        <v>#DIV/0!</v>
      </c>
    </row>
    <row r="355" spans="1:42" outlineLevel="1">
      <c r="A355" s="6" t="str">
        <f t="shared" si="471"/>
        <v>Option Year 13</v>
      </c>
      <c r="B355" s="6" t="str">
        <f t="shared" si="467"/>
        <v>TBD1</v>
      </c>
      <c r="E355" s="21">
        <f>IF(E349="",0,INDEX(Input_Range,MATCH((C189&amp;B355),Input_Call,0),MATCH(E349,Input_Header,0)))</f>
        <v>0</v>
      </c>
      <c r="F355" s="21">
        <f>IF(F349="",0,INDEX(Input_Range,MATCH((C189&amp;B355),Input_Call,0),MATCH(F349,Input_Header,0)))</f>
        <v>0</v>
      </c>
      <c r="G355" s="21">
        <f>IF(G349="",0,INDEX(Input_Range,MATCH((C189&amp;B355),Input_Call,0),MATCH(G349,Input_Header,0)))</f>
        <v>0</v>
      </c>
      <c r="H355" s="21">
        <f>IF(H349="",0,INDEX(Input_Range,MATCH((C189&amp;B355),Input_Call,0),MATCH(H349,Input_Header,0)))</f>
        <v>0</v>
      </c>
      <c r="I355" s="21">
        <f>IF(I349="",0,INDEX(Input_Range,MATCH((C189&amp;B355),Input_Call,0),MATCH(I349,Input_Header,0)))</f>
        <v>0</v>
      </c>
      <c r="J355" s="21">
        <f>IF(J349="",0,INDEX(Input_Range,MATCH((C189&amp;B355),Input_Call,0),MATCH(J349,Input_Header,0)))</f>
        <v>0</v>
      </c>
      <c r="K355" s="21">
        <f>IF(K349="",0,INDEX(Input_Range,MATCH((C189&amp;B355),Input_Call,0),MATCH(K349,Input_Header,0)))</f>
        <v>0</v>
      </c>
      <c r="L355" s="21">
        <f>IF(L349="",0,INDEX(Input_Range,MATCH((C189&amp;B355),Input_Call,0),MATCH(L349,Input_Header,0)))</f>
        <v>0</v>
      </c>
      <c r="M355" s="21">
        <f>IF(M349="",0,INDEX(Input_Range,MATCH((C189&amp;B355),Input_Call,0),MATCH(M349,Input_Header,0)))</f>
        <v>0</v>
      </c>
      <c r="N355" s="21">
        <f>IF(N349="",0,INDEX(Input_Range,MATCH((C189&amp;B355),Input_Call,0),MATCH(N349,Input_Header,0)))</f>
        <v>0</v>
      </c>
      <c r="O355" s="21">
        <f>IF(O349="",0,INDEX(Input_Range,MATCH((C189&amp;B355),Input_Call,0),MATCH(O349,Input_Header,0)))</f>
        <v>0</v>
      </c>
      <c r="P355" s="21">
        <f>IF(P349="",0,INDEX(Input_Range,MATCH((C189&amp;B355),Input_Call,0),MATCH(P349,Input_Header,0)))</f>
        <v>0</v>
      </c>
      <c r="Q355" s="21">
        <f>IF(Q349="",0,INDEX(Input_Range,MATCH((C189&amp;B355),Input_Call,0),MATCH(Q349,Input_Header,0)))</f>
        <v>0</v>
      </c>
      <c r="R355" s="698">
        <f t="shared" si="472"/>
        <v>0</v>
      </c>
      <c r="T355" s="699">
        <f t="shared" si="473"/>
        <v>0</v>
      </c>
      <c r="U355" s="699">
        <f t="shared" si="474"/>
        <v>0</v>
      </c>
      <c r="V355" s="699">
        <f t="shared" si="475"/>
        <v>0</v>
      </c>
      <c r="W355" s="699">
        <f t="shared" si="476"/>
        <v>0</v>
      </c>
      <c r="X355" s="699">
        <f t="shared" si="477"/>
        <v>0</v>
      </c>
      <c r="Y355" s="699">
        <f t="shared" si="478"/>
        <v>0</v>
      </c>
      <c r="Z355" s="699">
        <f t="shared" si="479"/>
        <v>0</v>
      </c>
      <c r="AA355" s="699">
        <f t="shared" si="480"/>
        <v>0</v>
      </c>
      <c r="AB355" s="699">
        <f t="shared" si="481"/>
        <v>0</v>
      </c>
      <c r="AC355" s="699">
        <f t="shared" si="482"/>
        <v>0</v>
      </c>
      <c r="AD355" s="699">
        <f t="shared" si="483"/>
        <v>0</v>
      </c>
      <c r="AE355" s="699">
        <f t="shared" si="484"/>
        <v>0</v>
      </c>
      <c r="AF355" s="699">
        <f t="shared" si="485"/>
        <v>0</v>
      </c>
      <c r="AG355" s="699">
        <f t="shared" si="486"/>
        <v>0</v>
      </c>
      <c r="AI355" s="698" t="e">
        <f t="shared" si="469"/>
        <v>#DIV/0!</v>
      </c>
      <c r="AJ355" s="21"/>
      <c r="AK355" s="21"/>
      <c r="AL355" s="4" t="str">
        <f>$A355&amp;$C189&amp;InputSheet!C$46&amp;InputSheet!D$46</f>
        <v>Option Year 13ESDTBD1Contr/Govt</v>
      </c>
      <c r="AM355" s="700" t="e">
        <f t="shared" si="470"/>
        <v>#DIV/0!</v>
      </c>
      <c r="AP355" s="387" t="e">
        <f t="shared" si="442"/>
        <v>#DIV/0!</v>
      </c>
    </row>
    <row r="356" spans="1:42" outlineLevel="1">
      <c r="A356" s="6" t="str">
        <f t="shared" si="471"/>
        <v>Option Year 13</v>
      </c>
      <c r="B356" s="6" t="str">
        <f t="shared" si="467"/>
        <v>TBD2</v>
      </c>
      <c r="E356" s="21">
        <f>IF(E349="",0,INDEX(Input_Range,MATCH((C189&amp;B356),Input_Call,0),MATCH(E349,Input_Header,0)))</f>
        <v>0</v>
      </c>
      <c r="F356" s="21">
        <f>IF(F349="",0,INDEX(Input_Range,MATCH((C189&amp;B356),Input_Call,0),MATCH(F349,Input_Header,0)))</f>
        <v>0</v>
      </c>
      <c r="G356" s="21">
        <f>IF(G349="",0,INDEX(Input_Range,MATCH((C189&amp;B356),Input_Call,0),MATCH(G349,Input_Header,0)))</f>
        <v>0</v>
      </c>
      <c r="H356" s="21">
        <f>IF(H349="",0,INDEX(Input_Range,MATCH((C189&amp;B356),Input_Call,0),MATCH(H349,Input_Header,0)))</f>
        <v>0</v>
      </c>
      <c r="I356" s="21">
        <f>IF(I349="",0,INDEX(Input_Range,MATCH((C189&amp;B356),Input_Call,0),MATCH(I349,Input_Header,0)))</f>
        <v>0</v>
      </c>
      <c r="J356" s="21">
        <f>IF(J349="",0,INDEX(Input_Range,MATCH((C189&amp;B356),Input_Call,0),MATCH(J349,Input_Header,0)))</f>
        <v>0</v>
      </c>
      <c r="K356" s="21">
        <f>IF(K349="",0,INDEX(Input_Range,MATCH((C189&amp;B356),Input_Call,0),MATCH(K349,Input_Header,0)))</f>
        <v>0</v>
      </c>
      <c r="L356" s="21">
        <f>IF(L349="",0,INDEX(Input_Range,MATCH((C189&amp;B356),Input_Call,0),MATCH(L349,Input_Header,0)))</f>
        <v>0</v>
      </c>
      <c r="M356" s="21">
        <f>IF(M349="",0,INDEX(Input_Range,MATCH((C189&amp;B356),Input_Call,0),MATCH(M349,Input_Header,0)))</f>
        <v>0</v>
      </c>
      <c r="N356" s="21">
        <f>IF(N349="",0,INDEX(Input_Range,MATCH((C189&amp;B356),Input_Call,0),MATCH(N349,Input_Header,0)))</f>
        <v>0</v>
      </c>
      <c r="O356" s="21">
        <f>IF(O349="",0,INDEX(Input_Range,MATCH((C189&amp;B356),Input_Call,0),MATCH(O349,Input_Header,0)))</f>
        <v>0</v>
      </c>
      <c r="P356" s="21">
        <f>IF(P349="",0,INDEX(Input_Range,MATCH((C189&amp;B356),Input_Call,0),MATCH(P349,Input_Header,0)))</f>
        <v>0</v>
      </c>
      <c r="Q356" s="21">
        <f>IF(Q349="",0,INDEX(Input_Range,MATCH((C189&amp;B356),Input_Call,0),MATCH(Q349,Input_Header,0)))</f>
        <v>0</v>
      </c>
      <c r="R356" s="698">
        <f t="shared" si="472"/>
        <v>0</v>
      </c>
      <c r="T356" s="699">
        <f t="shared" si="473"/>
        <v>0</v>
      </c>
      <c r="U356" s="699">
        <f t="shared" si="474"/>
        <v>0</v>
      </c>
      <c r="V356" s="699">
        <f t="shared" si="475"/>
        <v>0</v>
      </c>
      <c r="W356" s="699">
        <f t="shared" si="476"/>
        <v>0</v>
      </c>
      <c r="X356" s="699">
        <f t="shared" si="477"/>
        <v>0</v>
      </c>
      <c r="Y356" s="699">
        <f t="shared" si="478"/>
        <v>0</v>
      </c>
      <c r="Z356" s="699">
        <f t="shared" si="479"/>
        <v>0</v>
      </c>
      <c r="AA356" s="699">
        <f t="shared" si="480"/>
        <v>0</v>
      </c>
      <c r="AB356" s="699">
        <f t="shared" si="481"/>
        <v>0</v>
      </c>
      <c r="AC356" s="699">
        <f t="shared" si="482"/>
        <v>0</v>
      </c>
      <c r="AD356" s="699">
        <f t="shared" si="483"/>
        <v>0</v>
      </c>
      <c r="AE356" s="699">
        <f t="shared" si="484"/>
        <v>0</v>
      </c>
      <c r="AF356" s="699">
        <f t="shared" si="485"/>
        <v>0</v>
      </c>
      <c r="AG356" s="699">
        <f t="shared" si="486"/>
        <v>0</v>
      </c>
      <c r="AI356" s="698" t="e">
        <f t="shared" si="469"/>
        <v>#DIV/0!</v>
      </c>
      <c r="AJ356" s="21"/>
      <c r="AK356" s="21"/>
      <c r="AL356" s="4" t="str">
        <f>$A356&amp;$C189&amp;InputSheet!C$47&amp;InputSheet!D$47</f>
        <v>Option Year 13ESDTBD2Contr/Govt</v>
      </c>
      <c r="AM356" s="700" t="e">
        <f t="shared" si="470"/>
        <v>#DIV/0!</v>
      </c>
      <c r="AP356" s="387" t="e">
        <f t="shared" si="442"/>
        <v>#DIV/0!</v>
      </c>
    </row>
    <row r="357" spans="1:42" outlineLevel="1">
      <c r="A357" s="6" t="str">
        <f t="shared" si="471"/>
        <v>Option Year 13</v>
      </c>
      <c r="B357" s="6" t="str">
        <f t="shared" si="467"/>
        <v>TBD3</v>
      </c>
      <c r="E357" s="21">
        <f>IF(E349="",0,INDEX(Input_Range,MATCH((C189&amp;B357),Input_Call,0),MATCH(E349,Input_Header,0)))</f>
        <v>0</v>
      </c>
      <c r="F357" s="21">
        <f>IF(F349="",0,INDEX(Input_Range,MATCH((C189&amp;B357),Input_Call,0),MATCH(F349,Input_Header,0)))</f>
        <v>0</v>
      </c>
      <c r="G357" s="21">
        <f>IF(G349="",0,INDEX(Input_Range,MATCH((C189&amp;B357),Input_Call,0),MATCH(G349,Input_Header,0)))</f>
        <v>0</v>
      </c>
      <c r="H357" s="21">
        <f>IF(H349="",0,INDEX(Input_Range,MATCH((C189&amp;B357),Input_Call,0),MATCH(H349,Input_Header,0)))</f>
        <v>0</v>
      </c>
      <c r="I357" s="21">
        <f>IF(I349="",0,INDEX(Input_Range,MATCH((C189&amp;B357),Input_Call,0),MATCH(I349,Input_Header,0)))</f>
        <v>0</v>
      </c>
      <c r="J357" s="21">
        <f>IF(J349="",0,INDEX(Input_Range,MATCH((C189&amp;B357),Input_Call,0),MATCH(J349,Input_Header,0)))</f>
        <v>0</v>
      </c>
      <c r="K357" s="21">
        <f>IF(K349="",0,INDEX(Input_Range,MATCH((C189&amp;B357),Input_Call,0),MATCH(K349,Input_Header,0)))</f>
        <v>0</v>
      </c>
      <c r="L357" s="21">
        <f>IF(L349="",0,INDEX(Input_Range,MATCH((C189&amp;B357),Input_Call,0),MATCH(L349,Input_Header,0)))</f>
        <v>0</v>
      </c>
      <c r="M357" s="21">
        <f>IF(M349="",0,INDEX(Input_Range,MATCH((C189&amp;B357),Input_Call,0),MATCH(M349,Input_Header,0)))</f>
        <v>0</v>
      </c>
      <c r="N357" s="21">
        <f>IF(N349="",0,INDEX(Input_Range,MATCH((C189&amp;B357),Input_Call,0),MATCH(N349,Input_Header,0)))</f>
        <v>0</v>
      </c>
      <c r="O357" s="21">
        <f>IF(O349="",0,INDEX(Input_Range,MATCH((C189&amp;B357),Input_Call,0),MATCH(O349,Input_Header,0)))</f>
        <v>0</v>
      </c>
      <c r="P357" s="21">
        <f>IF(P349="",0,INDEX(Input_Range,MATCH((C189&amp;B357),Input_Call,0),MATCH(P349,Input_Header,0)))</f>
        <v>0</v>
      </c>
      <c r="Q357" s="21">
        <f>IF(Q349="",0,INDEX(Input_Range,MATCH((C189&amp;B357),Input_Call,0),MATCH(Q349,Input_Header,0)))</f>
        <v>0</v>
      </c>
      <c r="R357" s="698">
        <f t="shared" si="472"/>
        <v>0</v>
      </c>
      <c r="T357" s="699">
        <f t="shared" si="473"/>
        <v>0</v>
      </c>
      <c r="U357" s="699">
        <f t="shared" si="474"/>
        <v>0</v>
      </c>
      <c r="V357" s="699">
        <f t="shared" si="475"/>
        <v>0</v>
      </c>
      <c r="W357" s="699">
        <f t="shared" si="476"/>
        <v>0</v>
      </c>
      <c r="X357" s="699">
        <f t="shared" si="477"/>
        <v>0</v>
      </c>
      <c r="Y357" s="699">
        <f t="shared" si="478"/>
        <v>0</v>
      </c>
      <c r="Z357" s="699">
        <f t="shared" si="479"/>
        <v>0</v>
      </c>
      <c r="AA357" s="699">
        <f t="shared" si="480"/>
        <v>0</v>
      </c>
      <c r="AB357" s="699">
        <f t="shared" si="481"/>
        <v>0</v>
      </c>
      <c r="AC357" s="699">
        <f t="shared" si="482"/>
        <v>0</v>
      </c>
      <c r="AD357" s="699">
        <f t="shared" si="483"/>
        <v>0</v>
      </c>
      <c r="AE357" s="699">
        <f t="shared" si="484"/>
        <v>0</v>
      </c>
      <c r="AF357" s="699">
        <f t="shared" si="485"/>
        <v>0</v>
      </c>
      <c r="AG357" s="699">
        <f t="shared" si="486"/>
        <v>0</v>
      </c>
      <c r="AI357" s="698" t="e">
        <f t="shared" si="469"/>
        <v>#DIV/0!</v>
      </c>
      <c r="AJ357" s="21"/>
      <c r="AK357" s="21"/>
      <c r="AL357" s="4" t="str">
        <f>$A357&amp;$C189&amp;InputSheet!C$48&amp;InputSheet!D$48</f>
        <v>Option Year 13ESDTBD3Contr/Govt</v>
      </c>
      <c r="AM357" s="700" t="e">
        <f t="shared" si="470"/>
        <v>#DIV/0!</v>
      </c>
      <c r="AP357" s="387" t="e">
        <f t="shared" si="442"/>
        <v>#DIV/0!</v>
      </c>
    </row>
    <row r="358" spans="1:42">
      <c r="E358" s="698"/>
      <c r="F358" s="698"/>
      <c r="G358" s="698"/>
      <c r="H358" s="698"/>
      <c r="I358" s="698"/>
      <c r="J358" s="698"/>
      <c r="K358" s="698"/>
      <c r="L358" s="698"/>
      <c r="M358" s="698"/>
      <c r="N358" s="698"/>
      <c r="O358" s="698"/>
      <c r="P358" s="698"/>
      <c r="Q358" s="698"/>
      <c r="R358" s="698"/>
      <c r="AI358" s="21"/>
      <c r="AJ358" s="21"/>
      <c r="AK358" s="21"/>
      <c r="AP358" s="387" t="str">
        <f t="shared" si="442"/>
        <v>1</v>
      </c>
    </row>
    <row r="359" spans="1:42">
      <c r="A359" s="530" t="str">
        <f>B359</f>
        <v>Option Year 14</v>
      </c>
      <c r="B359" s="691" t="str">
        <f>InputSheet!$C$36</f>
        <v>Option Year 14</v>
      </c>
      <c r="AP359" s="387" t="str">
        <f t="shared" si="442"/>
        <v>1</v>
      </c>
    </row>
    <row r="360" spans="1:42">
      <c r="B360" s="314" t="s">
        <v>587</v>
      </c>
      <c r="C360" s="692" t="s">
        <v>588</v>
      </c>
      <c r="E360" s="1216" t="str">
        <f>"Indirect Rates - "&amp;C$189</f>
        <v>Indirect Rates - ESD</v>
      </c>
      <c r="F360" s="1216"/>
      <c r="G360" s="1216"/>
      <c r="H360" s="1216"/>
      <c r="I360" s="1216"/>
      <c r="J360" s="1216"/>
      <c r="K360" s="1216"/>
      <c r="L360" s="1216"/>
      <c r="M360" s="1216"/>
      <c r="N360" s="1216"/>
      <c r="O360" s="1216"/>
      <c r="P360" s="1216"/>
      <c r="Q360" s="1216"/>
      <c r="R360" s="1216"/>
      <c r="S360" s="844"/>
      <c r="T360" s="1217" t="s">
        <v>794</v>
      </c>
      <c r="U360" s="1217"/>
      <c r="V360" s="1217"/>
      <c r="W360" s="1217"/>
      <c r="X360" s="1217"/>
      <c r="Y360" s="1217"/>
      <c r="Z360" s="1217"/>
      <c r="AA360" s="1217"/>
      <c r="AB360" s="1217"/>
      <c r="AC360" s="1217"/>
      <c r="AD360" s="1217"/>
      <c r="AE360" s="1217"/>
      <c r="AF360" s="1217"/>
      <c r="AG360" s="1217"/>
      <c r="AI360" s="692" t="s">
        <v>615</v>
      </c>
      <c r="AJ360" s="50"/>
      <c r="AK360" s="50"/>
      <c r="AP360" s="387" t="str">
        <f t="shared" si="442"/>
        <v>1</v>
      </c>
    </row>
    <row r="361" spans="1:42">
      <c r="B361" s="693">
        <f>VLOOKUP(A359,InputSheet!$C$8:$E$37,2,FALSE)</f>
        <v>3288</v>
      </c>
      <c r="C361" s="694">
        <f>VLOOKUP(A359,InputSheet!$C$8:$E$37,3,FALSE)</f>
        <v>3652</v>
      </c>
      <c r="E361" s="695">
        <f t="shared" ref="E361:R361" si="487">E349</f>
        <v>2009</v>
      </c>
      <c r="F361" s="695">
        <f t="shared" si="487"/>
        <v>2010</v>
      </c>
      <c r="G361" s="695">
        <f t="shared" si="487"/>
        <v>2011</v>
      </c>
      <c r="H361" s="695">
        <f t="shared" si="487"/>
        <v>2012</v>
      </c>
      <c r="I361" s="695">
        <f t="shared" si="487"/>
        <v>2013</v>
      </c>
      <c r="J361" s="695">
        <f t="shared" si="487"/>
        <v>2014</v>
      </c>
      <c r="K361" s="695">
        <f t="shared" si="487"/>
        <v>2015</v>
      </c>
      <c r="L361" s="695">
        <f t="shared" si="487"/>
        <v>2016</v>
      </c>
      <c r="M361" s="695">
        <f t="shared" si="487"/>
        <v>2017</v>
      </c>
      <c r="N361" s="695">
        <f t="shared" si="487"/>
        <v>2018</v>
      </c>
      <c r="O361" s="695">
        <f t="shared" si="487"/>
        <v>2019</v>
      </c>
      <c r="P361" s="695">
        <f t="shared" si="487"/>
        <v>2020</v>
      </c>
      <c r="Q361" s="695">
        <f t="shared" si="487"/>
        <v>2021</v>
      </c>
      <c r="R361" s="695">
        <f t="shared" si="487"/>
        <v>2022</v>
      </c>
      <c r="S361" s="680"/>
      <c r="T361" s="695">
        <f t="shared" ref="T361:AG361" si="488">T349</f>
        <v>2009</v>
      </c>
      <c r="U361" s="695">
        <f t="shared" si="488"/>
        <v>2010</v>
      </c>
      <c r="V361" s="695">
        <f t="shared" si="488"/>
        <v>2011</v>
      </c>
      <c r="W361" s="695">
        <f t="shared" si="488"/>
        <v>2012</v>
      </c>
      <c r="X361" s="695">
        <f t="shared" si="488"/>
        <v>2013</v>
      </c>
      <c r="Y361" s="695">
        <f t="shared" si="488"/>
        <v>2014</v>
      </c>
      <c r="Z361" s="695">
        <f t="shared" si="488"/>
        <v>2015</v>
      </c>
      <c r="AA361" s="695">
        <f t="shared" si="488"/>
        <v>2016</v>
      </c>
      <c r="AB361" s="695">
        <f t="shared" si="488"/>
        <v>2017</v>
      </c>
      <c r="AC361" s="695">
        <f t="shared" si="488"/>
        <v>2018</v>
      </c>
      <c r="AD361" s="695">
        <f t="shared" si="488"/>
        <v>2019</v>
      </c>
      <c r="AE361" s="695">
        <f t="shared" si="488"/>
        <v>2020</v>
      </c>
      <c r="AF361" s="695">
        <f t="shared" si="488"/>
        <v>2021</v>
      </c>
      <c r="AG361" s="695">
        <f t="shared" si="488"/>
        <v>2022</v>
      </c>
      <c r="AI361" s="696" t="str">
        <f>B359</f>
        <v>Option Year 14</v>
      </c>
      <c r="AJ361" s="28"/>
      <c r="AK361" s="28"/>
      <c r="AP361" s="387" t="str">
        <f t="shared" si="442"/>
        <v>1</v>
      </c>
    </row>
    <row r="362" spans="1:42">
      <c r="A362" s="6" t="str">
        <f>A359</f>
        <v>Option Year 14</v>
      </c>
      <c r="B362" s="6" t="str">
        <f t="shared" ref="B362:B369" si="489">B350</f>
        <v>PRB</v>
      </c>
      <c r="E362" s="698">
        <f>IF(E361="",0,INDEX(Input_Range,MATCH((C189&amp;B362),Input_Call,0),MATCH(E361,Input_Header,0)))</f>
        <v>0</v>
      </c>
      <c r="F362" s="698">
        <f>IF(F361="",0,INDEX(Input_Range,MATCH((C189&amp;B362),Input_Call,0),MATCH(F361,Input_Header,0)))</f>
        <v>0</v>
      </c>
      <c r="G362" s="698">
        <f>IF(G361="",0,INDEX(Input_Range,MATCH((C189&amp;B362),Input_Call,0),MATCH(G361,Input_Header,0)))</f>
        <v>0</v>
      </c>
      <c r="H362" s="698">
        <f>IF(H361="",0,INDEX(Input_Range,MATCH((C189&amp;B362),Input_Call,0),MATCH(H361,Input_Header,0)))</f>
        <v>0</v>
      </c>
      <c r="I362" s="698">
        <f>IF(I361="",0,INDEX(Input_Range,MATCH((C189&amp;B362),Input_Call,0),MATCH(I361,Input_Header,0)))</f>
        <v>0</v>
      </c>
      <c r="J362" s="698">
        <f>IF(J361="",0,INDEX(Input_Range,MATCH((C189&amp;B362),Input_Call,0),MATCH(J361,Input_Header,0)))</f>
        <v>0</v>
      </c>
      <c r="K362" s="698">
        <f>IF(K361="",0,INDEX(Input_Range,MATCH((C189&amp;B362),Input_Call,0),MATCH(K361,Input_Header,0)))</f>
        <v>0</v>
      </c>
      <c r="L362" s="698">
        <f>IF(L361="",0,INDEX(Input_Range,MATCH((C189&amp;B362),Input_Call,0),MATCH(L361,Input_Header,0)))</f>
        <v>0</v>
      </c>
      <c r="M362" s="698">
        <f>IF(M361="",0,INDEX(Input_Range,MATCH((C189&amp;B362),Input_Call,0),MATCH(M361,Input_Header,0)))</f>
        <v>0</v>
      </c>
      <c r="N362" s="698">
        <f>IF(N361="",0,INDEX(Input_Range,MATCH((C189&amp;B362),Input_Call,0),MATCH(N361,Input_Header,0)))</f>
        <v>0</v>
      </c>
      <c r="O362" s="698">
        <f>IF(O361="",0,INDEX(Input_Range,MATCH((C189&amp;B362),Input_Call,0),MATCH(O361,Input_Header,0)))</f>
        <v>0</v>
      </c>
      <c r="P362" s="698">
        <f>IF(P361="",0,INDEX(Input_Range,MATCH((C189&amp;B362),Input_Call,0),MATCH(P361,Input_Header,0)))</f>
        <v>0</v>
      </c>
      <c r="Q362" s="698">
        <f>IF(Q361="",0,INDEX(Input_Range,MATCH((C189&amp;B362),Input_Call,0),MATCH(Q361,Input_Header,0)))</f>
        <v>0</v>
      </c>
      <c r="R362" s="698">
        <f>Q362</f>
        <v>0</v>
      </c>
      <c r="T362" s="699">
        <f t="shared" ref="T362:AG362" si="490">ROUND((MAX(0,(MIN($C361,DATE(T361,12,31))-MAX($B361,DATE(T361,1,1))+1)))/30.41667,0)</f>
        <v>0</v>
      </c>
      <c r="U362" s="699">
        <f t="shared" si="490"/>
        <v>0</v>
      </c>
      <c r="V362" s="699">
        <f t="shared" si="490"/>
        <v>0</v>
      </c>
      <c r="W362" s="699">
        <f t="shared" si="490"/>
        <v>0</v>
      </c>
      <c r="X362" s="699">
        <f t="shared" si="490"/>
        <v>0</v>
      </c>
      <c r="Y362" s="699">
        <f t="shared" si="490"/>
        <v>0</v>
      </c>
      <c r="Z362" s="699">
        <f t="shared" si="490"/>
        <v>0</v>
      </c>
      <c r="AA362" s="699">
        <f t="shared" si="490"/>
        <v>0</v>
      </c>
      <c r="AB362" s="699">
        <f t="shared" si="490"/>
        <v>0</v>
      </c>
      <c r="AC362" s="699">
        <f t="shared" si="490"/>
        <v>0</v>
      </c>
      <c r="AD362" s="699">
        <f t="shared" si="490"/>
        <v>0</v>
      </c>
      <c r="AE362" s="699">
        <f t="shared" si="490"/>
        <v>0</v>
      </c>
      <c r="AF362" s="699">
        <f t="shared" si="490"/>
        <v>0</v>
      </c>
      <c r="AG362" s="699">
        <f t="shared" si="490"/>
        <v>0</v>
      </c>
      <c r="AI362" s="698" t="e">
        <f t="shared" ref="AI362:AI369" si="491">ROUND(SUMPRODUCT(E362:R362,T362:AG362)/SUM(T362:AG362),4)</f>
        <v>#DIV/0!</v>
      </c>
      <c r="AJ362" s="698"/>
      <c r="AK362" s="698"/>
      <c r="AL362" s="4" t="str">
        <f>$A362&amp;$C189&amp;InputSheet!C$41&amp;InputSheet!D$41</f>
        <v>Option Year 14ESDPRBContr/Govt</v>
      </c>
      <c r="AM362" s="700" t="e">
        <f t="shared" ref="AM362:AM369" si="492">AI362</f>
        <v>#DIV/0!</v>
      </c>
      <c r="AP362" s="387" t="e">
        <f t="shared" si="442"/>
        <v>#DIV/0!</v>
      </c>
    </row>
    <row r="363" spans="1:42">
      <c r="A363" s="6" t="str">
        <f t="shared" ref="A363:A369" si="493">A362</f>
        <v>Option Year 14</v>
      </c>
      <c r="B363" s="6" t="str">
        <f t="shared" si="489"/>
        <v>Overhead - Offsite</v>
      </c>
      <c r="E363" s="698">
        <f>IF(E361="",0,INDEX(Input_Range,MATCH((C189&amp;B363),Input_Call,0),MATCH(E361,Input_Header,0)))</f>
        <v>0</v>
      </c>
      <c r="F363" s="698">
        <f>IF(F361="",0,INDEX(Input_Range,MATCH((C189&amp;B363),Input_Call,0),MATCH(F361,Input_Header,0)))</f>
        <v>0</v>
      </c>
      <c r="G363" s="698">
        <f>IF(G361="",0,INDEX(Input_Range,MATCH((C189&amp;B363),Input_Call,0),MATCH(G361,Input_Header,0)))</f>
        <v>0</v>
      </c>
      <c r="H363" s="698">
        <f>IF(H361="",0,INDEX(Input_Range,MATCH((C189&amp;B363),Input_Call,0),MATCH(H361,Input_Header,0)))</f>
        <v>0</v>
      </c>
      <c r="I363" s="698">
        <f>IF(I361="",0,INDEX(Input_Range,MATCH((C189&amp;B363),Input_Call,0),MATCH(I361,Input_Header,0)))</f>
        <v>0</v>
      </c>
      <c r="J363" s="698">
        <f>IF(J361="",0,INDEX(Input_Range,MATCH((C189&amp;B363),Input_Call,0),MATCH(J361,Input_Header,0)))</f>
        <v>0</v>
      </c>
      <c r="K363" s="698">
        <f>IF(K361="",0,INDEX(Input_Range,MATCH((C189&amp;B363),Input_Call,0),MATCH(K361,Input_Header,0)))</f>
        <v>0</v>
      </c>
      <c r="L363" s="698">
        <f>IF(L361="",0,INDEX(Input_Range,MATCH((C189&amp;B363),Input_Call,0),MATCH(L361,Input_Header,0)))</f>
        <v>0</v>
      </c>
      <c r="M363" s="698">
        <f>IF(M361="",0,INDEX(Input_Range,MATCH((C189&amp;B363),Input_Call,0),MATCH(M361,Input_Header,0)))</f>
        <v>0</v>
      </c>
      <c r="N363" s="698">
        <f>IF(N361="",0,INDEX(Input_Range,MATCH((C189&amp;B363),Input_Call,0),MATCH(N361,Input_Header,0)))</f>
        <v>0</v>
      </c>
      <c r="O363" s="698">
        <f>IF(O361="",0,INDEX(Input_Range,MATCH((C189&amp;B363),Input_Call,0),MATCH(O361,Input_Header,0)))</f>
        <v>0</v>
      </c>
      <c r="P363" s="698">
        <f>IF(P361="",0,INDEX(Input_Range,MATCH((C189&amp;B363),Input_Call,0),MATCH(P361,Input_Header,0)))</f>
        <v>0</v>
      </c>
      <c r="Q363" s="698">
        <f>IF(Q361="",0,INDEX(Input_Range,MATCH((C189&amp;B363),Input_Call,0),MATCH(Q361,Input_Header,0)))</f>
        <v>0</v>
      </c>
      <c r="R363" s="698">
        <f t="shared" ref="R363:R369" si="494">Q363</f>
        <v>0</v>
      </c>
      <c r="T363" s="699">
        <f t="shared" ref="T363:T369" si="495">T362</f>
        <v>0</v>
      </c>
      <c r="U363" s="699">
        <f t="shared" ref="U363:U369" si="496">U362</f>
        <v>0</v>
      </c>
      <c r="V363" s="699">
        <f t="shared" ref="V363:V369" si="497">V362</f>
        <v>0</v>
      </c>
      <c r="W363" s="699">
        <f t="shared" ref="W363:W369" si="498">W362</f>
        <v>0</v>
      </c>
      <c r="X363" s="699">
        <f t="shared" ref="X363:X369" si="499">X362</f>
        <v>0</v>
      </c>
      <c r="Y363" s="699">
        <f t="shared" ref="Y363:Y369" si="500">Y362</f>
        <v>0</v>
      </c>
      <c r="Z363" s="699">
        <f t="shared" ref="Z363:Z369" si="501">Z362</f>
        <v>0</v>
      </c>
      <c r="AA363" s="699">
        <f t="shared" ref="AA363:AA369" si="502">AA362</f>
        <v>0</v>
      </c>
      <c r="AB363" s="699">
        <f t="shared" ref="AB363:AB369" si="503">AB362</f>
        <v>0</v>
      </c>
      <c r="AC363" s="699">
        <f t="shared" ref="AC363:AC369" si="504">AC362</f>
        <v>0</v>
      </c>
      <c r="AD363" s="699">
        <f t="shared" ref="AD363:AD369" si="505">AD362</f>
        <v>0</v>
      </c>
      <c r="AE363" s="699">
        <f t="shared" ref="AE363:AE369" si="506">AE362</f>
        <v>0</v>
      </c>
      <c r="AF363" s="699">
        <f t="shared" ref="AF363:AF369" si="507">AF362</f>
        <v>0</v>
      </c>
      <c r="AG363" s="699">
        <f t="shared" ref="AG363:AG369" si="508">AG362</f>
        <v>0</v>
      </c>
      <c r="AI363" s="698" t="e">
        <f t="shared" si="491"/>
        <v>#DIV/0!</v>
      </c>
      <c r="AJ363" s="698"/>
      <c r="AK363" s="698"/>
      <c r="AL363" s="4" t="str">
        <f>$A363&amp;$C189&amp;InputSheet!C$42&amp;InputSheet!D$42</f>
        <v>Option Year 14ESDOverheadContr</v>
      </c>
      <c r="AM363" s="700" t="e">
        <f t="shared" si="492"/>
        <v>#DIV/0!</v>
      </c>
      <c r="AP363" s="387" t="e">
        <f t="shared" si="442"/>
        <v>#DIV/0!</v>
      </c>
    </row>
    <row r="364" spans="1:42">
      <c r="A364" s="6" t="str">
        <f t="shared" si="493"/>
        <v>Option Year 14</v>
      </c>
      <c r="B364" s="6" t="str">
        <f t="shared" si="489"/>
        <v>Overhead - Onsite</v>
      </c>
      <c r="E364" s="698">
        <f>IF(E361="",0,INDEX(Input_Range,MATCH((C189&amp;B364),Input_Call,0),MATCH(E361,Input_Header,0)))</f>
        <v>0</v>
      </c>
      <c r="F364" s="698">
        <f>IF(F361="",0,INDEX(Input_Range,MATCH((C189&amp;B364),Input_Call,0),MATCH(F361,Input_Header,0)))</f>
        <v>0</v>
      </c>
      <c r="G364" s="698">
        <f>IF(G361="",0,INDEX(Input_Range,MATCH((C189&amp;B364),Input_Call,0),MATCH(G361,Input_Header,0)))</f>
        <v>0</v>
      </c>
      <c r="H364" s="698">
        <f>IF(H361="",0,INDEX(Input_Range,MATCH((C189&amp;B364),Input_Call,0),MATCH(H361,Input_Header,0)))</f>
        <v>0</v>
      </c>
      <c r="I364" s="698">
        <f>IF(I361="",0,INDEX(Input_Range,MATCH((C189&amp;B364),Input_Call,0),MATCH(I361,Input_Header,0)))</f>
        <v>0</v>
      </c>
      <c r="J364" s="698">
        <f>IF(J361="",0,INDEX(Input_Range,MATCH((C189&amp;B364),Input_Call,0),MATCH(J361,Input_Header,0)))</f>
        <v>0</v>
      </c>
      <c r="K364" s="698">
        <f>IF(K361="",0,INDEX(Input_Range,MATCH((C189&amp;B364),Input_Call,0),MATCH(K361,Input_Header,0)))</f>
        <v>0</v>
      </c>
      <c r="L364" s="698">
        <f>IF(L361="",0,INDEX(Input_Range,MATCH((C189&amp;B364),Input_Call,0),MATCH(L361,Input_Header,0)))</f>
        <v>0</v>
      </c>
      <c r="M364" s="698">
        <f>IF(M361="",0,INDEX(Input_Range,MATCH((C189&amp;B364),Input_Call,0),MATCH(M361,Input_Header,0)))</f>
        <v>0</v>
      </c>
      <c r="N364" s="698">
        <f>IF(N361="",0,INDEX(Input_Range,MATCH((C189&amp;B364),Input_Call,0),MATCH(N361,Input_Header,0)))</f>
        <v>0</v>
      </c>
      <c r="O364" s="698">
        <f>IF(O361="",0,INDEX(Input_Range,MATCH((C189&amp;B364),Input_Call,0),MATCH(O361,Input_Header,0)))</f>
        <v>0</v>
      </c>
      <c r="P364" s="698">
        <f>IF(P361="",0,INDEX(Input_Range,MATCH((C189&amp;B364),Input_Call,0),MATCH(P361,Input_Header,0)))</f>
        <v>0</v>
      </c>
      <c r="Q364" s="698">
        <f>IF(Q361="",0,INDEX(Input_Range,MATCH((C189&amp;B364),Input_Call,0),MATCH(Q361,Input_Header,0)))</f>
        <v>0</v>
      </c>
      <c r="R364" s="698">
        <f t="shared" si="494"/>
        <v>0</v>
      </c>
      <c r="T364" s="699">
        <f t="shared" si="495"/>
        <v>0</v>
      </c>
      <c r="U364" s="699">
        <f t="shared" si="496"/>
        <v>0</v>
      </c>
      <c r="V364" s="699">
        <f t="shared" si="497"/>
        <v>0</v>
      </c>
      <c r="W364" s="699">
        <f t="shared" si="498"/>
        <v>0</v>
      </c>
      <c r="X364" s="699">
        <f t="shared" si="499"/>
        <v>0</v>
      </c>
      <c r="Y364" s="699">
        <f t="shared" si="500"/>
        <v>0</v>
      </c>
      <c r="Z364" s="699">
        <f t="shared" si="501"/>
        <v>0</v>
      </c>
      <c r="AA364" s="699">
        <f t="shared" si="502"/>
        <v>0</v>
      </c>
      <c r="AB364" s="699">
        <f t="shared" si="503"/>
        <v>0</v>
      </c>
      <c r="AC364" s="699">
        <f t="shared" si="504"/>
        <v>0</v>
      </c>
      <c r="AD364" s="699">
        <f t="shared" si="505"/>
        <v>0</v>
      </c>
      <c r="AE364" s="699">
        <f t="shared" si="506"/>
        <v>0</v>
      </c>
      <c r="AF364" s="699">
        <f t="shared" si="507"/>
        <v>0</v>
      </c>
      <c r="AG364" s="699">
        <f t="shared" si="508"/>
        <v>0</v>
      </c>
      <c r="AI364" s="698" t="e">
        <f t="shared" si="491"/>
        <v>#DIV/0!</v>
      </c>
      <c r="AJ364" s="698"/>
      <c r="AK364" s="698"/>
      <c r="AL364" s="4" t="str">
        <f>$A364&amp;$C189&amp;InputSheet!C$43&amp;InputSheet!D$43</f>
        <v>Option Year 14ESDOverheadGovt</v>
      </c>
      <c r="AM364" s="700" t="e">
        <f t="shared" si="492"/>
        <v>#DIV/0!</v>
      </c>
      <c r="AP364" s="387" t="e">
        <f t="shared" si="442"/>
        <v>#DIV/0!</v>
      </c>
    </row>
    <row r="365" spans="1:42">
      <c r="A365" s="6" t="str">
        <f t="shared" si="493"/>
        <v>Option Year 14</v>
      </c>
      <c r="B365" s="6" t="str">
        <f t="shared" si="489"/>
        <v>Material Handling</v>
      </c>
      <c r="E365" s="698">
        <f>IF(E361="",0,INDEX(Input_Range,MATCH((C189&amp;B365),Input_Call,0),MATCH(E361,Input_Header,0)))</f>
        <v>0</v>
      </c>
      <c r="F365" s="698">
        <f>IF(F361="",0,INDEX(Input_Range,MATCH((C189&amp;B365),Input_Call,0),MATCH(F361,Input_Header,0)))</f>
        <v>0</v>
      </c>
      <c r="G365" s="698">
        <f>IF(G361="",0,INDEX(Input_Range,MATCH((C189&amp;B365),Input_Call,0),MATCH(G361,Input_Header,0)))</f>
        <v>0</v>
      </c>
      <c r="H365" s="698">
        <f>IF(H361="",0,INDEX(Input_Range,MATCH((C189&amp;B365),Input_Call,0),MATCH(H361,Input_Header,0)))</f>
        <v>0</v>
      </c>
      <c r="I365" s="698">
        <f>IF(I361="",0,INDEX(Input_Range,MATCH((C189&amp;B365),Input_Call,0),MATCH(I361,Input_Header,0)))</f>
        <v>0</v>
      </c>
      <c r="J365" s="698">
        <f>IF(J361="",0,INDEX(Input_Range,MATCH((C189&amp;B365),Input_Call,0),MATCH(J361,Input_Header,0)))</f>
        <v>0</v>
      </c>
      <c r="K365" s="698">
        <f>IF(K361="",0,INDEX(Input_Range,MATCH((C189&amp;B365),Input_Call,0),MATCH(K361,Input_Header,0)))</f>
        <v>0</v>
      </c>
      <c r="L365" s="698">
        <f>IF(L361="",0,INDEX(Input_Range,MATCH((C189&amp;B365),Input_Call,0),MATCH(L361,Input_Header,0)))</f>
        <v>0</v>
      </c>
      <c r="M365" s="698">
        <f>IF(M361="",0,INDEX(Input_Range,MATCH((C189&amp;B365),Input_Call,0),MATCH(M361,Input_Header,0)))</f>
        <v>0</v>
      </c>
      <c r="N365" s="698">
        <f>IF(N361="",0,INDEX(Input_Range,MATCH((C189&amp;B365),Input_Call,0),MATCH(N361,Input_Header,0)))</f>
        <v>0</v>
      </c>
      <c r="O365" s="698">
        <f>IF(O361="",0,INDEX(Input_Range,MATCH((C189&amp;B365),Input_Call,0),MATCH(O361,Input_Header,0)))</f>
        <v>0</v>
      </c>
      <c r="P365" s="698">
        <f>IF(P361="",0,INDEX(Input_Range,MATCH((C189&amp;B365),Input_Call,0),MATCH(P361,Input_Header,0)))</f>
        <v>0</v>
      </c>
      <c r="Q365" s="698">
        <f>IF(Q361="",0,INDEX(Input_Range,MATCH((C189&amp;B365),Input_Call,0),MATCH(Q361,Input_Header,0)))</f>
        <v>0</v>
      </c>
      <c r="R365" s="698">
        <f t="shared" si="494"/>
        <v>0</v>
      </c>
      <c r="T365" s="699">
        <f t="shared" si="495"/>
        <v>0</v>
      </c>
      <c r="U365" s="699">
        <f t="shared" si="496"/>
        <v>0</v>
      </c>
      <c r="V365" s="699">
        <f t="shared" si="497"/>
        <v>0</v>
      </c>
      <c r="W365" s="699">
        <f t="shared" si="498"/>
        <v>0</v>
      </c>
      <c r="X365" s="699">
        <f t="shared" si="499"/>
        <v>0</v>
      </c>
      <c r="Y365" s="699">
        <f t="shared" si="500"/>
        <v>0</v>
      </c>
      <c r="Z365" s="699">
        <f t="shared" si="501"/>
        <v>0</v>
      </c>
      <c r="AA365" s="699">
        <f t="shared" si="502"/>
        <v>0</v>
      </c>
      <c r="AB365" s="699">
        <f t="shared" si="503"/>
        <v>0</v>
      </c>
      <c r="AC365" s="699">
        <f t="shared" si="504"/>
        <v>0</v>
      </c>
      <c r="AD365" s="699">
        <f t="shared" si="505"/>
        <v>0</v>
      </c>
      <c r="AE365" s="699">
        <f t="shared" si="506"/>
        <v>0</v>
      </c>
      <c r="AF365" s="699">
        <f t="shared" si="507"/>
        <v>0</v>
      </c>
      <c r="AG365" s="699">
        <f t="shared" si="508"/>
        <v>0</v>
      </c>
      <c r="AI365" s="698" t="e">
        <f t="shared" si="491"/>
        <v>#DIV/0!</v>
      </c>
      <c r="AJ365" s="698"/>
      <c r="AK365" s="698"/>
      <c r="AL365" s="4" t="str">
        <f>$A365&amp;$C189&amp;InputSheet!C$44&amp;InputSheet!D$44</f>
        <v>Option Year 14ESDMHContr/Govt</v>
      </c>
      <c r="AM365" s="700" t="e">
        <f t="shared" si="492"/>
        <v>#DIV/0!</v>
      </c>
      <c r="AP365" s="387" t="e">
        <f t="shared" si="442"/>
        <v>#DIV/0!</v>
      </c>
    </row>
    <row r="366" spans="1:42">
      <c r="A366" s="6" t="str">
        <f t="shared" si="493"/>
        <v>Option Year 14</v>
      </c>
      <c r="B366" s="6" t="str">
        <f t="shared" si="489"/>
        <v>G&amp;A</v>
      </c>
      <c r="E366" s="698">
        <f>IF(E361="",0,INDEX(Input_Range,MATCH((C189&amp;B366),Input_Call,0),MATCH(E361,Input_Header,0)))</f>
        <v>0</v>
      </c>
      <c r="F366" s="698">
        <f>IF(F361="",0,INDEX(Input_Range,MATCH((C189&amp;B366),Input_Call,0),MATCH(F361,Input_Header,0)))</f>
        <v>0</v>
      </c>
      <c r="G366" s="698">
        <f>IF(G361="",0,INDEX(Input_Range,MATCH((C189&amp;B366),Input_Call,0),MATCH(G361,Input_Header,0)))</f>
        <v>0</v>
      </c>
      <c r="H366" s="698">
        <f>IF(H361="",0,INDEX(Input_Range,MATCH((C189&amp;B366),Input_Call,0),MATCH(H361,Input_Header,0)))</f>
        <v>0</v>
      </c>
      <c r="I366" s="698">
        <f>IF(I361="",0,INDEX(Input_Range,MATCH((C189&amp;B366),Input_Call,0),MATCH(I361,Input_Header,0)))</f>
        <v>0</v>
      </c>
      <c r="J366" s="698">
        <f>IF(J361="",0,INDEX(Input_Range,MATCH((C189&amp;B366),Input_Call,0),MATCH(J361,Input_Header,0)))</f>
        <v>0</v>
      </c>
      <c r="K366" s="698">
        <f>IF(K361="",0,INDEX(Input_Range,MATCH((C189&amp;B366),Input_Call,0),MATCH(K361,Input_Header,0)))</f>
        <v>0</v>
      </c>
      <c r="L366" s="698">
        <f>IF(L361="",0,INDEX(Input_Range,MATCH((C189&amp;B366),Input_Call,0),MATCH(L361,Input_Header,0)))</f>
        <v>0</v>
      </c>
      <c r="M366" s="698">
        <f>IF(M361="",0,INDEX(Input_Range,MATCH((C189&amp;B366),Input_Call,0),MATCH(M361,Input_Header,0)))</f>
        <v>0</v>
      </c>
      <c r="N366" s="698">
        <f>IF(N361="",0,INDEX(Input_Range,MATCH((C189&amp;B366),Input_Call,0),MATCH(N361,Input_Header,0)))</f>
        <v>0</v>
      </c>
      <c r="O366" s="698">
        <f>IF(O361="",0,INDEX(Input_Range,MATCH((C189&amp;B366),Input_Call,0),MATCH(O361,Input_Header,0)))</f>
        <v>0</v>
      </c>
      <c r="P366" s="698">
        <f>IF(P361="",0,INDEX(Input_Range,MATCH((C189&amp;B366),Input_Call,0),MATCH(P361,Input_Header,0)))</f>
        <v>0</v>
      </c>
      <c r="Q366" s="698">
        <f>IF(Q361="",0,INDEX(Input_Range,MATCH((C189&amp;B366),Input_Call,0),MATCH(Q361,Input_Header,0)))</f>
        <v>0</v>
      </c>
      <c r="R366" s="698">
        <f t="shared" si="494"/>
        <v>0</v>
      </c>
      <c r="T366" s="699">
        <f t="shared" si="495"/>
        <v>0</v>
      </c>
      <c r="U366" s="699">
        <f t="shared" si="496"/>
        <v>0</v>
      </c>
      <c r="V366" s="699">
        <f t="shared" si="497"/>
        <v>0</v>
      </c>
      <c r="W366" s="699">
        <f t="shared" si="498"/>
        <v>0</v>
      </c>
      <c r="X366" s="699">
        <f t="shared" si="499"/>
        <v>0</v>
      </c>
      <c r="Y366" s="699">
        <f t="shared" si="500"/>
        <v>0</v>
      </c>
      <c r="Z366" s="699">
        <f t="shared" si="501"/>
        <v>0</v>
      </c>
      <c r="AA366" s="699">
        <f t="shared" si="502"/>
        <v>0</v>
      </c>
      <c r="AB366" s="699">
        <f t="shared" si="503"/>
        <v>0</v>
      </c>
      <c r="AC366" s="699">
        <f t="shared" si="504"/>
        <v>0</v>
      </c>
      <c r="AD366" s="699">
        <f t="shared" si="505"/>
        <v>0</v>
      </c>
      <c r="AE366" s="699">
        <f t="shared" si="506"/>
        <v>0</v>
      </c>
      <c r="AF366" s="699">
        <f t="shared" si="507"/>
        <v>0</v>
      </c>
      <c r="AG366" s="699">
        <f t="shared" si="508"/>
        <v>0</v>
      </c>
      <c r="AI366" s="698" t="e">
        <f t="shared" si="491"/>
        <v>#DIV/0!</v>
      </c>
      <c r="AJ366" s="698"/>
      <c r="AK366" s="698"/>
      <c r="AL366" s="4" t="str">
        <f>$A366&amp;$C189&amp;InputSheet!C$45&amp;InputSheet!D$45</f>
        <v>Option Year 14ESDG&amp;AContr/Govt</v>
      </c>
      <c r="AM366" s="700" t="e">
        <f t="shared" si="492"/>
        <v>#DIV/0!</v>
      </c>
      <c r="AP366" s="387" t="e">
        <f t="shared" si="442"/>
        <v>#DIV/0!</v>
      </c>
    </row>
    <row r="367" spans="1:42" outlineLevel="1">
      <c r="A367" s="6" t="str">
        <f t="shared" si="493"/>
        <v>Option Year 14</v>
      </c>
      <c r="B367" s="6" t="str">
        <f t="shared" si="489"/>
        <v>TBD1</v>
      </c>
      <c r="E367" s="21">
        <f>IF(E361="",0,INDEX(Input_Range,MATCH((C189&amp;B367),Input_Call,0),MATCH(E361,Input_Header,0)))</f>
        <v>0</v>
      </c>
      <c r="F367" s="21">
        <f>IF(F361="",0,INDEX(Input_Range,MATCH((C189&amp;B367),Input_Call,0),MATCH(F361,Input_Header,0)))</f>
        <v>0</v>
      </c>
      <c r="G367" s="21">
        <f>IF(G361="",0,INDEX(Input_Range,MATCH((C189&amp;B367),Input_Call,0),MATCH(G361,Input_Header,0)))</f>
        <v>0</v>
      </c>
      <c r="H367" s="21">
        <f>IF(H361="",0,INDEX(Input_Range,MATCH((C189&amp;B367),Input_Call,0),MATCH(H361,Input_Header,0)))</f>
        <v>0</v>
      </c>
      <c r="I367" s="21">
        <f>IF(I361="",0,INDEX(Input_Range,MATCH((C189&amp;B367),Input_Call,0),MATCH(I361,Input_Header,0)))</f>
        <v>0</v>
      </c>
      <c r="J367" s="21">
        <f>IF(J361="",0,INDEX(Input_Range,MATCH((C189&amp;B367),Input_Call,0),MATCH(J361,Input_Header,0)))</f>
        <v>0</v>
      </c>
      <c r="K367" s="21">
        <f>IF(K361="",0,INDEX(Input_Range,MATCH((C189&amp;B367),Input_Call,0),MATCH(K361,Input_Header,0)))</f>
        <v>0</v>
      </c>
      <c r="L367" s="21">
        <f>IF(L361="",0,INDEX(Input_Range,MATCH((C189&amp;B367),Input_Call,0),MATCH(L361,Input_Header,0)))</f>
        <v>0</v>
      </c>
      <c r="M367" s="21">
        <f>IF(M361="",0,INDEX(Input_Range,MATCH((C189&amp;B367),Input_Call,0),MATCH(M361,Input_Header,0)))</f>
        <v>0</v>
      </c>
      <c r="N367" s="21">
        <f>IF(N361="",0,INDEX(Input_Range,MATCH((C189&amp;B367),Input_Call,0),MATCH(N361,Input_Header,0)))</f>
        <v>0</v>
      </c>
      <c r="O367" s="21">
        <f>IF(O361="",0,INDEX(Input_Range,MATCH((C189&amp;B367),Input_Call,0),MATCH(O361,Input_Header,0)))</f>
        <v>0</v>
      </c>
      <c r="P367" s="21">
        <f>IF(P361="",0,INDEX(Input_Range,MATCH((C189&amp;B367),Input_Call,0),MATCH(P361,Input_Header,0)))</f>
        <v>0</v>
      </c>
      <c r="Q367" s="21">
        <f>IF(Q361="",0,INDEX(Input_Range,MATCH((C189&amp;B367),Input_Call,0),MATCH(Q361,Input_Header,0)))</f>
        <v>0</v>
      </c>
      <c r="R367" s="698">
        <f t="shared" si="494"/>
        <v>0</v>
      </c>
      <c r="T367" s="699">
        <f t="shared" si="495"/>
        <v>0</v>
      </c>
      <c r="U367" s="699">
        <f t="shared" si="496"/>
        <v>0</v>
      </c>
      <c r="V367" s="699">
        <f t="shared" si="497"/>
        <v>0</v>
      </c>
      <c r="W367" s="699">
        <f t="shared" si="498"/>
        <v>0</v>
      </c>
      <c r="X367" s="699">
        <f t="shared" si="499"/>
        <v>0</v>
      </c>
      <c r="Y367" s="699">
        <f t="shared" si="500"/>
        <v>0</v>
      </c>
      <c r="Z367" s="699">
        <f t="shared" si="501"/>
        <v>0</v>
      </c>
      <c r="AA367" s="699">
        <f t="shared" si="502"/>
        <v>0</v>
      </c>
      <c r="AB367" s="699">
        <f t="shared" si="503"/>
        <v>0</v>
      </c>
      <c r="AC367" s="699">
        <f t="shared" si="504"/>
        <v>0</v>
      </c>
      <c r="AD367" s="699">
        <f t="shared" si="505"/>
        <v>0</v>
      </c>
      <c r="AE367" s="699">
        <f t="shared" si="506"/>
        <v>0</v>
      </c>
      <c r="AF367" s="699">
        <f t="shared" si="507"/>
        <v>0</v>
      </c>
      <c r="AG367" s="699">
        <f t="shared" si="508"/>
        <v>0</v>
      </c>
      <c r="AI367" s="698" t="e">
        <f t="shared" si="491"/>
        <v>#DIV/0!</v>
      </c>
      <c r="AJ367" s="21"/>
      <c r="AK367" s="21"/>
      <c r="AL367" s="4" t="str">
        <f>$A367&amp;$C189&amp;InputSheet!C$46&amp;InputSheet!D$46</f>
        <v>Option Year 14ESDTBD1Contr/Govt</v>
      </c>
      <c r="AM367" s="700" t="e">
        <f t="shared" si="492"/>
        <v>#DIV/0!</v>
      </c>
      <c r="AP367" s="387" t="e">
        <f t="shared" si="442"/>
        <v>#DIV/0!</v>
      </c>
    </row>
    <row r="368" spans="1:42" outlineLevel="1">
      <c r="A368" s="6" t="str">
        <f t="shared" si="493"/>
        <v>Option Year 14</v>
      </c>
      <c r="B368" s="6" t="str">
        <f t="shared" si="489"/>
        <v>TBD2</v>
      </c>
      <c r="E368" s="21">
        <f>IF(E361="",0,INDEX(Input_Range,MATCH((C189&amp;B368),Input_Call,0),MATCH(E361,Input_Header,0)))</f>
        <v>0</v>
      </c>
      <c r="F368" s="21">
        <f>IF(F361="",0,INDEX(Input_Range,MATCH((C189&amp;B368),Input_Call,0),MATCH(F361,Input_Header,0)))</f>
        <v>0</v>
      </c>
      <c r="G368" s="21">
        <f>IF(G361="",0,INDEX(Input_Range,MATCH((C189&amp;B368),Input_Call,0),MATCH(G361,Input_Header,0)))</f>
        <v>0</v>
      </c>
      <c r="H368" s="21">
        <f>IF(H361="",0,INDEX(Input_Range,MATCH((C189&amp;B368),Input_Call,0),MATCH(H361,Input_Header,0)))</f>
        <v>0</v>
      </c>
      <c r="I368" s="21">
        <f>IF(I361="",0,INDEX(Input_Range,MATCH((C189&amp;B368),Input_Call,0),MATCH(I361,Input_Header,0)))</f>
        <v>0</v>
      </c>
      <c r="J368" s="21">
        <f>IF(J361="",0,INDEX(Input_Range,MATCH((C189&amp;B368),Input_Call,0),MATCH(J361,Input_Header,0)))</f>
        <v>0</v>
      </c>
      <c r="K368" s="21">
        <f>IF(K361="",0,INDEX(Input_Range,MATCH((C189&amp;B368),Input_Call,0),MATCH(K361,Input_Header,0)))</f>
        <v>0</v>
      </c>
      <c r="L368" s="21">
        <f>IF(L361="",0,INDEX(Input_Range,MATCH((C189&amp;B368),Input_Call,0),MATCH(L361,Input_Header,0)))</f>
        <v>0</v>
      </c>
      <c r="M368" s="21">
        <f>IF(M361="",0,INDEX(Input_Range,MATCH((C189&amp;B368),Input_Call,0),MATCH(M361,Input_Header,0)))</f>
        <v>0</v>
      </c>
      <c r="N368" s="21">
        <f>IF(N361="",0,INDEX(Input_Range,MATCH((C189&amp;B368),Input_Call,0),MATCH(N361,Input_Header,0)))</f>
        <v>0</v>
      </c>
      <c r="O368" s="21">
        <f>IF(O361="",0,INDEX(Input_Range,MATCH((C189&amp;B368),Input_Call,0),MATCH(O361,Input_Header,0)))</f>
        <v>0</v>
      </c>
      <c r="P368" s="21">
        <f>IF(P361="",0,INDEX(Input_Range,MATCH((C189&amp;B368),Input_Call,0),MATCH(P361,Input_Header,0)))</f>
        <v>0</v>
      </c>
      <c r="Q368" s="21">
        <f>IF(Q361="",0,INDEX(Input_Range,MATCH((C189&amp;B368),Input_Call,0),MATCH(Q361,Input_Header,0)))</f>
        <v>0</v>
      </c>
      <c r="R368" s="698">
        <f t="shared" si="494"/>
        <v>0</v>
      </c>
      <c r="T368" s="699">
        <f t="shared" si="495"/>
        <v>0</v>
      </c>
      <c r="U368" s="699">
        <f t="shared" si="496"/>
        <v>0</v>
      </c>
      <c r="V368" s="699">
        <f t="shared" si="497"/>
        <v>0</v>
      </c>
      <c r="W368" s="699">
        <f t="shared" si="498"/>
        <v>0</v>
      </c>
      <c r="X368" s="699">
        <f t="shared" si="499"/>
        <v>0</v>
      </c>
      <c r="Y368" s="699">
        <f t="shared" si="500"/>
        <v>0</v>
      </c>
      <c r="Z368" s="699">
        <f t="shared" si="501"/>
        <v>0</v>
      </c>
      <c r="AA368" s="699">
        <f t="shared" si="502"/>
        <v>0</v>
      </c>
      <c r="AB368" s="699">
        <f t="shared" si="503"/>
        <v>0</v>
      </c>
      <c r="AC368" s="699">
        <f t="shared" si="504"/>
        <v>0</v>
      </c>
      <c r="AD368" s="699">
        <f t="shared" si="505"/>
        <v>0</v>
      </c>
      <c r="AE368" s="699">
        <f t="shared" si="506"/>
        <v>0</v>
      </c>
      <c r="AF368" s="699">
        <f t="shared" si="507"/>
        <v>0</v>
      </c>
      <c r="AG368" s="699">
        <f t="shared" si="508"/>
        <v>0</v>
      </c>
      <c r="AI368" s="698" t="e">
        <f t="shared" si="491"/>
        <v>#DIV/0!</v>
      </c>
      <c r="AJ368" s="21"/>
      <c r="AK368" s="21"/>
      <c r="AL368" s="4" t="str">
        <f>$A368&amp;$C189&amp;InputSheet!C$47&amp;InputSheet!D$47</f>
        <v>Option Year 14ESDTBD2Contr/Govt</v>
      </c>
      <c r="AM368" s="700" t="e">
        <f t="shared" si="492"/>
        <v>#DIV/0!</v>
      </c>
      <c r="AP368" s="387" t="e">
        <f t="shared" si="442"/>
        <v>#DIV/0!</v>
      </c>
    </row>
    <row r="369" spans="1:42" outlineLevel="1">
      <c r="A369" s="6" t="str">
        <f t="shared" si="493"/>
        <v>Option Year 14</v>
      </c>
      <c r="B369" s="6" t="str">
        <f t="shared" si="489"/>
        <v>TBD3</v>
      </c>
      <c r="E369" s="21">
        <f>IF(E361="",0,INDEX(Input_Range,MATCH((C189&amp;B369),Input_Call,0),MATCH(E361,Input_Header,0)))</f>
        <v>0</v>
      </c>
      <c r="F369" s="21">
        <f>IF(F361="",0,INDEX(Input_Range,MATCH((C189&amp;B369),Input_Call,0),MATCH(F361,Input_Header,0)))</f>
        <v>0</v>
      </c>
      <c r="G369" s="21">
        <f>IF(G361="",0,INDEX(Input_Range,MATCH((C189&amp;B369),Input_Call,0),MATCH(G361,Input_Header,0)))</f>
        <v>0</v>
      </c>
      <c r="H369" s="21">
        <f>IF(H361="",0,INDEX(Input_Range,MATCH((C189&amp;B369),Input_Call,0),MATCH(H361,Input_Header,0)))</f>
        <v>0</v>
      </c>
      <c r="I369" s="21">
        <f>IF(I361="",0,INDEX(Input_Range,MATCH((C189&amp;B369),Input_Call,0),MATCH(I361,Input_Header,0)))</f>
        <v>0</v>
      </c>
      <c r="J369" s="21">
        <f>IF(J361="",0,INDEX(Input_Range,MATCH((C189&amp;B369),Input_Call,0),MATCH(J361,Input_Header,0)))</f>
        <v>0</v>
      </c>
      <c r="K369" s="21">
        <f>IF(K361="",0,INDEX(Input_Range,MATCH((C189&amp;B369),Input_Call,0),MATCH(K361,Input_Header,0)))</f>
        <v>0</v>
      </c>
      <c r="L369" s="21">
        <f>IF(L361="",0,INDEX(Input_Range,MATCH((C189&amp;B369),Input_Call,0),MATCH(L361,Input_Header,0)))</f>
        <v>0</v>
      </c>
      <c r="M369" s="21">
        <f>IF(M361="",0,INDEX(Input_Range,MATCH((C189&amp;B369),Input_Call,0),MATCH(M361,Input_Header,0)))</f>
        <v>0</v>
      </c>
      <c r="N369" s="21">
        <f>IF(N361="",0,INDEX(Input_Range,MATCH((C189&amp;B369),Input_Call,0),MATCH(N361,Input_Header,0)))</f>
        <v>0</v>
      </c>
      <c r="O369" s="21">
        <f>IF(O361="",0,INDEX(Input_Range,MATCH((C189&amp;B369),Input_Call,0),MATCH(O361,Input_Header,0)))</f>
        <v>0</v>
      </c>
      <c r="P369" s="21">
        <f>IF(P361="",0,INDEX(Input_Range,MATCH((C189&amp;B369),Input_Call,0),MATCH(P361,Input_Header,0)))</f>
        <v>0</v>
      </c>
      <c r="Q369" s="21">
        <f>IF(Q361="",0,INDEX(Input_Range,MATCH((C189&amp;B369),Input_Call,0),MATCH(Q361,Input_Header,0)))</f>
        <v>0</v>
      </c>
      <c r="R369" s="698">
        <f t="shared" si="494"/>
        <v>0</v>
      </c>
      <c r="T369" s="699">
        <f t="shared" si="495"/>
        <v>0</v>
      </c>
      <c r="U369" s="699">
        <f t="shared" si="496"/>
        <v>0</v>
      </c>
      <c r="V369" s="699">
        <f t="shared" si="497"/>
        <v>0</v>
      </c>
      <c r="W369" s="699">
        <f t="shared" si="498"/>
        <v>0</v>
      </c>
      <c r="X369" s="699">
        <f t="shared" si="499"/>
        <v>0</v>
      </c>
      <c r="Y369" s="699">
        <f t="shared" si="500"/>
        <v>0</v>
      </c>
      <c r="Z369" s="699">
        <f t="shared" si="501"/>
        <v>0</v>
      </c>
      <c r="AA369" s="699">
        <f t="shared" si="502"/>
        <v>0</v>
      </c>
      <c r="AB369" s="699">
        <f t="shared" si="503"/>
        <v>0</v>
      </c>
      <c r="AC369" s="699">
        <f t="shared" si="504"/>
        <v>0</v>
      </c>
      <c r="AD369" s="699">
        <f t="shared" si="505"/>
        <v>0</v>
      </c>
      <c r="AE369" s="699">
        <f t="shared" si="506"/>
        <v>0</v>
      </c>
      <c r="AF369" s="699">
        <f t="shared" si="507"/>
        <v>0</v>
      </c>
      <c r="AG369" s="699">
        <f t="shared" si="508"/>
        <v>0</v>
      </c>
      <c r="AI369" s="698" t="e">
        <f t="shared" si="491"/>
        <v>#DIV/0!</v>
      </c>
      <c r="AJ369" s="21"/>
      <c r="AK369" s="21"/>
      <c r="AL369" s="4" t="str">
        <f>$A369&amp;$C189&amp;InputSheet!C$48&amp;InputSheet!D$48</f>
        <v>Option Year 14ESDTBD3Contr/Govt</v>
      </c>
      <c r="AM369" s="700" t="e">
        <f t="shared" si="492"/>
        <v>#DIV/0!</v>
      </c>
      <c r="AP369" s="387" t="e">
        <f t="shared" si="442"/>
        <v>#DIV/0!</v>
      </c>
    </row>
    <row r="370" spans="1:42">
      <c r="B370" s="8"/>
      <c r="C370" s="28"/>
      <c r="E370" s="698"/>
      <c r="F370" s="698"/>
      <c r="G370" s="698"/>
      <c r="H370" s="698"/>
      <c r="I370" s="698"/>
      <c r="J370" s="698"/>
      <c r="K370" s="698"/>
      <c r="L370" s="698"/>
      <c r="M370" s="698"/>
      <c r="N370" s="698"/>
      <c r="O370" s="698"/>
      <c r="P370" s="698"/>
      <c r="Q370" s="698"/>
      <c r="R370" s="698"/>
      <c r="AI370" s="21"/>
      <c r="AJ370" s="21"/>
      <c r="AK370" s="21"/>
      <c r="AP370" s="387" t="str">
        <f t="shared" si="442"/>
        <v>1</v>
      </c>
    </row>
    <row r="371" spans="1:42">
      <c r="B371" s="327" t="s">
        <v>614</v>
      </c>
      <c r="C371" s="701" t="str">
        <f>InputSheet!$I$134</f>
        <v>ESD</v>
      </c>
      <c r="AP371" s="387" t="str">
        <f t="shared" si="442"/>
        <v>1</v>
      </c>
    </row>
    <row r="372" spans="1:42">
      <c r="AP372" s="387" t="str">
        <f t="shared" si="442"/>
        <v>1</v>
      </c>
    </row>
    <row r="373" spans="1:42">
      <c r="A373" s="530" t="str">
        <f>B373</f>
        <v>Base Year</v>
      </c>
      <c r="B373" s="691" t="str">
        <f>InputSheet!$C$22</f>
        <v>Base Year</v>
      </c>
      <c r="C373" s="260"/>
      <c r="AP373" s="387" t="str">
        <f t="shared" si="442"/>
        <v>1</v>
      </c>
    </row>
    <row r="374" spans="1:42">
      <c r="B374" s="314" t="s">
        <v>587</v>
      </c>
      <c r="C374" s="692" t="s">
        <v>588</v>
      </c>
      <c r="E374" s="1216" t="str">
        <f>"Indirect Rates - "&amp;C$371</f>
        <v>Indirect Rates - ESD</v>
      </c>
      <c r="F374" s="1216"/>
      <c r="G374" s="1216"/>
      <c r="H374" s="1216"/>
      <c r="I374" s="1216"/>
      <c r="J374" s="1216"/>
      <c r="K374" s="1216"/>
      <c r="L374" s="1216"/>
      <c r="M374" s="1216"/>
      <c r="N374" s="1216"/>
      <c r="O374" s="1216"/>
      <c r="P374" s="1216"/>
      <c r="Q374" s="1216"/>
      <c r="R374" s="1216"/>
      <c r="S374" s="844"/>
      <c r="T374" s="1217" t="s">
        <v>794</v>
      </c>
      <c r="U374" s="1217"/>
      <c r="V374" s="1217"/>
      <c r="W374" s="1217"/>
      <c r="X374" s="1217"/>
      <c r="Y374" s="1217"/>
      <c r="Z374" s="1217"/>
      <c r="AA374" s="1217"/>
      <c r="AB374" s="1217"/>
      <c r="AC374" s="1217"/>
      <c r="AD374" s="1217"/>
      <c r="AE374" s="1217"/>
      <c r="AF374" s="1217"/>
      <c r="AG374" s="1217"/>
      <c r="AI374" s="692" t="s">
        <v>615</v>
      </c>
      <c r="AJ374" s="50"/>
      <c r="AK374" s="50"/>
      <c r="AP374" s="387" t="str">
        <f t="shared" si="442"/>
        <v>1</v>
      </c>
    </row>
    <row r="375" spans="1:42">
      <c r="B375" s="693">
        <f>VLOOKUP(A373,InputSheet!$C$8:$E$37,2,FALSE)</f>
        <v>40179</v>
      </c>
      <c r="C375" s="694">
        <f>VLOOKUP(A373,InputSheet!$C$8:$E$37,3,FALSE)</f>
        <v>40543</v>
      </c>
      <c r="E375" s="695">
        <v>2009</v>
      </c>
      <c r="F375" s="695">
        <f t="shared" ref="F375:P375" si="509">E375+1</f>
        <v>2010</v>
      </c>
      <c r="G375" s="695">
        <f t="shared" si="509"/>
        <v>2011</v>
      </c>
      <c r="H375" s="695">
        <f t="shared" si="509"/>
        <v>2012</v>
      </c>
      <c r="I375" s="695">
        <f t="shared" si="509"/>
        <v>2013</v>
      </c>
      <c r="J375" s="695">
        <f t="shared" si="509"/>
        <v>2014</v>
      </c>
      <c r="K375" s="695">
        <f t="shared" si="509"/>
        <v>2015</v>
      </c>
      <c r="L375" s="695">
        <f t="shared" si="509"/>
        <v>2016</v>
      </c>
      <c r="M375" s="695">
        <f t="shared" si="509"/>
        <v>2017</v>
      </c>
      <c r="N375" s="695">
        <f t="shared" si="509"/>
        <v>2018</v>
      </c>
      <c r="O375" s="695">
        <f t="shared" si="509"/>
        <v>2019</v>
      </c>
      <c r="P375" s="695">
        <f t="shared" si="509"/>
        <v>2020</v>
      </c>
      <c r="Q375" s="695">
        <f>P375+1</f>
        <v>2021</v>
      </c>
      <c r="R375" s="695">
        <f>Q375+1</f>
        <v>2022</v>
      </c>
      <c r="S375" s="680"/>
      <c r="T375" s="696">
        <f t="shared" ref="T375:AG375" si="510">E375</f>
        <v>2009</v>
      </c>
      <c r="U375" s="696">
        <f t="shared" si="510"/>
        <v>2010</v>
      </c>
      <c r="V375" s="696">
        <f t="shared" si="510"/>
        <v>2011</v>
      </c>
      <c r="W375" s="696">
        <f t="shared" si="510"/>
        <v>2012</v>
      </c>
      <c r="X375" s="696">
        <f t="shared" si="510"/>
        <v>2013</v>
      </c>
      <c r="Y375" s="696">
        <f t="shared" si="510"/>
        <v>2014</v>
      </c>
      <c r="Z375" s="696">
        <f t="shared" si="510"/>
        <v>2015</v>
      </c>
      <c r="AA375" s="696">
        <f t="shared" si="510"/>
        <v>2016</v>
      </c>
      <c r="AB375" s="696">
        <f t="shared" si="510"/>
        <v>2017</v>
      </c>
      <c r="AC375" s="696">
        <f t="shared" si="510"/>
        <v>2018</v>
      </c>
      <c r="AD375" s="696">
        <f t="shared" si="510"/>
        <v>2019</v>
      </c>
      <c r="AE375" s="696">
        <f t="shared" si="510"/>
        <v>2020</v>
      </c>
      <c r="AF375" s="696">
        <f t="shared" si="510"/>
        <v>2021</v>
      </c>
      <c r="AG375" s="696">
        <f t="shared" si="510"/>
        <v>2022</v>
      </c>
      <c r="AI375" s="696" t="str">
        <f>B373</f>
        <v>Base Year</v>
      </c>
      <c r="AJ375" s="28"/>
      <c r="AK375" s="28"/>
      <c r="AL375" s="697" t="s">
        <v>631</v>
      </c>
      <c r="AP375" s="387" t="str">
        <f t="shared" si="442"/>
        <v>1</v>
      </c>
    </row>
    <row r="376" spans="1:42">
      <c r="A376" s="6" t="str">
        <f>A373</f>
        <v>Base Year</v>
      </c>
      <c r="B376" s="6" t="str">
        <f>InputSheet!G$41</f>
        <v>PRB</v>
      </c>
      <c r="E376" s="698">
        <f>IF(E375="",0,INDEX(Input_Range,MATCH((C371&amp;B376),Input_Call,0),MATCH(E375,Input_Header,0)))</f>
        <v>0</v>
      </c>
      <c r="F376" s="698">
        <f>IF(F375="",0,INDEX(Input_Range,MATCH((C371&amp;B376),Input_Call,0),MATCH(F375,Input_Header,0)))</f>
        <v>0</v>
      </c>
      <c r="G376" s="698">
        <f>IF(G375="",0,INDEX(Input_Range,MATCH((C371&amp;B376),Input_Call,0),MATCH(G375,Input_Header,0)))</f>
        <v>0</v>
      </c>
      <c r="H376" s="698">
        <f>IF(H375="",0,INDEX(Input_Range,MATCH((C371&amp;B376),Input_Call,0),MATCH(H375,Input_Header,0)))</f>
        <v>0</v>
      </c>
      <c r="I376" s="698">
        <f>IF(I375="",0,INDEX(Input_Range,MATCH((C371&amp;B376),Input_Call,0),MATCH(I375,Input_Header,0)))</f>
        <v>0</v>
      </c>
      <c r="J376" s="698">
        <f>IF(J375="",0,INDEX(Input_Range,MATCH((C371&amp;B376),Input_Call,0),MATCH(J375,Input_Header,0)))</f>
        <v>0</v>
      </c>
      <c r="K376" s="698">
        <f>IF(K375="",0,INDEX(Input_Range,MATCH((C371&amp;B376),Input_Call,0),MATCH(K375,Input_Header,0)))</f>
        <v>0</v>
      </c>
      <c r="L376" s="698">
        <f>IF(L375="",0,INDEX(Input_Range,MATCH((C371&amp;B376),Input_Call,0),MATCH(L375,Input_Header,0)))</f>
        <v>0</v>
      </c>
      <c r="M376" s="698">
        <f>IF(M375="",0,INDEX(Input_Range,MATCH((C371&amp;B376),Input_Call,0),MATCH(M375,Input_Header,0)))</f>
        <v>0</v>
      </c>
      <c r="N376" s="698">
        <f>IF(N375="",0,INDEX(Input_Range,MATCH((C371&amp;B376),Input_Call,0),MATCH(N375,Input_Header,0)))</f>
        <v>0</v>
      </c>
      <c r="O376" s="698">
        <f>IF(O375="",0,INDEX(Input_Range,MATCH((C371&amp;B376),Input_Call,0),MATCH(O375,Input_Header,0)))</f>
        <v>0</v>
      </c>
      <c r="P376" s="698">
        <f>IF(P375="",0,INDEX(Input_Range,MATCH((C371&amp;B376),Input_Call,0),MATCH(P375,Input_Header,0)))</f>
        <v>0</v>
      </c>
      <c r="Q376" s="698">
        <f>IF(Q375="",0,INDEX(Input_Range,MATCH((C371&amp;B376),Input_Call,0),MATCH(Q375,Input_Header,0)))</f>
        <v>0</v>
      </c>
      <c r="R376" s="698">
        <f>Q376</f>
        <v>0</v>
      </c>
      <c r="T376" s="699">
        <f t="shared" ref="T376:AG376" si="511">ROUND((MAX(0,(MIN($C375,DATE(T$11,12,31))-MAX($B375,DATE(T$11,1,1))+1)))/30.41667,0)</f>
        <v>0</v>
      </c>
      <c r="U376" s="699">
        <f t="shared" si="511"/>
        <v>12</v>
      </c>
      <c r="V376" s="699">
        <f t="shared" si="511"/>
        <v>0</v>
      </c>
      <c r="W376" s="699">
        <f t="shared" si="511"/>
        <v>0</v>
      </c>
      <c r="X376" s="699">
        <f t="shared" si="511"/>
        <v>0</v>
      </c>
      <c r="Y376" s="699">
        <f t="shared" si="511"/>
        <v>0</v>
      </c>
      <c r="Z376" s="699">
        <f t="shared" si="511"/>
        <v>0</v>
      </c>
      <c r="AA376" s="699">
        <f t="shared" si="511"/>
        <v>0</v>
      </c>
      <c r="AB376" s="699">
        <f t="shared" si="511"/>
        <v>0</v>
      </c>
      <c r="AC376" s="699">
        <f t="shared" si="511"/>
        <v>0</v>
      </c>
      <c r="AD376" s="699">
        <f t="shared" si="511"/>
        <v>0</v>
      </c>
      <c r="AE376" s="699">
        <f t="shared" si="511"/>
        <v>0</v>
      </c>
      <c r="AF376" s="699">
        <f t="shared" si="511"/>
        <v>0</v>
      </c>
      <c r="AG376" s="699">
        <f t="shared" si="511"/>
        <v>0</v>
      </c>
      <c r="AI376" s="698">
        <f t="shared" ref="AI376:AI383" si="512">ROUND(SUMPRODUCT(E376:R376,T376:AG376)/SUM(T376:AG376),4)</f>
        <v>0</v>
      </c>
      <c r="AJ376" s="698"/>
      <c r="AK376" s="698"/>
      <c r="AL376" s="4" t="str">
        <f>$A376&amp;$C371&amp;InputSheet!C$41&amp;InputSheet!D$41</f>
        <v>Base YearESDPRBContr/Govt</v>
      </c>
      <c r="AM376" s="700">
        <f t="shared" ref="AM376:AM383" si="513">AI376</f>
        <v>0</v>
      </c>
      <c r="AP376" s="387" t="str">
        <f t="shared" si="442"/>
        <v>1</v>
      </c>
    </row>
    <row r="377" spans="1:42">
      <c r="A377" s="6" t="str">
        <f t="shared" ref="A377:A383" si="514">A376</f>
        <v>Base Year</v>
      </c>
      <c r="B377" s="6" t="str">
        <f>InputSheet!G$42</f>
        <v>Overhead - Offsite</v>
      </c>
      <c r="E377" s="698">
        <f>IF(E375="",0,INDEX(Input_Range,MATCH((C371&amp;B377),Input_Call,0),MATCH(E375,Input_Header,0)))</f>
        <v>0</v>
      </c>
      <c r="F377" s="698">
        <f>IF(F375="",0,INDEX(Input_Range,MATCH((C371&amp;B377),Input_Call,0),MATCH(F375,Input_Header,0)))</f>
        <v>0</v>
      </c>
      <c r="G377" s="698">
        <f>IF(G375="",0,INDEX(Input_Range,MATCH((C371&amp;B377),Input_Call,0),MATCH(G375,Input_Header,0)))</f>
        <v>0</v>
      </c>
      <c r="H377" s="698">
        <f>IF(H375="",0,INDEX(Input_Range,MATCH((C371&amp;B377),Input_Call,0),MATCH(H375,Input_Header,0)))</f>
        <v>0</v>
      </c>
      <c r="I377" s="698">
        <f>IF(I375="",0,INDEX(Input_Range,MATCH((C371&amp;B377),Input_Call,0),MATCH(I375,Input_Header,0)))</f>
        <v>0</v>
      </c>
      <c r="J377" s="698">
        <f>IF(J375="",0,INDEX(Input_Range,MATCH((C371&amp;B377),Input_Call,0),MATCH(J375,Input_Header,0)))</f>
        <v>0</v>
      </c>
      <c r="K377" s="698">
        <f>IF(K375="",0,INDEX(Input_Range,MATCH((C371&amp;B377),Input_Call,0),MATCH(K375,Input_Header,0)))</f>
        <v>0</v>
      </c>
      <c r="L377" s="698">
        <f>IF(L375="",0,INDEX(Input_Range,MATCH((C371&amp;B377),Input_Call,0),MATCH(L375,Input_Header,0)))</f>
        <v>0</v>
      </c>
      <c r="M377" s="698">
        <f>IF(M375="",0,INDEX(Input_Range,MATCH((C371&amp;B377),Input_Call,0),MATCH(M375,Input_Header,0)))</f>
        <v>0</v>
      </c>
      <c r="N377" s="698">
        <f>IF(N375="",0,INDEX(Input_Range,MATCH((C371&amp;B377),Input_Call,0),MATCH(N375,Input_Header,0)))</f>
        <v>0</v>
      </c>
      <c r="O377" s="698">
        <f>IF(O375="",0,INDEX(Input_Range,MATCH((C371&amp;B377),Input_Call,0),MATCH(O375,Input_Header,0)))</f>
        <v>0</v>
      </c>
      <c r="P377" s="698">
        <f>IF(P375="",0,INDEX(Input_Range,MATCH((C371&amp;B377),Input_Call,0),MATCH(P375,Input_Header,0)))</f>
        <v>0</v>
      </c>
      <c r="Q377" s="698">
        <f>IF(Q375="",0,INDEX(Input_Range,MATCH((C371&amp;B377),Input_Call,0),MATCH(Q375,Input_Header,0)))</f>
        <v>0</v>
      </c>
      <c r="R377" s="698">
        <f t="shared" ref="R377:R383" si="515">Q377</f>
        <v>0</v>
      </c>
      <c r="T377" s="699">
        <f t="shared" ref="T377:T383" si="516">T376</f>
        <v>0</v>
      </c>
      <c r="U377" s="699">
        <f t="shared" ref="U377:U383" si="517">U376</f>
        <v>12</v>
      </c>
      <c r="V377" s="699">
        <f t="shared" ref="V377:V383" si="518">V376</f>
        <v>0</v>
      </c>
      <c r="W377" s="699">
        <f t="shared" ref="W377:W383" si="519">W376</f>
        <v>0</v>
      </c>
      <c r="X377" s="699">
        <f t="shared" ref="X377:X383" si="520">X376</f>
        <v>0</v>
      </c>
      <c r="Y377" s="699">
        <f t="shared" ref="Y377:Y383" si="521">Y376</f>
        <v>0</v>
      </c>
      <c r="Z377" s="699">
        <f t="shared" ref="Z377:Z383" si="522">Z376</f>
        <v>0</v>
      </c>
      <c r="AA377" s="699">
        <f t="shared" ref="AA377:AA383" si="523">AA376</f>
        <v>0</v>
      </c>
      <c r="AB377" s="699">
        <f t="shared" ref="AB377:AB383" si="524">AB376</f>
        <v>0</v>
      </c>
      <c r="AC377" s="699">
        <f t="shared" ref="AC377:AC383" si="525">AC376</f>
        <v>0</v>
      </c>
      <c r="AD377" s="699">
        <f t="shared" ref="AD377:AD383" si="526">AD376</f>
        <v>0</v>
      </c>
      <c r="AE377" s="699">
        <f t="shared" ref="AE377:AE383" si="527">AE376</f>
        <v>0</v>
      </c>
      <c r="AF377" s="699">
        <f t="shared" ref="AF377:AF383" si="528">AF376</f>
        <v>0</v>
      </c>
      <c r="AG377" s="699">
        <f t="shared" ref="AG377:AG383" si="529">AG376</f>
        <v>0</v>
      </c>
      <c r="AI377" s="698">
        <f t="shared" si="512"/>
        <v>0</v>
      </c>
      <c r="AJ377" s="698"/>
      <c r="AK377" s="698"/>
      <c r="AL377" s="4" t="str">
        <f>$A377&amp;$C371&amp;InputSheet!C$42&amp;InputSheet!D$42</f>
        <v>Base YearESDOverheadContr</v>
      </c>
      <c r="AM377" s="700">
        <f t="shared" si="513"/>
        <v>0</v>
      </c>
      <c r="AP377" s="387" t="str">
        <f t="shared" si="442"/>
        <v>0</v>
      </c>
    </row>
    <row r="378" spans="1:42">
      <c r="A378" s="6" t="str">
        <f t="shared" si="514"/>
        <v>Base Year</v>
      </c>
      <c r="B378" s="6" t="str">
        <f>InputSheet!G$43</f>
        <v>Overhead - Onsite</v>
      </c>
      <c r="E378" s="698">
        <f>IF(E375="",0,INDEX(Input_Range,MATCH((C371&amp;B378),Input_Call,0),MATCH(E375,Input_Header,0)))</f>
        <v>0</v>
      </c>
      <c r="F378" s="698">
        <f>IF(F375="",0,INDEX(Input_Range,MATCH((C371&amp;B378),Input_Call,0),MATCH(F375,Input_Header,0)))</f>
        <v>0</v>
      </c>
      <c r="G378" s="698">
        <f>IF(G375="",0,INDEX(Input_Range,MATCH((C371&amp;B378),Input_Call,0),MATCH(G375,Input_Header,0)))</f>
        <v>0</v>
      </c>
      <c r="H378" s="698">
        <f>IF(H375="",0,INDEX(Input_Range,MATCH((C371&amp;B378),Input_Call,0),MATCH(H375,Input_Header,0)))</f>
        <v>0</v>
      </c>
      <c r="I378" s="698">
        <f>IF(I375="",0,INDEX(Input_Range,MATCH((C371&amp;B378),Input_Call,0),MATCH(I375,Input_Header,0)))</f>
        <v>0</v>
      </c>
      <c r="J378" s="698">
        <f>IF(J375="",0,INDEX(Input_Range,MATCH((C371&amp;B378),Input_Call,0),MATCH(J375,Input_Header,0)))</f>
        <v>0</v>
      </c>
      <c r="K378" s="698">
        <f>IF(K375="",0,INDEX(Input_Range,MATCH((C371&amp;B378),Input_Call,0),MATCH(K375,Input_Header,0)))</f>
        <v>0</v>
      </c>
      <c r="L378" s="698">
        <f>IF(L375="",0,INDEX(Input_Range,MATCH((C371&amp;B378),Input_Call,0),MATCH(L375,Input_Header,0)))</f>
        <v>0</v>
      </c>
      <c r="M378" s="698">
        <f>IF(M375="",0,INDEX(Input_Range,MATCH((C371&amp;B378),Input_Call,0),MATCH(M375,Input_Header,0)))</f>
        <v>0</v>
      </c>
      <c r="N378" s="698">
        <f>IF(N375="",0,INDEX(Input_Range,MATCH((C371&amp;B378),Input_Call,0),MATCH(N375,Input_Header,0)))</f>
        <v>0</v>
      </c>
      <c r="O378" s="698">
        <f>IF(O375="",0,INDEX(Input_Range,MATCH((C371&amp;B378),Input_Call,0),MATCH(O375,Input_Header,0)))</f>
        <v>0</v>
      </c>
      <c r="P378" s="698">
        <f>IF(P375="",0,INDEX(Input_Range,MATCH((C371&amp;B378),Input_Call,0),MATCH(P375,Input_Header,0)))</f>
        <v>0</v>
      </c>
      <c r="Q378" s="698">
        <f>IF(Q375="",0,INDEX(Input_Range,MATCH((C371&amp;B378),Input_Call,0),MATCH(Q375,Input_Header,0)))</f>
        <v>0</v>
      </c>
      <c r="R378" s="698">
        <f t="shared" si="515"/>
        <v>0</v>
      </c>
      <c r="T378" s="699">
        <f t="shared" si="516"/>
        <v>0</v>
      </c>
      <c r="U378" s="699">
        <f t="shared" si="517"/>
        <v>12</v>
      </c>
      <c r="V378" s="699">
        <f t="shared" si="518"/>
        <v>0</v>
      </c>
      <c r="W378" s="699">
        <f t="shared" si="519"/>
        <v>0</v>
      </c>
      <c r="X378" s="699">
        <f t="shared" si="520"/>
        <v>0</v>
      </c>
      <c r="Y378" s="699">
        <f t="shared" si="521"/>
        <v>0</v>
      </c>
      <c r="Z378" s="699">
        <f t="shared" si="522"/>
        <v>0</v>
      </c>
      <c r="AA378" s="699">
        <f t="shared" si="523"/>
        <v>0</v>
      </c>
      <c r="AB378" s="699">
        <f t="shared" si="524"/>
        <v>0</v>
      </c>
      <c r="AC378" s="699">
        <f t="shared" si="525"/>
        <v>0</v>
      </c>
      <c r="AD378" s="699">
        <f t="shared" si="526"/>
        <v>0</v>
      </c>
      <c r="AE378" s="699">
        <f t="shared" si="527"/>
        <v>0</v>
      </c>
      <c r="AF378" s="699">
        <f t="shared" si="528"/>
        <v>0</v>
      </c>
      <c r="AG378" s="699">
        <f t="shared" si="529"/>
        <v>0</v>
      </c>
      <c r="AI378" s="698">
        <f t="shared" si="512"/>
        <v>0</v>
      </c>
      <c r="AJ378" s="698"/>
      <c r="AK378" s="698"/>
      <c r="AL378" s="4" t="str">
        <f>$A378&amp;$C371&amp;InputSheet!C$43&amp;InputSheet!D$43</f>
        <v>Base YearESDOverheadGovt</v>
      </c>
      <c r="AM378" s="700">
        <f t="shared" si="513"/>
        <v>0</v>
      </c>
      <c r="AP378" s="387" t="str">
        <f t="shared" si="442"/>
        <v>1</v>
      </c>
    </row>
    <row r="379" spans="1:42">
      <c r="A379" s="6" t="str">
        <f t="shared" si="514"/>
        <v>Base Year</v>
      </c>
      <c r="B379" s="6" t="str">
        <f>InputSheet!G$44</f>
        <v>Material Handling</v>
      </c>
      <c r="E379" s="698">
        <f>IF(E375="",0,INDEX(Input_Range,MATCH((C371&amp;B379),Input_Call,0),MATCH(E375,Input_Header,0)))</f>
        <v>0</v>
      </c>
      <c r="F379" s="698">
        <f>IF(F375="",0,INDEX(Input_Range,MATCH((C371&amp;B379),Input_Call,0),MATCH(F375,Input_Header,0)))</f>
        <v>0</v>
      </c>
      <c r="G379" s="698">
        <f>IF(G375="",0,INDEX(Input_Range,MATCH((C371&amp;B379),Input_Call,0),MATCH(G375,Input_Header,0)))</f>
        <v>0</v>
      </c>
      <c r="H379" s="698">
        <f>IF(H375="",0,INDEX(Input_Range,MATCH((C371&amp;B379),Input_Call,0),MATCH(H375,Input_Header,0)))</f>
        <v>0</v>
      </c>
      <c r="I379" s="698">
        <f>IF(I375="",0,INDEX(Input_Range,MATCH((C371&amp;B379),Input_Call,0),MATCH(I375,Input_Header,0)))</f>
        <v>0</v>
      </c>
      <c r="J379" s="698">
        <f>IF(J375="",0,INDEX(Input_Range,MATCH((C371&amp;B379),Input_Call,0),MATCH(J375,Input_Header,0)))</f>
        <v>0</v>
      </c>
      <c r="K379" s="698">
        <f>IF(K375="",0,INDEX(Input_Range,MATCH((C371&amp;B379),Input_Call,0),MATCH(K375,Input_Header,0)))</f>
        <v>0</v>
      </c>
      <c r="L379" s="698">
        <f>IF(L375="",0,INDEX(Input_Range,MATCH((C371&amp;B379),Input_Call,0),MATCH(L375,Input_Header,0)))</f>
        <v>0</v>
      </c>
      <c r="M379" s="698">
        <f>IF(M375="",0,INDEX(Input_Range,MATCH((C371&amp;B379),Input_Call,0),MATCH(M375,Input_Header,0)))</f>
        <v>0</v>
      </c>
      <c r="N379" s="698">
        <f>IF(N375="",0,INDEX(Input_Range,MATCH((C371&amp;B379),Input_Call,0),MATCH(N375,Input_Header,0)))</f>
        <v>0</v>
      </c>
      <c r="O379" s="698">
        <f>IF(O375="",0,INDEX(Input_Range,MATCH((C371&amp;B379),Input_Call,0),MATCH(O375,Input_Header,0)))</f>
        <v>0</v>
      </c>
      <c r="P379" s="698">
        <f>IF(P375="",0,INDEX(Input_Range,MATCH((C371&amp;B379),Input_Call,0),MATCH(P375,Input_Header,0)))</f>
        <v>0</v>
      </c>
      <c r="Q379" s="698">
        <f>IF(Q375="",0,INDEX(Input_Range,MATCH((C371&amp;B379),Input_Call,0),MATCH(Q375,Input_Header,0)))</f>
        <v>0</v>
      </c>
      <c r="R379" s="698">
        <f t="shared" si="515"/>
        <v>0</v>
      </c>
      <c r="T379" s="699">
        <f t="shared" si="516"/>
        <v>0</v>
      </c>
      <c r="U379" s="699">
        <f t="shared" si="517"/>
        <v>12</v>
      </c>
      <c r="V379" s="699">
        <f t="shared" si="518"/>
        <v>0</v>
      </c>
      <c r="W379" s="699">
        <f t="shared" si="519"/>
        <v>0</v>
      </c>
      <c r="X379" s="699">
        <f t="shared" si="520"/>
        <v>0</v>
      </c>
      <c r="Y379" s="699">
        <f t="shared" si="521"/>
        <v>0</v>
      </c>
      <c r="Z379" s="699">
        <f t="shared" si="522"/>
        <v>0</v>
      </c>
      <c r="AA379" s="699">
        <f t="shared" si="523"/>
        <v>0</v>
      </c>
      <c r="AB379" s="699">
        <f t="shared" si="524"/>
        <v>0</v>
      </c>
      <c r="AC379" s="699">
        <f t="shared" si="525"/>
        <v>0</v>
      </c>
      <c r="AD379" s="699">
        <f t="shared" si="526"/>
        <v>0</v>
      </c>
      <c r="AE379" s="699">
        <f t="shared" si="527"/>
        <v>0</v>
      </c>
      <c r="AF379" s="699">
        <f t="shared" si="528"/>
        <v>0</v>
      </c>
      <c r="AG379" s="699">
        <f t="shared" si="529"/>
        <v>0</v>
      </c>
      <c r="AI379" s="698">
        <f t="shared" si="512"/>
        <v>0</v>
      </c>
      <c r="AJ379" s="698"/>
      <c r="AK379" s="698"/>
      <c r="AL379" s="4" t="str">
        <f>$A379&amp;$C371&amp;InputSheet!C$44&amp;InputSheet!D$44</f>
        <v>Base YearESDMHContr/Govt</v>
      </c>
      <c r="AM379" s="700">
        <f t="shared" si="513"/>
        <v>0</v>
      </c>
      <c r="AP379" s="387" t="str">
        <f t="shared" si="442"/>
        <v>0</v>
      </c>
    </row>
    <row r="380" spans="1:42">
      <c r="A380" s="6" t="str">
        <f t="shared" si="514"/>
        <v>Base Year</v>
      </c>
      <c r="B380" s="6" t="str">
        <f>InputSheet!G$45</f>
        <v>G&amp;A</v>
      </c>
      <c r="E380" s="698">
        <f>IF(E375="",0,INDEX(Input_Range,MATCH((C371&amp;B380),Input_Call,0),MATCH(E375,Input_Header,0)))</f>
        <v>0</v>
      </c>
      <c r="F380" s="698">
        <f>IF(F375="",0,INDEX(Input_Range,MATCH((C371&amp;B380),Input_Call,0),MATCH(F375,Input_Header,0)))</f>
        <v>0</v>
      </c>
      <c r="G380" s="698">
        <f>IF(G375="",0,INDEX(Input_Range,MATCH((C371&amp;B380),Input_Call,0),MATCH(G375,Input_Header,0)))</f>
        <v>0</v>
      </c>
      <c r="H380" s="698">
        <f>IF(H375="",0,INDEX(Input_Range,MATCH((C371&amp;B380),Input_Call,0),MATCH(H375,Input_Header,0)))</f>
        <v>0</v>
      </c>
      <c r="I380" s="698">
        <f>IF(I375="",0,INDEX(Input_Range,MATCH((C371&amp;B380),Input_Call,0),MATCH(I375,Input_Header,0)))</f>
        <v>0</v>
      </c>
      <c r="J380" s="698">
        <f>IF(J375="",0,INDEX(Input_Range,MATCH((C371&amp;B380),Input_Call,0),MATCH(J375,Input_Header,0)))</f>
        <v>0</v>
      </c>
      <c r="K380" s="698">
        <f>IF(K375="",0,INDEX(Input_Range,MATCH((C371&amp;B380),Input_Call,0),MATCH(K375,Input_Header,0)))</f>
        <v>0</v>
      </c>
      <c r="L380" s="698">
        <f>IF(L375="",0,INDEX(Input_Range,MATCH((C371&amp;B380),Input_Call,0),MATCH(L375,Input_Header,0)))</f>
        <v>0</v>
      </c>
      <c r="M380" s="698">
        <f>IF(M375="",0,INDEX(Input_Range,MATCH((C371&amp;B380),Input_Call,0),MATCH(M375,Input_Header,0)))</f>
        <v>0</v>
      </c>
      <c r="N380" s="698">
        <f>IF(N375="",0,INDEX(Input_Range,MATCH((C371&amp;B380),Input_Call,0),MATCH(N375,Input_Header,0)))</f>
        <v>0</v>
      </c>
      <c r="O380" s="698">
        <f>IF(O375="",0,INDEX(Input_Range,MATCH((C371&amp;B380),Input_Call,0),MATCH(O375,Input_Header,0)))</f>
        <v>0</v>
      </c>
      <c r="P380" s="698">
        <f>IF(P375="",0,INDEX(Input_Range,MATCH((C371&amp;B380),Input_Call,0),MATCH(P375,Input_Header,0)))</f>
        <v>0</v>
      </c>
      <c r="Q380" s="698">
        <f>IF(Q375="",0,INDEX(Input_Range,MATCH((C371&amp;B380),Input_Call,0),MATCH(Q375,Input_Header,0)))</f>
        <v>0</v>
      </c>
      <c r="R380" s="698">
        <f t="shared" si="515"/>
        <v>0</v>
      </c>
      <c r="T380" s="699">
        <f t="shared" si="516"/>
        <v>0</v>
      </c>
      <c r="U380" s="699">
        <f t="shared" si="517"/>
        <v>12</v>
      </c>
      <c r="V380" s="699">
        <f t="shared" si="518"/>
        <v>0</v>
      </c>
      <c r="W380" s="699">
        <f t="shared" si="519"/>
        <v>0</v>
      </c>
      <c r="X380" s="699">
        <f t="shared" si="520"/>
        <v>0</v>
      </c>
      <c r="Y380" s="699">
        <f t="shared" si="521"/>
        <v>0</v>
      </c>
      <c r="Z380" s="699">
        <f t="shared" si="522"/>
        <v>0</v>
      </c>
      <c r="AA380" s="699">
        <f t="shared" si="523"/>
        <v>0</v>
      </c>
      <c r="AB380" s="699">
        <f t="shared" si="524"/>
        <v>0</v>
      </c>
      <c r="AC380" s="699">
        <f t="shared" si="525"/>
        <v>0</v>
      </c>
      <c r="AD380" s="699">
        <f t="shared" si="526"/>
        <v>0</v>
      </c>
      <c r="AE380" s="699">
        <f t="shared" si="527"/>
        <v>0</v>
      </c>
      <c r="AF380" s="699">
        <f t="shared" si="528"/>
        <v>0</v>
      </c>
      <c r="AG380" s="699">
        <f t="shared" si="529"/>
        <v>0</v>
      </c>
      <c r="AI380" s="698">
        <f t="shared" si="512"/>
        <v>0</v>
      </c>
      <c r="AJ380" s="698"/>
      <c r="AK380" s="698"/>
      <c r="AL380" s="4" t="str">
        <f>$A380&amp;$C371&amp;InputSheet!C$45&amp;InputSheet!D$45</f>
        <v>Base YearESDG&amp;AContr/Govt</v>
      </c>
      <c r="AM380" s="700">
        <f t="shared" si="513"/>
        <v>0</v>
      </c>
      <c r="AP380" s="387" t="str">
        <f t="shared" si="442"/>
        <v>1</v>
      </c>
    </row>
    <row r="381" spans="1:42" outlineLevel="1">
      <c r="A381" s="6" t="str">
        <f t="shared" si="514"/>
        <v>Base Year</v>
      </c>
      <c r="B381" s="6" t="str">
        <f>InputSheet!G$46</f>
        <v>TBD1</v>
      </c>
      <c r="E381" s="21">
        <f>IF(E375="",0,INDEX(Input_Range,MATCH((C371&amp;B381),Input_Call,0),MATCH(E375,Input_Header,0)))</f>
        <v>0</v>
      </c>
      <c r="F381" s="21">
        <f>IF(F375="",0,INDEX(Input_Range,MATCH((C371&amp;B381),Input_Call,0),MATCH(F375,Input_Header,0)))</f>
        <v>0</v>
      </c>
      <c r="G381" s="21">
        <f>IF(G375="",0,INDEX(Input_Range,MATCH((C371&amp;B381),Input_Call,0),MATCH(G375,Input_Header,0)))</f>
        <v>0</v>
      </c>
      <c r="H381" s="21">
        <f>IF(H375="",0,INDEX(Input_Range,MATCH((C371&amp;B381),Input_Call,0),MATCH(H375,Input_Header,0)))</f>
        <v>0</v>
      </c>
      <c r="I381" s="21">
        <f>IF(I375="",0,INDEX(Input_Range,MATCH((C371&amp;B381),Input_Call,0),MATCH(I375,Input_Header,0)))</f>
        <v>0</v>
      </c>
      <c r="J381" s="21">
        <f>IF(J375="",0,INDEX(Input_Range,MATCH((C371&amp;B381),Input_Call,0),MATCH(J375,Input_Header,0)))</f>
        <v>0</v>
      </c>
      <c r="K381" s="21">
        <f>IF(K375="",0,INDEX(Input_Range,MATCH((C371&amp;B381),Input_Call,0),MATCH(K375,Input_Header,0)))</f>
        <v>0</v>
      </c>
      <c r="L381" s="21">
        <f>IF(L375="",0,INDEX(Input_Range,MATCH((C371&amp;B381),Input_Call,0),MATCH(L375,Input_Header,0)))</f>
        <v>0</v>
      </c>
      <c r="M381" s="21">
        <f>IF(M375="",0,INDEX(Input_Range,MATCH((C371&amp;B381),Input_Call,0),MATCH(M375,Input_Header,0)))</f>
        <v>0</v>
      </c>
      <c r="N381" s="21">
        <f>IF(N375="",0,INDEX(Input_Range,MATCH((C371&amp;B381),Input_Call,0),MATCH(N375,Input_Header,0)))</f>
        <v>0</v>
      </c>
      <c r="O381" s="21">
        <f>IF(O375="",0,INDEX(Input_Range,MATCH((C371&amp;B381),Input_Call,0),MATCH(O375,Input_Header,0)))</f>
        <v>0</v>
      </c>
      <c r="P381" s="21">
        <f>IF(P375="",0,INDEX(Input_Range,MATCH((C371&amp;B381),Input_Call,0),MATCH(P375,Input_Header,0)))</f>
        <v>0</v>
      </c>
      <c r="Q381" s="21">
        <f>IF(Q375="",0,INDEX(Input_Range,MATCH((C371&amp;B381),Input_Call,0),MATCH(Q375,Input_Header,0)))</f>
        <v>0</v>
      </c>
      <c r="R381" s="698">
        <f t="shared" si="515"/>
        <v>0</v>
      </c>
      <c r="T381" s="699">
        <f t="shared" si="516"/>
        <v>0</v>
      </c>
      <c r="U381" s="699">
        <f t="shared" si="517"/>
        <v>12</v>
      </c>
      <c r="V381" s="699">
        <f t="shared" si="518"/>
        <v>0</v>
      </c>
      <c r="W381" s="699">
        <f t="shared" si="519"/>
        <v>0</v>
      </c>
      <c r="X381" s="699">
        <f t="shared" si="520"/>
        <v>0</v>
      </c>
      <c r="Y381" s="699">
        <f t="shared" si="521"/>
        <v>0</v>
      </c>
      <c r="Z381" s="699">
        <f t="shared" si="522"/>
        <v>0</v>
      </c>
      <c r="AA381" s="699">
        <f t="shared" si="523"/>
        <v>0</v>
      </c>
      <c r="AB381" s="699">
        <f t="shared" si="524"/>
        <v>0</v>
      </c>
      <c r="AC381" s="699">
        <f t="shared" si="525"/>
        <v>0</v>
      </c>
      <c r="AD381" s="699">
        <f t="shared" si="526"/>
        <v>0</v>
      </c>
      <c r="AE381" s="699">
        <f t="shared" si="527"/>
        <v>0</v>
      </c>
      <c r="AF381" s="699">
        <f t="shared" si="528"/>
        <v>0</v>
      </c>
      <c r="AG381" s="699">
        <f t="shared" si="529"/>
        <v>0</v>
      </c>
      <c r="AI381" s="698">
        <f t="shared" si="512"/>
        <v>0</v>
      </c>
      <c r="AJ381" s="21"/>
      <c r="AK381" s="21"/>
      <c r="AL381" s="4" t="str">
        <f>$A381&amp;$C371&amp;InputSheet!C$46&amp;InputSheet!D$46</f>
        <v>Base YearESDTBD1Contr/Govt</v>
      </c>
      <c r="AM381" s="700">
        <f t="shared" si="513"/>
        <v>0</v>
      </c>
      <c r="AP381" s="387" t="str">
        <f t="shared" si="442"/>
        <v>0</v>
      </c>
    </row>
    <row r="382" spans="1:42" outlineLevel="1">
      <c r="A382" s="6" t="str">
        <f t="shared" si="514"/>
        <v>Base Year</v>
      </c>
      <c r="B382" s="6" t="str">
        <f>InputSheet!G$47</f>
        <v>TBD2</v>
      </c>
      <c r="E382" s="21">
        <f>IF(E375="",0,INDEX(Input_Range,MATCH((C371&amp;B382),Input_Call,0),MATCH(E375,Input_Header,0)))</f>
        <v>0</v>
      </c>
      <c r="F382" s="21">
        <f>IF(F375="",0,INDEX(Input_Range,MATCH((C371&amp;B382),Input_Call,0),MATCH(F375,Input_Header,0)))</f>
        <v>0</v>
      </c>
      <c r="G382" s="21">
        <f>IF(G375="",0,INDEX(Input_Range,MATCH((C371&amp;B382),Input_Call,0),MATCH(G375,Input_Header,0)))</f>
        <v>0</v>
      </c>
      <c r="H382" s="21">
        <f>IF(H375="",0,INDEX(Input_Range,MATCH((C371&amp;B382),Input_Call,0),MATCH(H375,Input_Header,0)))</f>
        <v>0</v>
      </c>
      <c r="I382" s="21">
        <f>IF(I375="",0,INDEX(Input_Range,MATCH((C371&amp;B382),Input_Call,0),MATCH(I375,Input_Header,0)))</f>
        <v>0</v>
      </c>
      <c r="J382" s="21">
        <f>IF(J375="",0,INDEX(Input_Range,MATCH((C371&amp;B382),Input_Call,0),MATCH(J375,Input_Header,0)))</f>
        <v>0</v>
      </c>
      <c r="K382" s="21">
        <f>IF(K375="",0,INDEX(Input_Range,MATCH((C371&amp;B382),Input_Call,0),MATCH(K375,Input_Header,0)))</f>
        <v>0</v>
      </c>
      <c r="L382" s="21">
        <f>IF(L375="",0,INDEX(Input_Range,MATCH((C371&amp;B382),Input_Call,0),MATCH(L375,Input_Header,0)))</f>
        <v>0</v>
      </c>
      <c r="M382" s="21">
        <f>IF(M375="",0,INDEX(Input_Range,MATCH((C371&amp;B382),Input_Call,0),MATCH(M375,Input_Header,0)))</f>
        <v>0</v>
      </c>
      <c r="N382" s="21">
        <f>IF(N375="",0,INDEX(Input_Range,MATCH((C371&amp;B382),Input_Call,0),MATCH(N375,Input_Header,0)))</f>
        <v>0</v>
      </c>
      <c r="O382" s="21">
        <f>IF(O375="",0,INDEX(Input_Range,MATCH((C371&amp;B382),Input_Call,0),MATCH(O375,Input_Header,0)))</f>
        <v>0</v>
      </c>
      <c r="P382" s="21">
        <f>IF(P375="",0,INDEX(Input_Range,MATCH((C371&amp;B382),Input_Call,0),MATCH(P375,Input_Header,0)))</f>
        <v>0</v>
      </c>
      <c r="Q382" s="21">
        <f>IF(Q375="",0,INDEX(Input_Range,MATCH((C371&amp;B382),Input_Call,0),MATCH(Q375,Input_Header,0)))</f>
        <v>0</v>
      </c>
      <c r="R382" s="698">
        <f t="shared" si="515"/>
        <v>0</v>
      </c>
      <c r="T382" s="699">
        <f t="shared" si="516"/>
        <v>0</v>
      </c>
      <c r="U382" s="699">
        <f t="shared" si="517"/>
        <v>12</v>
      </c>
      <c r="V382" s="699">
        <f t="shared" si="518"/>
        <v>0</v>
      </c>
      <c r="W382" s="699">
        <f t="shared" si="519"/>
        <v>0</v>
      </c>
      <c r="X382" s="699">
        <f t="shared" si="520"/>
        <v>0</v>
      </c>
      <c r="Y382" s="699">
        <f t="shared" si="521"/>
        <v>0</v>
      </c>
      <c r="Z382" s="699">
        <f t="shared" si="522"/>
        <v>0</v>
      </c>
      <c r="AA382" s="699">
        <f t="shared" si="523"/>
        <v>0</v>
      </c>
      <c r="AB382" s="699">
        <f t="shared" si="524"/>
        <v>0</v>
      </c>
      <c r="AC382" s="699">
        <f t="shared" si="525"/>
        <v>0</v>
      </c>
      <c r="AD382" s="699">
        <f t="shared" si="526"/>
        <v>0</v>
      </c>
      <c r="AE382" s="699">
        <f t="shared" si="527"/>
        <v>0</v>
      </c>
      <c r="AF382" s="699">
        <f t="shared" si="528"/>
        <v>0</v>
      </c>
      <c r="AG382" s="699">
        <f t="shared" si="529"/>
        <v>0</v>
      </c>
      <c r="AI382" s="698">
        <f t="shared" si="512"/>
        <v>0</v>
      </c>
      <c r="AJ382" s="21"/>
      <c r="AK382" s="21"/>
      <c r="AL382" s="4" t="str">
        <f>$A382&amp;$C371&amp;InputSheet!C$47&amp;InputSheet!D$47</f>
        <v>Base YearESDTBD2Contr/Govt</v>
      </c>
      <c r="AM382" s="700">
        <f t="shared" si="513"/>
        <v>0</v>
      </c>
      <c r="AP382" s="387" t="str">
        <f t="shared" si="442"/>
        <v>0</v>
      </c>
    </row>
    <row r="383" spans="1:42" outlineLevel="1">
      <c r="A383" s="6" t="str">
        <f t="shared" si="514"/>
        <v>Base Year</v>
      </c>
      <c r="B383" s="6" t="str">
        <f>InputSheet!G$48</f>
        <v>TBD3</v>
      </c>
      <c r="E383" s="21">
        <f>IF(E375="",0,INDEX(Input_Range,MATCH((C371&amp;B383),Input_Call,0),MATCH(E375,Input_Header,0)))</f>
        <v>0</v>
      </c>
      <c r="F383" s="21">
        <f>IF(F375="",0,INDEX(Input_Range,MATCH((C371&amp;B383),Input_Call,0),MATCH(F375,Input_Header,0)))</f>
        <v>0</v>
      </c>
      <c r="G383" s="21">
        <f>IF(G375="",0,INDEX(Input_Range,MATCH((C371&amp;B383),Input_Call,0),MATCH(G375,Input_Header,0)))</f>
        <v>0</v>
      </c>
      <c r="H383" s="21">
        <f>IF(H375="",0,INDEX(Input_Range,MATCH((C371&amp;B383),Input_Call,0),MATCH(H375,Input_Header,0)))</f>
        <v>0</v>
      </c>
      <c r="I383" s="21">
        <f>IF(I375="",0,INDEX(Input_Range,MATCH((C371&amp;B383),Input_Call,0),MATCH(I375,Input_Header,0)))</f>
        <v>0</v>
      </c>
      <c r="J383" s="21">
        <f>IF(J375="",0,INDEX(Input_Range,MATCH((C371&amp;B383),Input_Call,0),MATCH(J375,Input_Header,0)))</f>
        <v>0</v>
      </c>
      <c r="K383" s="21">
        <f>IF(K375="",0,INDEX(Input_Range,MATCH((C371&amp;B383),Input_Call,0),MATCH(K375,Input_Header,0)))</f>
        <v>0</v>
      </c>
      <c r="L383" s="21">
        <f>IF(L375="",0,INDEX(Input_Range,MATCH((C371&amp;B383),Input_Call,0),MATCH(L375,Input_Header,0)))</f>
        <v>0</v>
      </c>
      <c r="M383" s="21">
        <f>IF(M375="",0,INDEX(Input_Range,MATCH((C371&amp;B383),Input_Call,0),MATCH(M375,Input_Header,0)))</f>
        <v>0</v>
      </c>
      <c r="N383" s="21">
        <f>IF(N375="",0,INDEX(Input_Range,MATCH((C371&amp;B383),Input_Call,0),MATCH(N375,Input_Header,0)))</f>
        <v>0</v>
      </c>
      <c r="O383" s="21">
        <f>IF(O375="",0,INDEX(Input_Range,MATCH((C371&amp;B383),Input_Call,0),MATCH(O375,Input_Header,0)))</f>
        <v>0</v>
      </c>
      <c r="P383" s="21">
        <f>IF(P375="",0,INDEX(Input_Range,MATCH((C371&amp;B383),Input_Call,0),MATCH(P375,Input_Header,0)))</f>
        <v>0</v>
      </c>
      <c r="Q383" s="21">
        <f>IF(Q375="",0,INDEX(Input_Range,MATCH((C371&amp;B383),Input_Call,0),MATCH(Q375,Input_Header,0)))</f>
        <v>0</v>
      </c>
      <c r="R383" s="698">
        <f t="shared" si="515"/>
        <v>0</v>
      </c>
      <c r="T383" s="699">
        <f t="shared" si="516"/>
        <v>0</v>
      </c>
      <c r="U383" s="699">
        <f t="shared" si="517"/>
        <v>12</v>
      </c>
      <c r="V383" s="699">
        <f t="shared" si="518"/>
        <v>0</v>
      </c>
      <c r="W383" s="699">
        <f t="shared" si="519"/>
        <v>0</v>
      </c>
      <c r="X383" s="699">
        <f t="shared" si="520"/>
        <v>0</v>
      </c>
      <c r="Y383" s="699">
        <f t="shared" si="521"/>
        <v>0</v>
      </c>
      <c r="Z383" s="699">
        <f t="shared" si="522"/>
        <v>0</v>
      </c>
      <c r="AA383" s="699">
        <f t="shared" si="523"/>
        <v>0</v>
      </c>
      <c r="AB383" s="699">
        <f t="shared" si="524"/>
        <v>0</v>
      </c>
      <c r="AC383" s="699">
        <f t="shared" si="525"/>
        <v>0</v>
      </c>
      <c r="AD383" s="699">
        <f t="shared" si="526"/>
        <v>0</v>
      </c>
      <c r="AE383" s="699">
        <f t="shared" si="527"/>
        <v>0</v>
      </c>
      <c r="AF383" s="699">
        <f t="shared" si="528"/>
        <v>0</v>
      </c>
      <c r="AG383" s="699">
        <f t="shared" si="529"/>
        <v>0</v>
      </c>
      <c r="AI383" s="698">
        <f t="shared" si="512"/>
        <v>0</v>
      </c>
      <c r="AJ383" s="21"/>
      <c r="AK383" s="21"/>
      <c r="AL383" s="4" t="str">
        <f>$A383&amp;$C371&amp;InputSheet!C$48&amp;InputSheet!D$48</f>
        <v>Base YearESDTBD3Contr/Govt</v>
      </c>
      <c r="AM383" s="700">
        <f t="shared" si="513"/>
        <v>0</v>
      </c>
      <c r="AP383" s="387" t="str">
        <f t="shared" si="442"/>
        <v>0</v>
      </c>
    </row>
    <row r="384" spans="1:42">
      <c r="E384" s="698"/>
      <c r="F384" s="698"/>
      <c r="G384" s="698"/>
      <c r="H384" s="698"/>
      <c r="I384" s="698"/>
      <c r="J384" s="698"/>
      <c r="K384" s="698"/>
      <c r="L384" s="698"/>
      <c r="M384" s="698"/>
      <c r="N384" s="698"/>
      <c r="O384" s="698"/>
      <c r="P384" s="698"/>
      <c r="Q384" s="698"/>
      <c r="R384" s="698"/>
      <c r="AI384" s="21"/>
      <c r="AJ384" s="21"/>
      <c r="AK384" s="21"/>
      <c r="AP384" s="387" t="str">
        <f t="shared" si="442"/>
        <v>1</v>
      </c>
    </row>
    <row r="385" spans="1:42">
      <c r="A385" s="530" t="str">
        <f>B385</f>
        <v>Option Year 1</v>
      </c>
      <c r="B385" s="691" t="str">
        <f>InputSheet!$C$23</f>
        <v>Option Year 1</v>
      </c>
      <c r="C385" s="28"/>
      <c r="AP385" s="387" t="str">
        <f t="shared" si="442"/>
        <v>1</v>
      </c>
    </row>
    <row r="386" spans="1:42">
      <c r="B386" s="314" t="s">
        <v>587</v>
      </c>
      <c r="C386" s="692" t="s">
        <v>588</v>
      </c>
      <c r="E386" s="1216" t="str">
        <f>"Indirect Rates - "&amp;C$371</f>
        <v>Indirect Rates - ESD</v>
      </c>
      <c r="F386" s="1216"/>
      <c r="G386" s="1216"/>
      <c r="H386" s="1216"/>
      <c r="I386" s="1216"/>
      <c r="J386" s="1216"/>
      <c r="K386" s="1216"/>
      <c r="L386" s="1216"/>
      <c r="M386" s="1216"/>
      <c r="N386" s="1216"/>
      <c r="O386" s="1216"/>
      <c r="P386" s="1216"/>
      <c r="Q386" s="1216"/>
      <c r="R386" s="1216"/>
      <c r="S386" s="844"/>
      <c r="T386" s="1217" t="s">
        <v>794</v>
      </c>
      <c r="U386" s="1217"/>
      <c r="V386" s="1217"/>
      <c r="W386" s="1217"/>
      <c r="X386" s="1217"/>
      <c r="Y386" s="1217"/>
      <c r="Z386" s="1217"/>
      <c r="AA386" s="1217"/>
      <c r="AB386" s="1217"/>
      <c r="AC386" s="1217"/>
      <c r="AD386" s="1217"/>
      <c r="AE386" s="1217"/>
      <c r="AF386" s="1217"/>
      <c r="AG386" s="1217"/>
      <c r="AI386" s="692" t="s">
        <v>615</v>
      </c>
      <c r="AJ386" s="50"/>
      <c r="AK386" s="50"/>
      <c r="AP386" s="387" t="str">
        <f t="shared" si="442"/>
        <v>1</v>
      </c>
    </row>
    <row r="387" spans="1:42">
      <c r="B387" s="693">
        <f>VLOOKUP(A385,InputSheet!$C$8:$E$37,2,FALSE)</f>
        <v>40544</v>
      </c>
      <c r="C387" s="694">
        <f>VLOOKUP(A385,InputSheet!$C$8:$E$37,3,FALSE)</f>
        <v>40908</v>
      </c>
      <c r="E387" s="695">
        <f t="shared" ref="E387:R387" si="530">E375</f>
        <v>2009</v>
      </c>
      <c r="F387" s="695">
        <f t="shared" si="530"/>
        <v>2010</v>
      </c>
      <c r="G387" s="695">
        <f t="shared" si="530"/>
        <v>2011</v>
      </c>
      <c r="H387" s="695">
        <f t="shared" si="530"/>
        <v>2012</v>
      </c>
      <c r="I387" s="695">
        <f t="shared" si="530"/>
        <v>2013</v>
      </c>
      <c r="J387" s="695">
        <f t="shared" si="530"/>
        <v>2014</v>
      </c>
      <c r="K387" s="695">
        <f t="shared" si="530"/>
        <v>2015</v>
      </c>
      <c r="L387" s="695">
        <f t="shared" si="530"/>
        <v>2016</v>
      </c>
      <c r="M387" s="695">
        <f t="shared" si="530"/>
        <v>2017</v>
      </c>
      <c r="N387" s="695">
        <f t="shared" si="530"/>
        <v>2018</v>
      </c>
      <c r="O387" s="695">
        <f t="shared" si="530"/>
        <v>2019</v>
      </c>
      <c r="P387" s="695">
        <f t="shared" si="530"/>
        <v>2020</v>
      </c>
      <c r="Q387" s="695">
        <f t="shared" si="530"/>
        <v>2021</v>
      </c>
      <c r="R387" s="695">
        <f t="shared" si="530"/>
        <v>2022</v>
      </c>
      <c r="S387" s="680"/>
      <c r="T387" s="695">
        <f t="shared" ref="T387:AG387" si="531">T375</f>
        <v>2009</v>
      </c>
      <c r="U387" s="695">
        <f t="shared" si="531"/>
        <v>2010</v>
      </c>
      <c r="V387" s="695">
        <f t="shared" si="531"/>
        <v>2011</v>
      </c>
      <c r="W387" s="695">
        <f t="shared" si="531"/>
        <v>2012</v>
      </c>
      <c r="X387" s="695">
        <f t="shared" si="531"/>
        <v>2013</v>
      </c>
      <c r="Y387" s="695">
        <f t="shared" si="531"/>
        <v>2014</v>
      </c>
      <c r="Z387" s="695">
        <f t="shared" si="531"/>
        <v>2015</v>
      </c>
      <c r="AA387" s="695">
        <f t="shared" si="531"/>
        <v>2016</v>
      </c>
      <c r="AB387" s="695">
        <f t="shared" si="531"/>
        <v>2017</v>
      </c>
      <c r="AC387" s="695">
        <f t="shared" si="531"/>
        <v>2018</v>
      </c>
      <c r="AD387" s="695">
        <f t="shared" si="531"/>
        <v>2019</v>
      </c>
      <c r="AE387" s="695">
        <f t="shared" si="531"/>
        <v>2020</v>
      </c>
      <c r="AF387" s="695">
        <f t="shared" si="531"/>
        <v>2021</v>
      </c>
      <c r="AG387" s="695">
        <f t="shared" si="531"/>
        <v>2022</v>
      </c>
      <c r="AI387" s="696" t="str">
        <f>B385</f>
        <v>Option Year 1</v>
      </c>
      <c r="AJ387" s="28"/>
      <c r="AK387" s="28"/>
      <c r="AP387" s="387" t="str">
        <f t="shared" si="442"/>
        <v>1</v>
      </c>
    </row>
    <row r="388" spans="1:42">
      <c r="A388" s="6" t="str">
        <f>A385</f>
        <v>Option Year 1</v>
      </c>
      <c r="B388" s="6" t="str">
        <f t="shared" ref="B388:B395" si="532">B376</f>
        <v>PRB</v>
      </c>
      <c r="E388" s="698">
        <f>IF(E387="",0,INDEX(Input_Range,MATCH((C371&amp;B388),Input_Call,0),MATCH(E387,Input_Header,0)))</f>
        <v>0</v>
      </c>
      <c r="F388" s="698">
        <f>IF(F387="",0,INDEX(Input_Range,MATCH((C371&amp;B388),Input_Call,0),MATCH(F387,Input_Header,0)))</f>
        <v>0</v>
      </c>
      <c r="G388" s="698">
        <f>IF(G387="",0,INDEX(Input_Range,MATCH((C371&amp;B388),Input_Call,0),MATCH(G387,Input_Header,0)))</f>
        <v>0</v>
      </c>
      <c r="H388" s="698">
        <f>IF(H387="",0,INDEX(Input_Range,MATCH((C371&amp;B388),Input_Call,0),MATCH(H387,Input_Header,0)))</f>
        <v>0</v>
      </c>
      <c r="I388" s="698">
        <f>IF(I387="",0,INDEX(Input_Range,MATCH((C371&amp;B388),Input_Call,0),MATCH(I387,Input_Header,0)))</f>
        <v>0</v>
      </c>
      <c r="J388" s="698">
        <f>IF(J387="",0,INDEX(Input_Range,MATCH((C371&amp;B388),Input_Call,0),MATCH(J387,Input_Header,0)))</f>
        <v>0</v>
      </c>
      <c r="K388" s="698">
        <f>IF(K387="",0,INDEX(Input_Range,MATCH((C371&amp;B388),Input_Call,0),MATCH(K387,Input_Header,0)))</f>
        <v>0</v>
      </c>
      <c r="L388" s="698">
        <f>IF(L387="",0,INDEX(Input_Range,MATCH((C371&amp;B388),Input_Call,0),MATCH(L387,Input_Header,0)))</f>
        <v>0</v>
      </c>
      <c r="M388" s="698">
        <f>IF(M387="",0,INDEX(Input_Range,MATCH((C371&amp;B388),Input_Call,0),MATCH(M387,Input_Header,0)))</f>
        <v>0</v>
      </c>
      <c r="N388" s="698">
        <f>IF(N387="",0,INDEX(Input_Range,MATCH((C371&amp;B388),Input_Call,0),MATCH(N387,Input_Header,0)))</f>
        <v>0</v>
      </c>
      <c r="O388" s="698">
        <f>IF(O387="",0,INDEX(Input_Range,MATCH((C371&amp;B388),Input_Call,0),MATCH(O387,Input_Header,0)))</f>
        <v>0</v>
      </c>
      <c r="P388" s="698">
        <f>IF(P387="",0,INDEX(Input_Range,MATCH((C371&amp;B388),Input_Call,0),MATCH(P387,Input_Header,0)))</f>
        <v>0</v>
      </c>
      <c r="Q388" s="698">
        <f>IF(Q387="",0,INDEX(Input_Range,MATCH((C371&amp;B388),Input_Call,0),MATCH(Q387,Input_Header,0)))</f>
        <v>0</v>
      </c>
      <c r="R388" s="698">
        <f>Q388</f>
        <v>0</v>
      </c>
      <c r="T388" s="699">
        <f>ROUND((MAX(0,(MIN($C387,DATE(T$23,12,31))-MAX($B387,DATE(T$23,1,1))+1)))/30.41667,0)</f>
        <v>0</v>
      </c>
      <c r="U388" s="699">
        <f>ROUND((MAX(0,(MIN($C387,DATE(U$23,12,31))-MAX($B387,DATE(U$23,1,1))+1)))/30.41667,0)</f>
        <v>0</v>
      </c>
      <c r="V388" s="699">
        <f t="shared" ref="V388:AG388" si="533">ROUND((MAX(0,(MIN($C387,DATE(V$23,12,31))-MAX($B387,DATE(V$23,1,1))+1)))/30.41667,0)</f>
        <v>12</v>
      </c>
      <c r="W388" s="699">
        <f t="shared" si="533"/>
        <v>0</v>
      </c>
      <c r="X388" s="699">
        <f t="shared" si="533"/>
        <v>0</v>
      </c>
      <c r="Y388" s="699">
        <f t="shared" si="533"/>
        <v>0</v>
      </c>
      <c r="Z388" s="699">
        <f t="shared" si="533"/>
        <v>0</v>
      </c>
      <c r="AA388" s="699">
        <f t="shared" si="533"/>
        <v>0</v>
      </c>
      <c r="AB388" s="699">
        <f t="shared" si="533"/>
        <v>0</v>
      </c>
      <c r="AC388" s="699">
        <f t="shared" si="533"/>
        <v>0</v>
      </c>
      <c r="AD388" s="699">
        <f t="shared" si="533"/>
        <v>0</v>
      </c>
      <c r="AE388" s="699">
        <f t="shared" si="533"/>
        <v>0</v>
      </c>
      <c r="AF388" s="699">
        <f t="shared" si="533"/>
        <v>0</v>
      </c>
      <c r="AG388" s="699">
        <f t="shared" si="533"/>
        <v>0</v>
      </c>
      <c r="AI388" s="698">
        <f t="shared" ref="AI388:AI395" si="534">ROUND(SUMPRODUCT(E388:R388,T388:AG388)/SUM(T388:AG388),4)</f>
        <v>0</v>
      </c>
      <c r="AJ388" s="698"/>
      <c r="AK388" s="698"/>
      <c r="AL388" s="4" t="str">
        <f>$A388&amp;$C371&amp;InputSheet!C$41&amp;InputSheet!D$41</f>
        <v>Option Year 1ESDPRBContr/Govt</v>
      </c>
      <c r="AM388" s="700">
        <f t="shared" ref="AM388:AM395" si="535">AI388</f>
        <v>0</v>
      </c>
      <c r="AP388" s="387" t="str">
        <f t="shared" si="442"/>
        <v>1</v>
      </c>
    </row>
    <row r="389" spans="1:42">
      <c r="A389" s="6" t="str">
        <f t="shared" ref="A389:A395" si="536">A388</f>
        <v>Option Year 1</v>
      </c>
      <c r="B389" s="6" t="str">
        <f t="shared" si="532"/>
        <v>Overhead - Offsite</v>
      </c>
      <c r="E389" s="698">
        <f>IF(E387="",0,INDEX(Input_Range,MATCH((C371&amp;B389),Input_Call,0),MATCH(E387,Input_Header,0)))</f>
        <v>0</v>
      </c>
      <c r="F389" s="698">
        <f>IF(F387="",0,INDEX(Input_Range,MATCH((C371&amp;B389),Input_Call,0),MATCH(F387,Input_Header,0)))</f>
        <v>0</v>
      </c>
      <c r="G389" s="698">
        <f>IF(G387="",0,INDEX(Input_Range,MATCH((C371&amp;B389),Input_Call,0),MATCH(G387,Input_Header,0)))</f>
        <v>0</v>
      </c>
      <c r="H389" s="698">
        <f>IF(H387="",0,INDEX(Input_Range,MATCH((C371&amp;B389),Input_Call,0),MATCH(H387,Input_Header,0)))</f>
        <v>0</v>
      </c>
      <c r="I389" s="698">
        <f>IF(I387="",0,INDEX(Input_Range,MATCH((C371&amp;B389),Input_Call,0),MATCH(I387,Input_Header,0)))</f>
        <v>0</v>
      </c>
      <c r="J389" s="698">
        <f>IF(J387="",0,INDEX(Input_Range,MATCH((C371&amp;B389),Input_Call,0),MATCH(J387,Input_Header,0)))</f>
        <v>0</v>
      </c>
      <c r="K389" s="698">
        <f>IF(K387="",0,INDEX(Input_Range,MATCH((C371&amp;B389),Input_Call,0),MATCH(K387,Input_Header,0)))</f>
        <v>0</v>
      </c>
      <c r="L389" s="698">
        <f>IF(L387="",0,INDEX(Input_Range,MATCH((C371&amp;B389),Input_Call,0),MATCH(L387,Input_Header,0)))</f>
        <v>0</v>
      </c>
      <c r="M389" s="698">
        <f>IF(M387="",0,INDEX(Input_Range,MATCH((C371&amp;B389),Input_Call,0),MATCH(M387,Input_Header,0)))</f>
        <v>0</v>
      </c>
      <c r="N389" s="698">
        <f>IF(N387="",0,INDEX(Input_Range,MATCH((C371&amp;B389),Input_Call,0),MATCH(N387,Input_Header,0)))</f>
        <v>0</v>
      </c>
      <c r="O389" s="698">
        <f>IF(O387="",0,INDEX(Input_Range,MATCH((C371&amp;B389),Input_Call,0),MATCH(O387,Input_Header,0)))</f>
        <v>0</v>
      </c>
      <c r="P389" s="698">
        <f>IF(P387="",0,INDEX(Input_Range,MATCH((C371&amp;B389),Input_Call,0),MATCH(P387,Input_Header,0)))</f>
        <v>0</v>
      </c>
      <c r="Q389" s="698">
        <f>IF(Q387="",0,INDEX(Input_Range,MATCH((C371&amp;B389),Input_Call,0),MATCH(Q387,Input_Header,0)))</f>
        <v>0</v>
      </c>
      <c r="R389" s="698">
        <f t="shared" ref="R389:R395" si="537">Q389</f>
        <v>0</v>
      </c>
      <c r="T389" s="699">
        <f t="shared" ref="T389:T395" si="538">T388</f>
        <v>0</v>
      </c>
      <c r="U389" s="699">
        <f t="shared" ref="U389:U395" si="539">U388</f>
        <v>0</v>
      </c>
      <c r="V389" s="699">
        <f t="shared" ref="V389:V395" si="540">V388</f>
        <v>12</v>
      </c>
      <c r="W389" s="699">
        <f t="shared" ref="W389:W395" si="541">W388</f>
        <v>0</v>
      </c>
      <c r="X389" s="699">
        <f t="shared" ref="X389:X395" si="542">X388</f>
        <v>0</v>
      </c>
      <c r="Y389" s="699">
        <f t="shared" ref="Y389:Y395" si="543">Y388</f>
        <v>0</v>
      </c>
      <c r="Z389" s="699">
        <f t="shared" ref="Z389:Z395" si="544">Z388</f>
        <v>0</v>
      </c>
      <c r="AA389" s="699">
        <f t="shared" ref="AA389:AA395" si="545">AA388</f>
        <v>0</v>
      </c>
      <c r="AB389" s="699">
        <f t="shared" ref="AB389:AB395" si="546">AB388</f>
        <v>0</v>
      </c>
      <c r="AC389" s="699">
        <f t="shared" ref="AC389:AC395" si="547">AC388</f>
        <v>0</v>
      </c>
      <c r="AD389" s="699">
        <f t="shared" ref="AD389:AD395" si="548">AD388</f>
        <v>0</v>
      </c>
      <c r="AE389" s="699">
        <f t="shared" ref="AE389:AE395" si="549">AE388</f>
        <v>0</v>
      </c>
      <c r="AF389" s="699">
        <f t="shared" ref="AF389:AF395" si="550">AF388</f>
        <v>0</v>
      </c>
      <c r="AG389" s="699">
        <f t="shared" ref="AG389:AG395" si="551">AG388</f>
        <v>0</v>
      </c>
      <c r="AI389" s="698">
        <f t="shared" si="534"/>
        <v>0</v>
      </c>
      <c r="AJ389" s="698"/>
      <c r="AK389" s="698"/>
      <c r="AL389" s="4" t="str">
        <f>$A389&amp;$C371&amp;InputSheet!C$42&amp;InputSheet!D$42</f>
        <v>Option Year 1ESDOverheadContr</v>
      </c>
      <c r="AM389" s="700">
        <f t="shared" si="535"/>
        <v>0</v>
      </c>
      <c r="AP389" s="387" t="str">
        <f t="shared" si="442"/>
        <v>0</v>
      </c>
    </row>
    <row r="390" spans="1:42">
      <c r="A390" s="6" t="str">
        <f t="shared" si="536"/>
        <v>Option Year 1</v>
      </c>
      <c r="B390" s="6" t="str">
        <f t="shared" si="532"/>
        <v>Overhead - Onsite</v>
      </c>
      <c r="E390" s="698">
        <f>IF(E387="",0,INDEX(Input_Range,MATCH((C371&amp;B390),Input_Call,0),MATCH(E387,Input_Header,0)))</f>
        <v>0</v>
      </c>
      <c r="F390" s="698">
        <f>IF(F387="",0,INDEX(Input_Range,MATCH((C371&amp;B390),Input_Call,0),MATCH(F387,Input_Header,0)))</f>
        <v>0</v>
      </c>
      <c r="G390" s="698">
        <f>IF(G387="",0,INDEX(Input_Range,MATCH((C371&amp;B390),Input_Call,0),MATCH(G387,Input_Header,0)))</f>
        <v>0</v>
      </c>
      <c r="H390" s="698">
        <f>IF(H387="",0,INDEX(Input_Range,MATCH((C371&amp;B390),Input_Call,0),MATCH(H387,Input_Header,0)))</f>
        <v>0</v>
      </c>
      <c r="I390" s="698">
        <f>IF(I387="",0,INDEX(Input_Range,MATCH((C371&amp;B390),Input_Call,0),MATCH(I387,Input_Header,0)))</f>
        <v>0</v>
      </c>
      <c r="J390" s="698">
        <f>IF(J387="",0,INDEX(Input_Range,MATCH((C371&amp;B390),Input_Call,0),MATCH(J387,Input_Header,0)))</f>
        <v>0</v>
      </c>
      <c r="K390" s="698">
        <f>IF(K387="",0,INDEX(Input_Range,MATCH((C371&amp;B390),Input_Call,0),MATCH(K387,Input_Header,0)))</f>
        <v>0</v>
      </c>
      <c r="L390" s="698">
        <f>IF(L387="",0,INDEX(Input_Range,MATCH((C371&amp;B390),Input_Call,0),MATCH(L387,Input_Header,0)))</f>
        <v>0</v>
      </c>
      <c r="M390" s="698">
        <f>IF(M387="",0,INDEX(Input_Range,MATCH((C371&amp;B390),Input_Call,0),MATCH(M387,Input_Header,0)))</f>
        <v>0</v>
      </c>
      <c r="N390" s="698">
        <f>IF(N387="",0,INDEX(Input_Range,MATCH((C371&amp;B390),Input_Call,0),MATCH(N387,Input_Header,0)))</f>
        <v>0</v>
      </c>
      <c r="O390" s="698">
        <f>IF(O387="",0,INDEX(Input_Range,MATCH((C371&amp;B390),Input_Call,0),MATCH(O387,Input_Header,0)))</f>
        <v>0</v>
      </c>
      <c r="P390" s="698">
        <f>IF(P387="",0,INDEX(Input_Range,MATCH((C371&amp;B390),Input_Call,0),MATCH(P387,Input_Header,0)))</f>
        <v>0</v>
      </c>
      <c r="Q390" s="698">
        <f>IF(Q387="",0,INDEX(Input_Range,MATCH((C371&amp;B390),Input_Call,0),MATCH(Q387,Input_Header,0)))</f>
        <v>0</v>
      </c>
      <c r="R390" s="698">
        <f t="shared" si="537"/>
        <v>0</v>
      </c>
      <c r="T390" s="699">
        <f t="shared" si="538"/>
        <v>0</v>
      </c>
      <c r="U390" s="699">
        <f t="shared" si="539"/>
        <v>0</v>
      </c>
      <c r="V390" s="699">
        <f t="shared" si="540"/>
        <v>12</v>
      </c>
      <c r="W390" s="699">
        <f t="shared" si="541"/>
        <v>0</v>
      </c>
      <c r="X390" s="699">
        <f t="shared" si="542"/>
        <v>0</v>
      </c>
      <c r="Y390" s="699">
        <f t="shared" si="543"/>
        <v>0</v>
      </c>
      <c r="Z390" s="699">
        <f t="shared" si="544"/>
        <v>0</v>
      </c>
      <c r="AA390" s="699">
        <f t="shared" si="545"/>
        <v>0</v>
      </c>
      <c r="AB390" s="699">
        <f t="shared" si="546"/>
        <v>0</v>
      </c>
      <c r="AC390" s="699">
        <f t="shared" si="547"/>
        <v>0</v>
      </c>
      <c r="AD390" s="699">
        <f t="shared" si="548"/>
        <v>0</v>
      </c>
      <c r="AE390" s="699">
        <f t="shared" si="549"/>
        <v>0</v>
      </c>
      <c r="AF390" s="699">
        <f t="shared" si="550"/>
        <v>0</v>
      </c>
      <c r="AG390" s="699">
        <f t="shared" si="551"/>
        <v>0</v>
      </c>
      <c r="AI390" s="698">
        <f t="shared" si="534"/>
        <v>0</v>
      </c>
      <c r="AJ390" s="698"/>
      <c r="AK390" s="698"/>
      <c r="AL390" s="4" t="str">
        <f>$A390&amp;$C371&amp;InputSheet!C$43&amp;InputSheet!D$43</f>
        <v>Option Year 1ESDOverheadGovt</v>
      </c>
      <c r="AM390" s="700">
        <f t="shared" si="535"/>
        <v>0</v>
      </c>
      <c r="AP390" s="387" t="str">
        <f t="shared" si="442"/>
        <v>1</v>
      </c>
    </row>
    <row r="391" spans="1:42">
      <c r="A391" s="6" t="str">
        <f t="shared" si="536"/>
        <v>Option Year 1</v>
      </c>
      <c r="B391" s="6" t="str">
        <f t="shared" si="532"/>
        <v>Material Handling</v>
      </c>
      <c r="E391" s="698">
        <f>IF(E387="",0,INDEX(Input_Range,MATCH((C371&amp;B391),Input_Call,0),MATCH(E387,Input_Header,0)))</f>
        <v>0</v>
      </c>
      <c r="F391" s="698">
        <f>IF(F387="",0,INDEX(Input_Range,MATCH((C371&amp;B391),Input_Call,0),MATCH(F387,Input_Header,0)))</f>
        <v>0</v>
      </c>
      <c r="G391" s="698">
        <f>IF(G387="",0,INDEX(Input_Range,MATCH((C371&amp;B391),Input_Call,0),MATCH(G387,Input_Header,0)))</f>
        <v>0</v>
      </c>
      <c r="H391" s="698">
        <f>IF(H387="",0,INDEX(Input_Range,MATCH((C371&amp;B391),Input_Call,0),MATCH(H387,Input_Header,0)))</f>
        <v>0</v>
      </c>
      <c r="I391" s="698">
        <f>IF(I387="",0,INDEX(Input_Range,MATCH((C371&amp;B391),Input_Call,0),MATCH(I387,Input_Header,0)))</f>
        <v>0</v>
      </c>
      <c r="J391" s="698">
        <f>IF(J387="",0,INDEX(Input_Range,MATCH((C371&amp;B391),Input_Call,0),MATCH(J387,Input_Header,0)))</f>
        <v>0</v>
      </c>
      <c r="K391" s="698">
        <f>IF(K387="",0,INDEX(Input_Range,MATCH((C371&amp;B391),Input_Call,0),MATCH(K387,Input_Header,0)))</f>
        <v>0</v>
      </c>
      <c r="L391" s="698">
        <f>IF(L387="",0,INDEX(Input_Range,MATCH((C371&amp;B391),Input_Call,0),MATCH(L387,Input_Header,0)))</f>
        <v>0</v>
      </c>
      <c r="M391" s="698">
        <f>IF(M387="",0,INDEX(Input_Range,MATCH((C371&amp;B391),Input_Call,0),MATCH(M387,Input_Header,0)))</f>
        <v>0</v>
      </c>
      <c r="N391" s="698">
        <f>IF(N387="",0,INDEX(Input_Range,MATCH((C371&amp;B391),Input_Call,0),MATCH(N387,Input_Header,0)))</f>
        <v>0</v>
      </c>
      <c r="O391" s="698">
        <f>IF(O387="",0,INDEX(Input_Range,MATCH((C371&amp;B391),Input_Call,0),MATCH(O387,Input_Header,0)))</f>
        <v>0</v>
      </c>
      <c r="P391" s="698">
        <f>IF(P387="",0,INDEX(Input_Range,MATCH((C371&amp;B391),Input_Call,0),MATCH(P387,Input_Header,0)))</f>
        <v>0</v>
      </c>
      <c r="Q391" s="698">
        <f>IF(Q387="",0,INDEX(Input_Range,MATCH((C371&amp;B391),Input_Call,0),MATCH(Q387,Input_Header,0)))</f>
        <v>0</v>
      </c>
      <c r="R391" s="698">
        <f t="shared" si="537"/>
        <v>0</v>
      </c>
      <c r="T391" s="699">
        <f t="shared" si="538"/>
        <v>0</v>
      </c>
      <c r="U391" s="699">
        <f t="shared" si="539"/>
        <v>0</v>
      </c>
      <c r="V391" s="699">
        <f t="shared" si="540"/>
        <v>12</v>
      </c>
      <c r="W391" s="699">
        <f t="shared" si="541"/>
        <v>0</v>
      </c>
      <c r="X391" s="699">
        <f t="shared" si="542"/>
        <v>0</v>
      </c>
      <c r="Y391" s="699">
        <f t="shared" si="543"/>
        <v>0</v>
      </c>
      <c r="Z391" s="699">
        <f t="shared" si="544"/>
        <v>0</v>
      </c>
      <c r="AA391" s="699">
        <f t="shared" si="545"/>
        <v>0</v>
      </c>
      <c r="AB391" s="699">
        <f t="shared" si="546"/>
        <v>0</v>
      </c>
      <c r="AC391" s="699">
        <f t="shared" si="547"/>
        <v>0</v>
      </c>
      <c r="AD391" s="699">
        <f t="shared" si="548"/>
        <v>0</v>
      </c>
      <c r="AE391" s="699">
        <f t="shared" si="549"/>
        <v>0</v>
      </c>
      <c r="AF391" s="699">
        <f t="shared" si="550"/>
        <v>0</v>
      </c>
      <c r="AG391" s="699">
        <f t="shared" si="551"/>
        <v>0</v>
      </c>
      <c r="AI391" s="698">
        <f t="shared" si="534"/>
        <v>0</v>
      </c>
      <c r="AJ391" s="698"/>
      <c r="AK391" s="698"/>
      <c r="AL391" s="4" t="str">
        <f>$A391&amp;$C371&amp;InputSheet!C$44&amp;InputSheet!D$44</f>
        <v>Option Year 1ESDMHContr/Govt</v>
      </c>
      <c r="AM391" s="700">
        <f t="shared" si="535"/>
        <v>0</v>
      </c>
      <c r="AP391" s="387" t="str">
        <f t="shared" si="442"/>
        <v>0</v>
      </c>
    </row>
    <row r="392" spans="1:42">
      <c r="A392" s="6" t="str">
        <f t="shared" si="536"/>
        <v>Option Year 1</v>
      </c>
      <c r="B392" s="6" t="str">
        <f t="shared" si="532"/>
        <v>G&amp;A</v>
      </c>
      <c r="E392" s="698">
        <f>IF(E387="",0,INDEX(Input_Range,MATCH((C371&amp;B392),Input_Call,0),MATCH(E387,Input_Header,0)))</f>
        <v>0</v>
      </c>
      <c r="F392" s="698">
        <f>IF(F387="",0,INDEX(Input_Range,MATCH((C371&amp;B392),Input_Call,0),MATCH(F387,Input_Header,0)))</f>
        <v>0</v>
      </c>
      <c r="G392" s="698">
        <f>IF(G387="",0,INDEX(Input_Range,MATCH((C371&amp;B392),Input_Call,0),MATCH(G387,Input_Header,0)))</f>
        <v>0</v>
      </c>
      <c r="H392" s="698">
        <f>IF(H387="",0,INDEX(Input_Range,MATCH((C371&amp;B392),Input_Call,0),MATCH(H387,Input_Header,0)))</f>
        <v>0</v>
      </c>
      <c r="I392" s="698">
        <f>IF(I387="",0,INDEX(Input_Range,MATCH((C371&amp;B392),Input_Call,0),MATCH(I387,Input_Header,0)))</f>
        <v>0</v>
      </c>
      <c r="J392" s="698">
        <f>IF(J387="",0,INDEX(Input_Range,MATCH((C371&amp;B392),Input_Call,0),MATCH(J387,Input_Header,0)))</f>
        <v>0</v>
      </c>
      <c r="K392" s="698">
        <f>IF(K387="",0,INDEX(Input_Range,MATCH((C371&amp;B392),Input_Call,0),MATCH(K387,Input_Header,0)))</f>
        <v>0</v>
      </c>
      <c r="L392" s="698">
        <f>IF(L387="",0,INDEX(Input_Range,MATCH((C371&amp;B392),Input_Call,0),MATCH(L387,Input_Header,0)))</f>
        <v>0</v>
      </c>
      <c r="M392" s="698">
        <f>IF(M387="",0,INDEX(Input_Range,MATCH((C371&amp;B392),Input_Call,0),MATCH(M387,Input_Header,0)))</f>
        <v>0</v>
      </c>
      <c r="N392" s="698">
        <f>IF(N387="",0,INDEX(Input_Range,MATCH((C371&amp;B392),Input_Call,0),MATCH(N387,Input_Header,0)))</f>
        <v>0</v>
      </c>
      <c r="O392" s="698">
        <f>IF(O387="",0,INDEX(Input_Range,MATCH((C371&amp;B392),Input_Call,0),MATCH(O387,Input_Header,0)))</f>
        <v>0</v>
      </c>
      <c r="P392" s="698">
        <f>IF(P387="",0,INDEX(Input_Range,MATCH((C371&amp;B392),Input_Call,0),MATCH(P387,Input_Header,0)))</f>
        <v>0</v>
      </c>
      <c r="Q392" s="698">
        <f>IF(Q387="",0,INDEX(Input_Range,MATCH((C371&amp;B392),Input_Call,0),MATCH(Q387,Input_Header,0)))</f>
        <v>0</v>
      </c>
      <c r="R392" s="698">
        <f t="shared" si="537"/>
        <v>0</v>
      </c>
      <c r="T392" s="699">
        <f t="shared" si="538"/>
        <v>0</v>
      </c>
      <c r="U392" s="699">
        <f t="shared" si="539"/>
        <v>0</v>
      </c>
      <c r="V392" s="699">
        <f t="shared" si="540"/>
        <v>12</v>
      </c>
      <c r="W392" s="699">
        <f t="shared" si="541"/>
        <v>0</v>
      </c>
      <c r="X392" s="699">
        <f t="shared" si="542"/>
        <v>0</v>
      </c>
      <c r="Y392" s="699">
        <f t="shared" si="543"/>
        <v>0</v>
      </c>
      <c r="Z392" s="699">
        <f t="shared" si="544"/>
        <v>0</v>
      </c>
      <c r="AA392" s="699">
        <f t="shared" si="545"/>
        <v>0</v>
      </c>
      <c r="AB392" s="699">
        <f t="shared" si="546"/>
        <v>0</v>
      </c>
      <c r="AC392" s="699">
        <f t="shared" si="547"/>
        <v>0</v>
      </c>
      <c r="AD392" s="699">
        <f t="shared" si="548"/>
        <v>0</v>
      </c>
      <c r="AE392" s="699">
        <f t="shared" si="549"/>
        <v>0</v>
      </c>
      <c r="AF392" s="699">
        <f t="shared" si="550"/>
        <v>0</v>
      </c>
      <c r="AG392" s="699">
        <f t="shared" si="551"/>
        <v>0</v>
      </c>
      <c r="AI392" s="698">
        <f t="shared" si="534"/>
        <v>0</v>
      </c>
      <c r="AJ392" s="698"/>
      <c r="AK392" s="698"/>
      <c r="AL392" s="4" t="str">
        <f>$A392&amp;$C371&amp;InputSheet!C$45&amp;InputSheet!D$45</f>
        <v>Option Year 1ESDG&amp;AContr/Govt</v>
      </c>
      <c r="AM392" s="700">
        <f t="shared" si="535"/>
        <v>0</v>
      </c>
      <c r="AP392" s="387" t="str">
        <f t="shared" si="442"/>
        <v>1</v>
      </c>
    </row>
    <row r="393" spans="1:42" outlineLevel="1">
      <c r="A393" s="6" t="str">
        <f t="shared" si="536"/>
        <v>Option Year 1</v>
      </c>
      <c r="B393" s="6" t="str">
        <f t="shared" si="532"/>
        <v>TBD1</v>
      </c>
      <c r="E393" s="21">
        <f>IF(E387="",0,INDEX(Input_Range,MATCH((C371&amp;B393),Input_Call,0),MATCH(E387,Input_Header,0)))</f>
        <v>0</v>
      </c>
      <c r="F393" s="21">
        <f>IF(F387="",0,INDEX(Input_Range,MATCH((C371&amp;B393),Input_Call,0),MATCH(F387,Input_Header,0)))</f>
        <v>0</v>
      </c>
      <c r="G393" s="21">
        <f>IF(G387="",0,INDEX(Input_Range,MATCH((C371&amp;B393),Input_Call,0),MATCH(G387,Input_Header,0)))</f>
        <v>0</v>
      </c>
      <c r="H393" s="21">
        <f>IF(H387="",0,INDEX(Input_Range,MATCH((C371&amp;B393),Input_Call,0),MATCH(H387,Input_Header,0)))</f>
        <v>0</v>
      </c>
      <c r="I393" s="21">
        <f>IF(I387="",0,INDEX(Input_Range,MATCH((C371&amp;B393),Input_Call,0),MATCH(I387,Input_Header,0)))</f>
        <v>0</v>
      </c>
      <c r="J393" s="21">
        <f>IF(J387="",0,INDEX(Input_Range,MATCH((C371&amp;B393),Input_Call,0),MATCH(J387,Input_Header,0)))</f>
        <v>0</v>
      </c>
      <c r="K393" s="21">
        <f>IF(K387="",0,INDEX(Input_Range,MATCH((C371&amp;B393),Input_Call,0),MATCH(K387,Input_Header,0)))</f>
        <v>0</v>
      </c>
      <c r="L393" s="21">
        <f>IF(L387="",0,INDEX(Input_Range,MATCH((C371&amp;B393),Input_Call,0),MATCH(L387,Input_Header,0)))</f>
        <v>0</v>
      </c>
      <c r="M393" s="21">
        <f>IF(M387="",0,INDEX(Input_Range,MATCH((C371&amp;B393),Input_Call,0),MATCH(M387,Input_Header,0)))</f>
        <v>0</v>
      </c>
      <c r="N393" s="21">
        <f>IF(N387="",0,INDEX(Input_Range,MATCH((C371&amp;B393),Input_Call,0),MATCH(N387,Input_Header,0)))</f>
        <v>0</v>
      </c>
      <c r="O393" s="21">
        <f>IF(O387="",0,INDEX(Input_Range,MATCH((C371&amp;B393),Input_Call,0),MATCH(O387,Input_Header,0)))</f>
        <v>0</v>
      </c>
      <c r="P393" s="21">
        <f>IF(P387="",0,INDEX(Input_Range,MATCH((C371&amp;B393),Input_Call,0),MATCH(P387,Input_Header,0)))</f>
        <v>0</v>
      </c>
      <c r="Q393" s="21">
        <f>IF(Q387="",0,INDEX(Input_Range,MATCH((C371&amp;B393),Input_Call,0),MATCH(Q387,Input_Header,0)))</f>
        <v>0</v>
      </c>
      <c r="R393" s="698">
        <f t="shared" si="537"/>
        <v>0</v>
      </c>
      <c r="T393" s="699">
        <f t="shared" si="538"/>
        <v>0</v>
      </c>
      <c r="U393" s="699">
        <f t="shared" si="539"/>
        <v>0</v>
      </c>
      <c r="V393" s="699">
        <f t="shared" si="540"/>
        <v>12</v>
      </c>
      <c r="W393" s="699">
        <f t="shared" si="541"/>
        <v>0</v>
      </c>
      <c r="X393" s="699">
        <f t="shared" si="542"/>
        <v>0</v>
      </c>
      <c r="Y393" s="699">
        <f t="shared" si="543"/>
        <v>0</v>
      </c>
      <c r="Z393" s="699">
        <f t="shared" si="544"/>
        <v>0</v>
      </c>
      <c r="AA393" s="699">
        <f t="shared" si="545"/>
        <v>0</v>
      </c>
      <c r="AB393" s="699">
        <f t="shared" si="546"/>
        <v>0</v>
      </c>
      <c r="AC393" s="699">
        <f t="shared" si="547"/>
        <v>0</v>
      </c>
      <c r="AD393" s="699">
        <f t="shared" si="548"/>
        <v>0</v>
      </c>
      <c r="AE393" s="699">
        <f t="shared" si="549"/>
        <v>0</v>
      </c>
      <c r="AF393" s="699">
        <f t="shared" si="550"/>
        <v>0</v>
      </c>
      <c r="AG393" s="699">
        <f t="shared" si="551"/>
        <v>0</v>
      </c>
      <c r="AI393" s="698">
        <f t="shared" si="534"/>
        <v>0</v>
      </c>
      <c r="AJ393" s="21"/>
      <c r="AK393" s="21"/>
      <c r="AL393" s="4" t="str">
        <f>$A393&amp;$C371&amp;InputSheet!C$46&amp;InputSheet!D$46</f>
        <v>Option Year 1ESDTBD1Contr/Govt</v>
      </c>
      <c r="AM393" s="700">
        <f t="shared" si="535"/>
        <v>0</v>
      </c>
      <c r="AP393" s="387" t="str">
        <f t="shared" si="442"/>
        <v>0</v>
      </c>
    </row>
    <row r="394" spans="1:42" outlineLevel="1">
      <c r="A394" s="6" t="str">
        <f t="shared" si="536"/>
        <v>Option Year 1</v>
      </c>
      <c r="B394" s="6" t="str">
        <f t="shared" si="532"/>
        <v>TBD2</v>
      </c>
      <c r="E394" s="21">
        <f>IF(E387="",0,INDEX(Input_Range,MATCH((C371&amp;B394),Input_Call,0),MATCH(E387,Input_Header,0)))</f>
        <v>0</v>
      </c>
      <c r="F394" s="21">
        <f>IF(F387="",0,INDEX(Input_Range,MATCH((C371&amp;B394),Input_Call,0),MATCH(F387,Input_Header,0)))</f>
        <v>0</v>
      </c>
      <c r="G394" s="21">
        <f>IF(G387="",0,INDEX(Input_Range,MATCH((C371&amp;B394),Input_Call,0),MATCH(G387,Input_Header,0)))</f>
        <v>0</v>
      </c>
      <c r="H394" s="21">
        <f>IF(H387="",0,INDEX(Input_Range,MATCH((C371&amp;B394),Input_Call,0),MATCH(H387,Input_Header,0)))</f>
        <v>0</v>
      </c>
      <c r="I394" s="21">
        <f>IF(I387="",0,INDEX(Input_Range,MATCH((C371&amp;B394),Input_Call,0),MATCH(I387,Input_Header,0)))</f>
        <v>0</v>
      </c>
      <c r="J394" s="21">
        <f>IF(J387="",0,INDEX(Input_Range,MATCH((C371&amp;B394),Input_Call,0),MATCH(J387,Input_Header,0)))</f>
        <v>0</v>
      </c>
      <c r="K394" s="21">
        <f>IF(K387="",0,INDEX(Input_Range,MATCH((C371&amp;B394),Input_Call,0),MATCH(K387,Input_Header,0)))</f>
        <v>0</v>
      </c>
      <c r="L394" s="21">
        <f>IF(L387="",0,INDEX(Input_Range,MATCH((C371&amp;B394),Input_Call,0),MATCH(L387,Input_Header,0)))</f>
        <v>0</v>
      </c>
      <c r="M394" s="21">
        <f>IF(M387="",0,INDEX(Input_Range,MATCH((C371&amp;B394),Input_Call,0),MATCH(M387,Input_Header,0)))</f>
        <v>0</v>
      </c>
      <c r="N394" s="21">
        <f>IF(N387="",0,INDEX(Input_Range,MATCH((C371&amp;B394),Input_Call,0),MATCH(N387,Input_Header,0)))</f>
        <v>0</v>
      </c>
      <c r="O394" s="21">
        <f>IF(O387="",0,INDEX(Input_Range,MATCH((C371&amp;B394),Input_Call,0),MATCH(O387,Input_Header,0)))</f>
        <v>0</v>
      </c>
      <c r="P394" s="21">
        <f>IF(P387="",0,INDEX(Input_Range,MATCH((C371&amp;B394),Input_Call,0),MATCH(P387,Input_Header,0)))</f>
        <v>0</v>
      </c>
      <c r="Q394" s="21">
        <f>IF(Q387="",0,INDEX(Input_Range,MATCH((C371&amp;B394),Input_Call,0),MATCH(Q387,Input_Header,0)))</f>
        <v>0</v>
      </c>
      <c r="R394" s="698">
        <f t="shared" si="537"/>
        <v>0</v>
      </c>
      <c r="T394" s="699">
        <f t="shared" si="538"/>
        <v>0</v>
      </c>
      <c r="U394" s="699">
        <f t="shared" si="539"/>
        <v>0</v>
      </c>
      <c r="V394" s="699">
        <f t="shared" si="540"/>
        <v>12</v>
      </c>
      <c r="W394" s="699">
        <f t="shared" si="541"/>
        <v>0</v>
      </c>
      <c r="X394" s="699">
        <f t="shared" si="542"/>
        <v>0</v>
      </c>
      <c r="Y394" s="699">
        <f t="shared" si="543"/>
        <v>0</v>
      </c>
      <c r="Z394" s="699">
        <f t="shared" si="544"/>
        <v>0</v>
      </c>
      <c r="AA394" s="699">
        <f t="shared" si="545"/>
        <v>0</v>
      </c>
      <c r="AB394" s="699">
        <f t="shared" si="546"/>
        <v>0</v>
      </c>
      <c r="AC394" s="699">
        <f t="shared" si="547"/>
        <v>0</v>
      </c>
      <c r="AD394" s="699">
        <f t="shared" si="548"/>
        <v>0</v>
      </c>
      <c r="AE394" s="699">
        <f t="shared" si="549"/>
        <v>0</v>
      </c>
      <c r="AF394" s="699">
        <f t="shared" si="550"/>
        <v>0</v>
      </c>
      <c r="AG394" s="699">
        <f t="shared" si="551"/>
        <v>0</v>
      </c>
      <c r="AI394" s="698">
        <f t="shared" si="534"/>
        <v>0</v>
      </c>
      <c r="AJ394" s="21"/>
      <c r="AK394" s="21"/>
      <c r="AL394" s="4" t="str">
        <f>$A394&amp;$C371&amp;InputSheet!C$47&amp;InputSheet!D$47</f>
        <v>Option Year 1ESDTBD2Contr/Govt</v>
      </c>
      <c r="AM394" s="700">
        <f t="shared" si="535"/>
        <v>0</v>
      </c>
      <c r="AP394" s="387" t="str">
        <f t="shared" si="442"/>
        <v>0</v>
      </c>
    </row>
    <row r="395" spans="1:42" outlineLevel="1">
      <c r="A395" s="6" t="str">
        <f t="shared" si="536"/>
        <v>Option Year 1</v>
      </c>
      <c r="B395" s="6" t="str">
        <f t="shared" si="532"/>
        <v>TBD3</v>
      </c>
      <c r="E395" s="21">
        <f>IF(E387="",0,INDEX(Input_Range,MATCH((C371&amp;B395),Input_Call,0),MATCH(E387,Input_Header,0)))</f>
        <v>0</v>
      </c>
      <c r="F395" s="21">
        <f>IF(F387="",0,INDEX(Input_Range,MATCH((C371&amp;B395),Input_Call,0),MATCH(F387,Input_Header,0)))</f>
        <v>0</v>
      </c>
      <c r="G395" s="21">
        <f>IF(G387="",0,INDEX(Input_Range,MATCH((C371&amp;B395),Input_Call,0),MATCH(G387,Input_Header,0)))</f>
        <v>0</v>
      </c>
      <c r="H395" s="21">
        <f>IF(H387="",0,INDEX(Input_Range,MATCH((C371&amp;B395),Input_Call,0),MATCH(H387,Input_Header,0)))</f>
        <v>0</v>
      </c>
      <c r="I395" s="21">
        <f>IF(I387="",0,INDEX(Input_Range,MATCH((C371&amp;B395),Input_Call,0),MATCH(I387,Input_Header,0)))</f>
        <v>0</v>
      </c>
      <c r="J395" s="21">
        <f>IF(J387="",0,INDEX(Input_Range,MATCH((C371&amp;B395),Input_Call,0),MATCH(J387,Input_Header,0)))</f>
        <v>0</v>
      </c>
      <c r="K395" s="21">
        <f>IF(K387="",0,INDEX(Input_Range,MATCH((C371&amp;B395),Input_Call,0),MATCH(K387,Input_Header,0)))</f>
        <v>0</v>
      </c>
      <c r="L395" s="21">
        <f>IF(L387="",0,INDEX(Input_Range,MATCH((C371&amp;B395),Input_Call,0),MATCH(L387,Input_Header,0)))</f>
        <v>0</v>
      </c>
      <c r="M395" s="21">
        <f>IF(M387="",0,INDEX(Input_Range,MATCH((C371&amp;B395),Input_Call,0),MATCH(M387,Input_Header,0)))</f>
        <v>0</v>
      </c>
      <c r="N395" s="21">
        <f>IF(N387="",0,INDEX(Input_Range,MATCH((C371&amp;B395),Input_Call,0),MATCH(N387,Input_Header,0)))</f>
        <v>0</v>
      </c>
      <c r="O395" s="21">
        <f>IF(O387="",0,INDEX(Input_Range,MATCH((C371&amp;B395),Input_Call,0),MATCH(O387,Input_Header,0)))</f>
        <v>0</v>
      </c>
      <c r="P395" s="21">
        <f>IF(P387="",0,INDEX(Input_Range,MATCH((C371&amp;B395),Input_Call,0),MATCH(P387,Input_Header,0)))</f>
        <v>0</v>
      </c>
      <c r="Q395" s="21">
        <f>IF(Q387="",0,INDEX(Input_Range,MATCH((C371&amp;B395),Input_Call,0),MATCH(Q387,Input_Header,0)))</f>
        <v>0</v>
      </c>
      <c r="R395" s="698">
        <f t="shared" si="537"/>
        <v>0</v>
      </c>
      <c r="T395" s="699">
        <f t="shared" si="538"/>
        <v>0</v>
      </c>
      <c r="U395" s="699">
        <f t="shared" si="539"/>
        <v>0</v>
      </c>
      <c r="V395" s="699">
        <f t="shared" si="540"/>
        <v>12</v>
      </c>
      <c r="W395" s="699">
        <f t="shared" si="541"/>
        <v>0</v>
      </c>
      <c r="X395" s="699">
        <f t="shared" si="542"/>
        <v>0</v>
      </c>
      <c r="Y395" s="699">
        <f t="shared" si="543"/>
        <v>0</v>
      </c>
      <c r="Z395" s="699">
        <f t="shared" si="544"/>
        <v>0</v>
      </c>
      <c r="AA395" s="699">
        <f t="shared" si="545"/>
        <v>0</v>
      </c>
      <c r="AB395" s="699">
        <f t="shared" si="546"/>
        <v>0</v>
      </c>
      <c r="AC395" s="699">
        <f t="shared" si="547"/>
        <v>0</v>
      </c>
      <c r="AD395" s="699">
        <f t="shared" si="548"/>
        <v>0</v>
      </c>
      <c r="AE395" s="699">
        <f t="shared" si="549"/>
        <v>0</v>
      </c>
      <c r="AF395" s="699">
        <f t="shared" si="550"/>
        <v>0</v>
      </c>
      <c r="AG395" s="699">
        <f t="shared" si="551"/>
        <v>0</v>
      </c>
      <c r="AI395" s="698">
        <f t="shared" si="534"/>
        <v>0</v>
      </c>
      <c r="AJ395" s="21"/>
      <c r="AK395" s="21"/>
      <c r="AL395" s="4" t="str">
        <f>$A395&amp;$C371&amp;InputSheet!C$48&amp;InputSheet!D$48</f>
        <v>Option Year 1ESDTBD3Contr/Govt</v>
      </c>
      <c r="AM395" s="700">
        <f t="shared" si="535"/>
        <v>0</v>
      </c>
      <c r="AP395" s="387" t="str">
        <f t="shared" si="442"/>
        <v>0</v>
      </c>
    </row>
    <row r="396" spans="1:42">
      <c r="E396" s="698"/>
      <c r="F396" s="698"/>
      <c r="G396" s="698"/>
      <c r="H396" s="698"/>
      <c r="I396" s="698"/>
      <c r="J396" s="698"/>
      <c r="K396" s="698"/>
      <c r="L396" s="698"/>
      <c r="M396" s="698"/>
      <c r="N396" s="698"/>
      <c r="O396" s="698"/>
      <c r="P396" s="698"/>
      <c r="Q396" s="698"/>
      <c r="R396" s="698"/>
      <c r="AI396" s="21"/>
      <c r="AJ396" s="21"/>
      <c r="AK396" s="21"/>
      <c r="AP396" s="387" t="str">
        <f t="shared" ref="AP396:AP459" si="552">IF(AM396="","1",(IF((VLOOKUP(B396,$AO$2:$AP$9,2,FALSE))="","0","1")))</f>
        <v>1</v>
      </c>
    </row>
    <row r="397" spans="1:42">
      <c r="A397" s="530" t="str">
        <f>B397</f>
        <v>Option Year 2</v>
      </c>
      <c r="B397" s="691" t="str">
        <f>InputSheet!$C$24</f>
        <v>Option Year 2</v>
      </c>
      <c r="C397" s="28"/>
      <c r="AP397" s="387" t="str">
        <f t="shared" si="552"/>
        <v>1</v>
      </c>
    </row>
    <row r="398" spans="1:42">
      <c r="B398" s="314" t="s">
        <v>587</v>
      </c>
      <c r="C398" s="692" t="s">
        <v>588</v>
      </c>
      <c r="E398" s="1216" t="str">
        <f>"Indirect Rates - "&amp;C$371</f>
        <v>Indirect Rates - ESD</v>
      </c>
      <c r="F398" s="1216"/>
      <c r="G398" s="1216"/>
      <c r="H398" s="1216"/>
      <c r="I398" s="1216"/>
      <c r="J398" s="1216"/>
      <c r="K398" s="1216"/>
      <c r="L398" s="1216"/>
      <c r="M398" s="1216"/>
      <c r="N398" s="1216"/>
      <c r="O398" s="1216"/>
      <c r="P398" s="1216"/>
      <c r="Q398" s="1216"/>
      <c r="R398" s="1216"/>
      <c r="S398" s="844"/>
      <c r="T398" s="1217" t="s">
        <v>794</v>
      </c>
      <c r="U398" s="1217"/>
      <c r="V398" s="1217"/>
      <c r="W398" s="1217"/>
      <c r="X398" s="1217"/>
      <c r="Y398" s="1217"/>
      <c r="Z398" s="1217"/>
      <c r="AA398" s="1217"/>
      <c r="AB398" s="1217"/>
      <c r="AC398" s="1217"/>
      <c r="AD398" s="1217"/>
      <c r="AE398" s="1217"/>
      <c r="AF398" s="1217"/>
      <c r="AG398" s="1217"/>
      <c r="AI398" s="692" t="s">
        <v>615</v>
      </c>
      <c r="AJ398" s="50"/>
      <c r="AK398" s="50"/>
      <c r="AP398" s="387" t="str">
        <f t="shared" si="552"/>
        <v>1</v>
      </c>
    </row>
    <row r="399" spans="1:42">
      <c r="B399" s="693">
        <f>VLOOKUP(A397,InputSheet!$C$8:$E$37,2,FALSE)</f>
        <v>40909</v>
      </c>
      <c r="C399" s="694">
        <f>VLOOKUP(A397,InputSheet!$C$8:$E$37,3,FALSE)</f>
        <v>41152</v>
      </c>
      <c r="E399" s="695">
        <f t="shared" ref="E399:R399" si="553">E387</f>
        <v>2009</v>
      </c>
      <c r="F399" s="695">
        <f t="shared" si="553"/>
        <v>2010</v>
      </c>
      <c r="G399" s="695">
        <f t="shared" si="553"/>
        <v>2011</v>
      </c>
      <c r="H399" s="695">
        <f t="shared" si="553"/>
        <v>2012</v>
      </c>
      <c r="I399" s="695">
        <f t="shared" si="553"/>
        <v>2013</v>
      </c>
      <c r="J399" s="695">
        <f t="shared" si="553"/>
        <v>2014</v>
      </c>
      <c r="K399" s="695">
        <f t="shared" si="553"/>
        <v>2015</v>
      </c>
      <c r="L399" s="695">
        <f t="shared" si="553"/>
        <v>2016</v>
      </c>
      <c r="M399" s="695">
        <f t="shared" si="553"/>
        <v>2017</v>
      </c>
      <c r="N399" s="695">
        <f t="shared" si="553"/>
        <v>2018</v>
      </c>
      <c r="O399" s="695">
        <f t="shared" si="553"/>
        <v>2019</v>
      </c>
      <c r="P399" s="695">
        <f t="shared" si="553"/>
        <v>2020</v>
      </c>
      <c r="Q399" s="695">
        <f t="shared" si="553"/>
        <v>2021</v>
      </c>
      <c r="R399" s="695">
        <f t="shared" si="553"/>
        <v>2022</v>
      </c>
      <c r="S399" s="680"/>
      <c r="T399" s="695">
        <f t="shared" ref="T399:AG399" si="554">T387</f>
        <v>2009</v>
      </c>
      <c r="U399" s="695">
        <f t="shared" si="554"/>
        <v>2010</v>
      </c>
      <c r="V399" s="695">
        <f t="shared" si="554"/>
        <v>2011</v>
      </c>
      <c r="W399" s="695">
        <f t="shared" si="554"/>
        <v>2012</v>
      </c>
      <c r="X399" s="695">
        <f t="shared" si="554"/>
        <v>2013</v>
      </c>
      <c r="Y399" s="695">
        <f t="shared" si="554"/>
        <v>2014</v>
      </c>
      <c r="Z399" s="695">
        <f t="shared" si="554"/>
        <v>2015</v>
      </c>
      <c r="AA399" s="695">
        <f t="shared" si="554"/>
        <v>2016</v>
      </c>
      <c r="AB399" s="695">
        <f t="shared" si="554"/>
        <v>2017</v>
      </c>
      <c r="AC399" s="695">
        <f t="shared" si="554"/>
        <v>2018</v>
      </c>
      <c r="AD399" s="695">
        <f t="shared" si="554"/>
        <v>2019</v>
      </c>
      <c r="AE399" s="695">
        <f t="shared" si="554"/>
        <v>2020</v>
      </c>
      <c r="AF399" s="695">
        <f t="shared" si="554"/>
        <v>2021</v>
      </c>
      <c r="AG399" s="695">
        <f t="shared" si="554"/>
        <v>2022</v>
      </c>
      <c r="AI399" s="696" t="str">
        <f>B397</f>
        <v>Option Year 2</v>
      </c>
      <c r="AJ399" s="28"/>
      <c r="AK399" s="28"/>
      <c r="AP399" s="387" t="str">
        <f t="shared" si="552"/>
        <v>1</v>
      </c>
    </row>
    <row r="400" spans="1:42">
      <c r="A400" s="6" t="str">
        <f>A397</f>
        <v>Option Year 2</v>
      </c>
      <c r="B400" s="6" t="str">
        <f t="shared" ref="B400:B407" si="555">B388</f>
        <v>PRB</v>
      </c>
      <c r="E400" s="698">
        <f>IF(E399="",0,INDEX(Input_Range,MATCH((C371&amp;B400),Input_Call,0),MATCH(E399,Input_Header,0)))</f>
        <v>0</v>
      </c>
      <c r="F400" s="698">
        <f>IF(F399="",0,INDEX(Input_Range,MATCH((C371&amp;B400),Input_Call,0),MATCH(F399,Input_Header,0)))</f>
        <v>0</v>
      </c>
      <c r="G400" s="698">
        <f>IF(G399="",0,INDEX(Input_Range,MATCH((C371&amp;B400),Input_Call,0),MATCH(G399,Input_Header,0)))</f>
        <v>0</v>
      </c>
      <c r="H400" s="698">
        <f>IF(H399="",0,INDEX(Input_Range,MATCH((C371&amp;B400),Input_Call,0),MATCH(H399,Input_Header,0)))</f>
        <v>0</v>
      </c>
      <c r="I400" s="698">
        <f>IF(I399="",0,INDEX(Input_Range,MATCH((C371&amp;B400),Input_Call,0),MATCH(I399,Input_Header,0)))</f>
        <v>0</v>
      </c>
      <c r="J400" s="698">
        <f>IF(J399="",0,INDEX(Input_Range,MATCH((C371&amp;B400),Input_Call,0),MATCH(J399,Input_Header,0)))</f>
        <v>0</v>
      </c>
      <c r="K400" s="698">
        <f>IF(K399="",0,INDEX(Input_Range,MATCH((C371&amp;B400),Input_Call,0),MATCH(K399,Input_Header,0)))</f>
        <v>0</v>
      </c>
      <c r="L400" s="698">
        <f>IF(L399="",0,INDEX(Input_Range,MATCH((C371&amp;B400),Input_Call,0),MATCH(L399,Input_Header,0)))</f>
        <v>0</v>
      </c>
      <c r="M400" s="698">
        <f>IF(M399="",0,INDEX(Input_Range,MATCH((C371&amp;B400),Input_Call,0),MATCH(M399,Input_Header,0)))</f>
        <v>0</v>
      </c>
      <c r="N400" s="698">
        <f>IF(N399="",0,INDEX(Input_Range,MATCH((C371&amp;B400),Input_Call,0),MATCH(N399,Input_Header,0)))</f>
        <v>0</v>
      </c>
      <c r="O400" s="698">
        <f>IF(O399="",0,INDEX(Input_Range,MATCH((C371&amp;B400),Input_Call,0),MATCH(O399,Input_Header,0)))</f>
        <v>0</v>
      </c>
      <c r="P400" s="698">
        <f>IF(P399="",0,INDEX(Input_Range,MATCH((C371&amp;B400),Input_Call,0),MATCH(P399,Input_Header,0)))</f>
        <v>0</v>
      </c>
      <c r="Q400" s="698">
        <f>IF(Q399="",0,INDEX(Input_Range,MATCH((C371&amp;B400),Input_Call,0),MATCH(Q399,Input_Header,0)))</f>
        <v>0</v>
      </c>
      <c r="R400" s="698">
        <f>Q400</f>
        <v>0</v>
      </c>
      <c r="T400" s="699">
        <f t="shared" ref="T400:AG400" si="556">ROUND((MAX(0,(MIN($C399,DATE(T399,12,31))-MAX($B399,DATE(T399,1,1))+1)))/30.41667,0)</f>
        <v>0</v>
      </c>
      <c r="U400" s="699">
        <f t="shared" si="556"/>
        <v>0</v>
      </c>
      <c r="V400" s="699">
        <f t="shared" si="556"/>
        <v>0</v>
      </c>
      <c r="W400" s="699">
        <f t="shared" si="556"/>
        <v>8</v>
      </c>
      <c r="X400" s="699">
        <f t="shared" si="556"/>
        <v>0</v>
      </c>
      <c r="Y400" s="699">
        <f t="shared" si="556"/>
        <v>0</v>
      </c>
      <c r="Z400" s="699">
        <f t="shared" si="556"/>
        <v>0</v>
      </c>
      <c r="AA400" s="699">
        <f t="shared" si="556"/>
        <v>0</v>
      </c>
      <c r="AB400" s="699">
        <f t="shared" si="556"/>
        <v>0</v>
      </c>
      <c r="AC400" s="699">
        <f t="shared" si="556"/>
        <v>0</v>
      </c>
      <c r="AD400" s="699">
        <f t="shared" si="556"/>
        <v>0</v>
      </c>
      <c r="AE400" s="699">
        <f t="shared" si="556"/>
        <v>0</v>
      </c>
      <c r="AF400" s="699">
        <f t="shared" si="556"/>
        <v>0</v>
      </c>
      <c r="AG400" s="699">
        <f t="shared" si="556"/>
        <v>0</v>
      </c>
      <c r="AI400" s="698">
        <f t="shared" ref="AI400:AI407" si="557">ROUND(SUMPRODUCT(E400:R400,T400:AG400)/SUM(T400:AG400),4)</f>
        <v>0</v>
      </c>
      <c r="AJ400" s="698"/>
      <c r="AK400" s="698"/>
      <c r="AL400" s="4" t="str">
        <f>$A400&amp;$C371&amp;InputSheet!C$41&amp;InputSheet!D$41</f>
        <v>Option Year 2ESDPRBContr/Govt</v>
      </c>
      <c r="AM400" s="700">
        <f t="shared" ref="AM400:AM407" si="558">AI400</f>
        <v>0</v>
      </c>
      <c r="AP400" s="387" t="str">
        <f t="shared" si="552"/>
        <v>1</v>
      </c>
    </row>
    <row r="401" spans="1:42">
      <c r="A401" s="6" t="str">
        <f t="shared" ref="A401:A407" si="559">A400</f>
        <v>Option Year 2</v>
      </c>
      <c r="B401" s="6" t="str">
        <f t="shared" si="555"/>
        <v>Overhead - Offsite</v>
      </c>
      <c r="E401" s="698">
        <f>IF(E399="",0,INDEX(Input_Range,MATCH((C371&amp;B401),Input_Call,0),MATCH(E399,Input_Header,0)))</f>
        <v>0</v>
      </c>
      <c r="F401" s="698">
        <f>IF(F399="",0,INDEX(Input_Range,MATCH((C371&amp;B401),Input_Call,0),MATCH(F399,Input_Header,0)))</f>
        <v>0</v>
      </c>
      <c r="G401" s="698">
        <f>IF(G399="",0,INDEX(Input_Range,MATCH((C371&amp;B401),Input_Call,0),MATCH(G399,Input_Header,0)))</f>
        <v>0</v>
      </c>
      <c r="H401" s="698">
        <f>IF(H399="",0,INDEX(Input_Range,MATCH((C371&amp;B401),Input_Call,0),MATCH(H399,Input_Header,0)))</f>
        <v>0</v>
      </c>
      <c r="I401" s="698">
        <f>IF(I399="",0,INDEX(Input_Range,MATCH((C371&amp;B401),Input_Call,0),MATCH(I399,Input_Header,0)))</f>
        <v>0</v>
      </c>
      <c r="J401" s="698">
        <f>IF(J399="",0,INDEX(Input_Range,MATCH((C371&amp;B401),Input_Call,0),MATCH(J399,Input_Header,0)))</f>
        <v>0</v>
      </c>
      <c r="K401" s="698">
        <f>IF(K399="",0,INDEX(Input_Range,MATCH((C371&amp;B401),Input_Call,0),MATCH(K399,Input_Header,0)))</f>
        <v>0</v>
      </c>
      <c r="L401" s="698">
        <f>IF(L399="",0,INDEX(Input_Range,MATCH((C371&amp;B401),Input_Call,0),MATCH(L399,Input_Header,0)))</f>
        <v>0</v>
      </c>
      <c r="M401" s="698">
        <f>IF(M399="",0,INDEX(Input_Range,MATCH((C371&amp;B401),Input_Call,0),MATCH(M399,Input_Header,0)))</f>
        <v>0</v>
      </c>
      <c r="N401" s="698">
        <f>IF(N399="",0,INDEX(Input_Range,MATCH((C371&amp;B401),Input_Call,0),MATCH(N399,Input_Header,0)))</f>
        <v>0</v>
      </c>
      <c r="O401" s="698">
        <f>IF(O399="",0,INDEX(Input_Range,MATCH((C371&amp;B401),Input_Call,0),MATCH(O399,Input_Header,0)))</f>
        <v>0</v>
      </c>
      <c r="P401" s="698">
        <f>IF(P399="",0,INDEX(Input_Range,MATCH((C371&amp;B401),Input_Call,0),MATCH(P399,Input_Header,0)))</f>
        <v>0</v>
      </c>
      <c r="Q401" s="698">
        <f>IF(Q399="",0,INDEX(Input_Range,MATCH((C371&amp;B401),Input_Call,0),MATCH(Q399,Input_Header,0)))</f>
        <v>0</v>
      </c>
      <c r="R401" s="698">
        <f t="shared" ref="R401:R407" si="560">Q401</f>
        <v>0</v>
      </c>
      <c r="T401" s="699">
        <f t="shared" ref="T401:T407" si="561">T400</f>
        <v>0</v>
      </c>
      <c r="U401" s="699">
        <f t="shared" ref="U401:U407" si="562">U400</f>
        <v>0</v>
      </c>
      <c r="V401" s="699">
        <f t="shared" ref="V401:V407" si="563">V400</f>
        <v>0</v>
      </c>
      <c r="W401" s="699">
        <f t="shared" ref="W401:W407" si="564">W400</f>
        <v>8</v>
      </c>
      <c r="X401" s="699">
        <f t="shared" ref="X401:X407" si="565">X400</f>
        <v>0</v>
      </c>
      <c r="Y401" s="699">
        <f t="shared" ref="Y401:Y407" si="566">Y400</f>
        <v>0</v>
      </c>
      <c r="Z401" s="699">
        <f t="shared" ref="Z401:Z407" si="567">Z400</f>
        <v>0</v>
      </c>
      <c r="AA401" s="699">
        <f t="shared" ref="AA401:AA407" si="568">AA400</f>
        <v>0</v>
      </c>
      <c r="AB401" s="699">
        <f t="shared" ref="AB401:AB407" si="569">AB400</f>
        <v>0</v>
      </c>
      <c r="AC401" s="699">
        <f t="shared" ref="AC401:AC407" si="570">AC400</f>
        <v>0</v>
      </c>
      <c r="AD401" s="699">
        <f t="shared" ref="AD401:AD407" si="571">AD400</f>
        <v>0</v>
      </c>
      <c r="AE401" s="699">
        <f t="shared" ref="AE401:AE407" si="572">AE400</f>
        <v>0</v>
      </c>
      <c r="AF401" s="699">
        <f t="shared" ref="AF401:AF407" si="573">AF400</f>
        <v>0</v>
      </c>
      <c r="AG401" s="699">
        <f t="shared" ref="AG401:AG407" si="574">AG400</f>
        <v>0</v>
      </c>
      <c r="AI401" s="698">
        <f t="shared" si="557"/>
        <v>0</v>
      </c>
      <c r="AJ401" s="698"/>
      <c r="AK401" s="698"/>
      <c r="AL401" s="4" t="str">
        <f>$A401&amp;$C371&amp;InputSheet!C$42&amp;InputSheet!D$42</f>
        <v>Option Year 2ESDOverheadContr</v>
      </c>
      <c r="AM401" s="700">
        <f t="shared" si="558"/>
        <v>0</v>
      </c>
      <c r="AP401" s="387" t="str">
        <f t="shared" si="552"/>
        <v>0</v>
      </c>
    </row>
    <row r="402" spans="1:42">
      <c r="A402" s="6" t="str">
        <f t="shared" si="559"/>
        <v>Option Year 2</v>
      </c>
      <c r="B402" s="6" t="str">
        <f t="shared" si="555"/>
        <v>Overhead - Onsite</v>
      </c>
      <c r="E402" s="698">
        <f>IF(E399="",0,INDEX(Input_Range,MATCH((C371&amp;B402),Input_Call,0),MATCH(E399,Input_Header,0)))</f>
        <v>0</v>
      </c>
      <c r="F402" s="698">
        <f>IF(F399="",0,INDEX(Input_Range,MATCH((C371&amp;B402),Input_Call,0),MATCH(F399,Input_Header,0)))</f>
        <v>0</v>
      </c>
      <c r="G402" s="698">
        <f>IF(G399="",0,INDEX(Input_Range,MATCH((C371&amp;B402),Input_Call,0),MATCH(G399,Input_Header,0)))</f>
        <v>0</v>
      </c>
      <c r="H402" s="698">
        <f>IF(H399="",0,INDEX(Input_Range,MATCH((C371&amp;B402),Input_Call,0),MATCH(H399,Input_Header,0)))</f>
        <v>0</v>
      </c>
      <c r="I402" s="698">
        <f>IF(I399="",0,INDEX(Input_Range,MATCH((C371&amp;B402),Input_Call,0),MATCH(I399,Input_Header,0)))</f>
        <v>0</v>
      </c>
      <c r="J402" s="698">
        <f>IF(J399="",0,INDEX(Input_Range,MATCH((C371&amp;B402),Input_Call,0),MATCH(J399,Input_Header,0)))</f>
        <v>0</v>
      </c>
      <c r="K402" s="698">
        <f>IF(K399="",0,INDEX(Input_Range,MATCH((C371&amp;B402),Input_Call,0),MATCH(K399,Input_Header,0)))</f>
        <v>0</v>
      </c>
      <c r="L402" s="698">
        <f>IF(L399="",0,INDEX(Input_Range,MATCH((C371&amp;B402),Input_Call,0),MATCH(L399,Input_Header,0)))</f>
        <v>0</v>
      </c>
      <c r="M402" s="698">
        <f>IF(M399="",0,INDEX(Input_Range,MATCH((C371&amp;B402),Input_Call,0),MATCH(M399,Input_Header,0)))</f>
        <v>0</v>
      </c>
      <c r="N402" s="698">
        <f>IF(N399="",0,INDEX(Input_Range,MATCH((C371&amp;B402),Input_Call,0),MATCH(N399,Input_Header,0)))</f>
        <v>0</v>
      </c>
      <c r="O402" s="698">
        <f>IF(O399="",0,INDEX(Input_Range,MATCH((C371&amp;B402),Input_Call,0),MATCH(O399,Input_Header,0)))</f>
        <v>0</v>
      </c>
      <c r="P402" s="698">
        <f>IF(P399="",0,INDEX(Input_Range,MATCH((C371&amp;B402),Input_Call,0),MATCH(P399,Input_Header,0)))</f>
        <v>0</v>
      </c>
      <c r="Q402" s="698">
        <f>IF(Q399="",0,INDEX(Input_Range,MATCH((C371&amp;B402),Input_Call,0),MATCH(Q399,Input_Header,0)))</f>
        <v>0</v>
      </c>
      <c r="R402" s="698">
        <f t="shared" si="560"/>
        <v>0</v>
      </c>
      <c r="T402" s="699">
        <f t="shared" si="561"/>
        <v>0</v>
      </c>
      <c r="U402" s="699">
        <f t="shared" si="562"/>
        <v>0</v>
      </c>
      <c r="V402" s="699">
        <f t="shared" si="563"/>
        <v>0</v>
      </c>
      <c r="W402" s="699">
        <f t="shared" si="564"/>
        <v>8</v>
      </c>
      <c r="X402" s="699">
        <f t="shared" si="565"/>
        <v>0</v>
      </c>
      <c r="Y402" s="699">
        <f t="shared" si="566"/>
        <v>0</v>
      </c>
      <c r="Z402" s="699">
        <f t="shared" si="567"/>
        <v>0</v>
      </c>
      <c r="AA402" s="699">
        <f t="shared" si="568"/>
        <v>0</v>
      </c>
      <c r="AB402" s="699">
        <f t="shared" si="569"/>
        <v>0</v>
      </c>
      <c r="AC402" s="699">
        <f t="shared" si="570"/>
        <v>0</v>
      </c>
      <c r="AD402" s="699">
        <f t="shared" si="571"/>
        <v>0</v>
      </c>
      <c r="AE402" s="699">
        <f t="shared" si="572"/>
        <v>0</v>
      </c>
      <c r="AF402" s="699">
        <f t="shared" si="573"/>
        <v>0</v>
      </c>
      <c r="AG402" s="699">
        <f t="shared" si="574"/>
        <v>0</v>
      </c>
      <c r="AI402" s="698">
        <f t="shared" si="557"/>
        <v>0</v>
      </c>
      <c r="AJ402" s="698"/>
      <c r="AK402" s="698"/>
      <c r="AL402" s="4" t="str">
        <f>$A402&amp;$C371&amp;InputSheet!C$43&amp;InputSheet!D$43</f>
        <v>Option Year 2ESDOverheadGovt</v>
      </c>
      <c r="AM402" s="700">
        <f t="shared" si="558"/>
        <v>0</v>
      </c>
      <c r="AP402" s="387" t="str">
        <f t="shared" si="552"/>
        <v>1</v>
      </c>
    </row>
    <row r="403" spans="1:42">
      <c r="A403" s="6" t="str">
        <f t="shared" si="559"/>
        <v>Option Year 2</v>
      </c>
      <c r="B403" s="6" t="str">
        <f t="shared" si="555"/>
        <v>Material Handling</v>
      </c>
      <c r="E403" s="698">
        <f>IF(E399="",0,INDEX(Input_Range,MATCH((C371&amp;B403),Input_Call,0),MATCH(E399,Input_Header,0)))</f>
        <v>0</v>
      </c>
      <c r="F403" s="698">
        <f>IF(F399="",0,INDEX(Input_Range,MATCH((C371&amp;B403),Input_Call,0),MATCH(F399,Input_Header,0)))</f>
        <v>0</v>
      </c>
      <c r="G403" s="698">
        <f>IF(G399="",0,INDEX(Input_Range,MATCH((C371&amp;B403),Input_Call,0),MATCH(G399,Input_Header,0)))</f>
        <v>0</v>
      </c>
      <c r="H403" s="698">
        <f>IF(H399="",0,INDEX(Input_Range,MATCH((C371&amp;B403),Input_Call,0),MATCH(H399,Input_Header,0)))</f>
        <v>0</v>
      </c>
      <c r="I403" s="698">
        <f>IF(I399="",0,INDEX(Input_Range,MATCH((C371&amp;B403),Input_Call,0),MATCH(I399,Input_Header,0)))</f>
        <v>0</v>
      </c>
      <c r="J403" s="698">
        <f>IF(J399="",0,INDEX(Input_Range,MATCH((C371&amp;B403),Input_Call,0),MATCH(J399,Input_Header,0)))</f>
        <v>0</v>
      </c>
      <c r="K403" s="698">
        <f>IF(K399="",0,INDEX(Input_Range,MATCH((C371&amp;B403),Input_Call,0),MATCH(K399,Input_Header,0)))</f>
        <v>0</v>
      </c>
      <c r="L403" s="698">
        <f>IF(L399="",0,INDEX(Input_Range,MATCH((C371&amp;B403),Input_Call,0),MATCH(L399,Input_Header,0)))</f>
        <v>0</v>
      </c>
      <c r="M403" s="698">
        <f>IF(M399="",0,INDEX(Input_Range,MATCH((C371&amp;B403),Input_Call,0),MATCH(M399,Input_Header,0)))</f>
        <v>0</v>
      </c>
      <c r="N403" s="698">
        <f>IF(N399="",0,INDEX(Input_Range,MATCH((C371&amp;B403),Input_Call,0),MATCH(N399,Input_Header,0)))</f>
        <v>0</v>
      </c>
      <c r="O403" s="698">
        <f>IF(O399="",0,INDEX(Input_Range,MATCH((C371&amp;B403),Input_Call,0),MATCH(O399,Input_Header,0)))</f>
        <v>0</v>
      </c>
      <c r="P403" s="698">
        <f>IF(P399="",0,INDEX(Input_Range,MATCH((C371&amp;B403),Input_Call,0),MATCH(P399,Input_Header,0)))</f>
        <v>0</v>
      </c>
      <c r="Q403" s="698">
        <f>IF(Q399="",0,INDEX(Input_Range,MATCH((C371&amp;B403),Input_Call,0),MATCH(Q399,Input_Header,0)))</f>
        <v>0</v>
      </c>
      <c r="R403" s="698">
        <f t="shared" si="560"/>
        <v>0</v>
      </c>
      <c r="T403" s="699">
        <f t="shared" si="561"/>
        <v>0</v>
      </c>
      <c r="U403" s="699">
        <f t="shared" si="562"/>
        <v>0</v>
      </c>
      <c r="V403" s="699">
        <f t="shared" si="563"/>
        <v>0</v>
      </c>
      <c r="W403" s="699">
        <f t="shared" si="564"/>
        <v>8</v>
      </c>
      <c r="X403" s="699">
        <f t="shared" si="565"/>
        <v>0</v>
      </c>
      <c r="Y403" s="699">
        <f t="shared" si="566"/>
        <v>0</v>
      </c>
      <c r="Z403" s="699">
        <f t="shared" si="567"/>
        <v>0</v>
      </c>
      <c r="AA403" s="699">
        <f t="shared" si="568"/>
        <v>0</v>
      </c>
      <c r="AB403" s="699">
        <f t="shared" si="569"/>
        <v>0</v>
      </c>
      <c r="AC403" s="699">
        <f t="shared" si="570"/>
        <v>0</v>
      </c>
      <c r="AD403" s="699">
        <f t="shared" si="571"/>
        <v>0</v>
      </c>
      <c r="AE403" s="699">
        <f t="shared" si="572"/>
        <v>0</v>
      </c>
      <c r="AF403" s="699">
        <f t="shared" si="573"/>
        <v>0</v>
      </c>
      <c r="AG403" s="699">
        <f t="shared" si="574"/>
        <v>0</v>
      </c>
      <c r="AI403" s="698">
        <f t="shared" si="557"/>
        <v>0</v>
      </c>
      <c r="AJ403" s="698"/>
      <c r="AK403" s="698"/>
      <c r="AL403" s="4" t="str">
        <f>$A403&amp;$C371&amp;InputSheet!C$44&amp;InputSheet!D$44</f>
        <v>Option Year 2ESDMHContr/Govt</v>
      </c>
      <c r="AM403" s="700">
        <f t="shared" si="558"/>
        <v>0</v>
      </c>
      <c r="AP403" s="387" t="str">
        <f t="shared" si="552"/>
        <v>0</v>
      </c>
    </row>
    <row r="404" spans="1:42">
      <c r="A404" s="6" t="str">
        <f t="shared" si="559"/>
        <v>Option Year 2</v>
      </c>
      <c r="B404" s="6" t="str">
        <f t="shared" si="555"/>
        <v>G&amp;A</v>
      </c>
      <c r="E404" s="698">
        <f>IF(E399="",0,INDEX(Input_Range,MATCH((C371&amp;B404),Input_Call,0),MATCH(E399,Input_Header,0)))</f>
        <v>0</v>
      </c>
      <c r="F404" s="698">
        <f>IF(F399="",0,INDEX(Input_Range,MATCH((C371&amp;B404),Input_Call,0),MATCH(F399,Input_Header,0)))</f>
        <v>0</v>
      </c>
      <c r="G404" s="698">
        <f>IF(G399="",0,INDEX(Input_Range,MATCH((C371&amp;B404),Input_Call,0),MATCH(G399,Input_Header,0)))</f>
        <v>0</v>
      </c>
      <c r="H404" s="698">
        <f>IF(H399="",0,INDEX(Input_Range,MATCH((C371&amp;B404),Input_Call,0),MATCH(H399,Input_Header,0)))</f>
        <v>0</v>
      </c>
      <c r="I404" s="698">
        <f>IF(I399="",0,INDEX(Input_Range,MATCH((C371&amp;B404),Input_Call,0),MATCH(I399,Input_Header,0)))</f>
        <v>0</v>
      </c>
      <c r="J404" s="698">
        <f>IF(J399="",0,INDEX(Input_Range,MATCH((C371&amp;B404),Input_Call,0),MATCH(J399,Input_Header,0)))</f>
        <v>0</v>
      </c>
      <c r="K404" s="698">
        <f>IF(K399="",0,INDEX(Input_Range,MATCH((C371&amp;B404),Input_Call,0),MATCH(K399,Input_Header,0)))</f>
        <v>0</v>
      </c>
      <c r="L404" s="698">
        <f>IF(L399="",0,INDEX(Input_Range,MATCH((C371&amp;B404),Input_Call,0),MATCH(L399,Input_Header,0)))</f>
        <v>0</v>
      </c>
      <c r="M404" s="698">
        <f>IF(M399="",0,INDEX(Input_Range,MATCH((C371&amp;B404),Input_Call,0),MATCH(M399,Input_Header,0)))</f>
        <v>0</v>
      </c>
      <c r="N404" s="698">
        <f>IF(N399="",0,INDEX(Input_Range,MATCH((C371&amp;B404),Input_Call,0),MATCH(N399,Input_Header,0)))</f>
        <v>0</v>
      </c>
      <c r="O404" s="698">
        <f>IF(O399="",0,INDEX(Input_Range,MATCH((C371&amp;B404),Input_Call,0),MATCH(O399,Input_Header,0)))</f>
        <v>0</v>
      </c>
      <c r="P404" s="698">
        <f>IF(P399="",0,INDEX(Input_Range,MATCH((C371&amp;B404),Input_Call,0),MATCH(P399,Input_Header,0)))</f>
        <v>0</v>
      </c>
      <c r="Q404" s="698">
        <f>IF(Q399="",0,INDEX(Input_Range,MATCH((C371&amp;B404),Input_Call,0),MATCH(Q399,Input_Header,0)))</f>
        <v>0</v>
      </c>
      <c r="R404" s="698">
        <f t="shared" si="560"/>
        <v>0</v>
      </c>
      <c r="T404" s="699">
        <f t="shared" si="561"/>
        <v>0</v>
      </c>
      <c r="U404" s="699">
        <f t="shared" si="562"/>
        <v>0</v>
      </c>
      <c r="V404" s="699">
        <f t="shared" si="563"/>
        <v>0</v>
      </c>
      <c r="W404" s="699">
        <f t="shared" si="564"/>
        <v>8</v>
      </c>
      <c r="X404" s="699">
        <f t="shared" si="565"/>
        <v>0</v>
      </c>
      <c r="Y404" s="699">
        <f t="shared" si="566"/>
        <v>0</v>
      </c>
      <c r="Z404" s="699">
        <f t="shared" si="567"/>
        <v>0</v>
      </c>
      <c r="AA404" s="699">
        <f t="shared" si="568"/>
        <v>0</v>
      </c>
      <c r="AB404" s="699">
        <f t="shared" si="569"/>
        <v>0</v>
      </c>
      <c r="AC404" s="699">
        <f t="shared" si="570"/>
        <v>0</v>
      </c>
      <c r="AD404" s="699">
        <f t="shared" si="571"/>
        <v>0</v>
      </c>
      <c r="AE404" s="699">
        <f t="shared" si="572"/>
        <v>0</v>
      </c>
      <c r="AF404" s="699">
        <f t="shared" si="573"/>
        <v>0</v>
      </c>
      <c r="AG404" s="699">
        <f t="shared" si="574"/>
        <v>0</v>
      </c>
      <c r="AI404" s="698">
        <f t="shared" si="557"/>
        <v>0</v>
      </c>
      <c r="AJ404" s="698"/>
      <c r="AK404" s="698"/>
      <c r="AL404" s="4" t="str">
        <f>$A404&amp;$C371&amp;InputSheet!C$45&amp;InputSheet!D$45</f>
        <v>Option Year 2ESDG&amp;AContr/Govt</v>
      </c>
      <c r="AM404" s="700">
        <f t="shared" si="558"/>
        <v>0</v>
      </c>
      <c r="AP404" s="387" t="str">
        <f t="shared" si="552"/>
        <v>1</v>
      </c>
    </row>
    <row r="405" spans="1:42" outlineLevel="1">
      <c r="A405" s="6" t="str">
        <f t="shared" si="559"/>
        <v>Option Year 2</v>
      </c>
      <c r="B405" s="6" t="str">
        <f t="shared" si="555"/>
        <v>TBD1</v>
      </c>
      <c r="E405" s="21">
        <f>IF(E399="",0,INDEX(Input_Range,MATCH((C371&amp;B405),Input_Call,0),MATCH(E399,Input_Header,0)))</f>
        <v>0</v>
      </c>
      <c r="F405" s="21">
        <f>IF(F399="",0,INDEX(Input_Range,MATCH((C371&amp;B405),Input_Call,0),MATCH(F399,Input_Header,0)))</f>
        <v>0</v>
      </c>
      <c r="G405" s="21">
        <f>IF(G399="",0,INDEX(Input_Range,MATCH((C371&amp;B405),Input_Call,0),MATCH(G399,Input_Header,0)))</f>
        <v>0</v>
      </c>
      <c r="H405" s="21">
        <f>IF(H399="",0,INDEX(Input_Range,MATCH((C371&amp;B405),Input_Call,0),MATCH(H399,Input_Header,0)))</f>
        <v>0</v>
      </c>
      <c r="I405" s="21">
        <f>IF(I399="",0,INDEX(Input_Range,MATCH((C371&amp;B405),Input_Call,0),MATCH(I399,Input_Header,0)))</f>
        <v>0</v>
      </c>
      <c r="J405" s="21">
        <f>IF(J399="",0,INDEX(Input_Range,MATCH((C371&amp;B405),Input_Call,0),MATCH(J399,Input_Header,0)))</f>
        <v>0</v>
      </c>
      <c r="K405" s="21">
        <f>IF(K399="",0,INDEX(Input_Range,MATCH((C371&amp;B405),Input_Call,0),MATCH(K399,Input_Header,0)))</f>
        <v>0</v>
      </c>
      <c r="L405" s="21">
        <f>IF(L399="",0,INDEX(Input_Range,MATCH((C371&amp;B405),Input_Call,0),MATCH(L399,Input_Header,0)))</f>
        <v>0</v>
      </c>
      <c r="M405" s="21">
        <f>IF(M399="",0,INDEX(Input_Range,MATCH((C371&amp;B405),Input_Call,0),MATCH(M399,Input_Header,0)))</f>
        <v>0</v>
      </c>
      <c r="N405" s="21">
        <f>IF(N399="",0,INDEX(Input_Range,MATCH((C371&amp;B405),Input_Call,0),MATCH(N399,Input_Header,0)))</f>
        <v>0</v>
      </c>
      <c r="O405" s="21">
        <f>IF(O399="",0,INDEX(Input_Range,MATCH((C371&amp;B405),Input_Call,0),MATCH(O399,Input_Header,0)))</f>
        <v>0</v>
      </c>
      <c r="P405" s="21">
        <f>IF(P399="",0,INDEX(Input_Range,MATCH((C371&amp;B405),Input_Call,0),MATCH(P399,Input_Header,0)))</f>
        <v>0</v>
      </c>
      <c r="Q405" s="21">
        <f>IF(Q399="",0,INDEX(Input_Range,MATCH((C371&amp;B405),Input_Call,0),MATCH(Q399,Input_Header,0)))</f>
        <v>0</v>
      </c>
      <c r="R405" s="698">
        <f t="shared" si="560"/>
        <v>0</v>
      </c>
      <c r="T405" s="699">
        <f t="shared" si="561"/>
        <v>0</v>
      </c>
      <c r="U405" s="699">
        <f t="shared" si="562"/>
        <v>0</v>
      </c>
      <c r="V405" s="699">
        <f t="shared" si="563"/>
        <v>0</v>
      </c>
      <c r="W405" s="699">
        <f t="shared" si="564"/>
        <v>8</v>
      </c>
      <c r="X405" s="699">
        <f t="shared" si="565"/>
        <v>0</v>
      </c>
      <c r="Y405" s="699">
        <f t="shared" si="566"/>
        <v>0</v>
      </c>
      <c r="Z405" s="699">
        <f t="shared" si="567"/>
        <v>0</v>
      </c>
      <c r="AA405" s="699">
        <f t="shared" si="568"/>
        <v>0</v>
      </c>
      <c r="AB405" s="699">
        <f t="shared" si="569"/>
        <v>0</v>
      </c>
      <c r="AC405" s="699">
        <f t="shared" si="570"/>
        <v>0</v>
      </c>
      <c r="AD405" s="699">
        <f t="shared" si="571"/>
        <v>0</v>
      </c>
      <c r="AE405" s="699">
        <f t="shared" si="572"/>
        <v>0</v>
      </c>
      <c r="AF405" s="699">
        <f t="shared" si="573"/>
        <v>0</v>
      </c>
      <c r="AG405" s="699">
        <f t="shared" si="574"/>
        <v>0</v>
      </c>
      <c r="AI405" s="698">
        <f t="shared" si="557"/>
        <v>0</v>
      </c>
      <c r="AJ405" s="21"/>
      <c r="AK405" s="21"/>
      <c r="AL405" s="4" t="str">
        <f>$A405&amp;$C371&amp;InputSheet!C$46&amp;InputSheet!D$46</f>
        <v>Option Year 2ESDTBD1Contr/Govt</v>
      </c>
      <c r="AM405" s="700">
        <f t="shared" si="558"/>
        <v>0</v>
      </c>
      <c r="AP405" s="387" t="str">
        <f t="shared" si="552"/>
        <v>0</v>
      </c>
    </row>
    <row r="406" spans="1:42" outlineLevel="1">
      <c r="A406" s="6" t="str">
        <f t="shared" si="559"/>
        <v>Option Year 2</v>
      </c>
      <c r="B406" s="6" t="str">
        <f t="shared" si="555"/>
        <v>TBD2</v>
      </c>
      <c r="E406" s="21">
        <f>IF(E399="",0,INDEX(Input_Range,MATCH((C371&amp;B406),Input_Call,0),MATCH(E399,Input_Header,0)))</f>
        <v>0</v>
      </c>
      <c r="F406" s="21">
        <f>IF(F399="",0,INDEX(Input_Range,MATCH((C371&amp;B406),Input_Call,0),MATCH(F399,Input_Header,0)))</f>
        <v>0</v>
      </c>
      <c r="G406" s="21">
        <f>IF(G399="",0,INDEX(Input_Range,MATCH((C371&amp;B406),Input_Call,0),MATCH(G399,Input_Header,0)))</f>
        <v>0</v>
      </c>
      <c r="H406" s="21">
        <f>IF(H399="",0,INDEX(Input_Range,MATCH((C371&amp;B406),Input_Call,0),MATCH(H399,Input_Header,0)))</f>
        <v>0</v>
      </c>
      <c r="I406" s="21">
        <f>IF(I399="",0,INDEX(Input_Range,MATCH((C371&amp;B406),Input_Call,0),MATCH(I399,Input_Header,0)))</f>
        <v>0</v>
      </c>
      <c r="J406" s="21">
        <f>IF(J399="",0,INDEX(Input_Range,MATCH((C371&amp;B406),Input_Call,0),MATCH(J399,Input_Header,0)))</f>
        <v>0</v>
      </c>
      <c r="K406" s="21">
        <f>IF(K399="",0,INDEX(Input_Range,MATCH((C371&amp;B406),Input_Call,0),MATCH(K399,Input_Header,0)))</f>
        <v>0</v>
      </c>
      <c r="L406" s="21">
        <f>IF(L399="",0,INDEX(Input_Range,MATCH((C371&amp;B406),Input_Call,0),MATCH(L399,Input_Header,0)))</f>
        <v>0</v>
      </c>
      <c r="M406" s="21">
        <f>IF(M399="",0,INDEX(Input_Range,MATCH((C371&amp;B406),Input_Call,0),MATCH(M399,Input_Header,0)))</f>
        <v>0</v>
      </c>
      <c r="N406" s="21">
        <f>IF(N399="",0,INDEX(Input_Range,MATCH((C371&amp;B406),Input_Call,0),MATCH(N399,Input_Header,0)))</f>
        <v>0</v>
      </c>
      <c r="O406" s="21">
        <f>IF(O399="",0,INDEX(Input_Range,MATCH((C371&amp;B406),Input_Call,0),MATCH(O399,Input_Header,0)))</f>
        <v>0</v>
      </c>
      <c r="P406" s="21">
        <f>IF(P399="",0,INDEX(Input_Range,MATCH((C371&amp;B406),Input_Call,0),MATCH(P399,Input_Header,0)))</f>
        <v>0</v>
      </c>
      <c r="Q406" s="21">
        <f>IF(Q399="",0,INDEX(Input_Range,MATCH((C371&amp;B406),Input_Call,0),MATCH(Q399,Input_Header,0)))</f>
        <v>0</v>
      </c>
      <c r="R406" s="698">
        <f t="shared" si="560"/>
        <v>0</v>
      </c>
      <c r="T406" s="699">
        <f t="shared" si="561"/>
        <v>0</v>
      </c>
      <c r="U406" s="699">
        <f t="shared" si="562"/>
        <v>0</v>
      </c>
      <c r="V406" s="699">
        <f t="shared" si="563"/>
        <v>0</v>
      </c>
      <c r="W406" s="699">
        <f t="shared" si="564"/>
        <v>8</v>
      </c>
      <c r="X406" s="699">
        <f t="shared" si="565"/>
        <v>0</v>
      </c>
      <c r="Y406" s="699">
        <f t="shared" si="566"/>
        <v>0</v>
      </c>
      <c r="Z406" s="699">
        <f t="shared" si="567"/>
        <v>0</v>
      </c>
      <c r="AA406" s="699">
        <f t="shared" si="568"/>
        <v>0</v>
      </c>
      <c r="AB406" s="699">
        <f t="shared" si="569"/>
        <v>0</v>
      </c>
      <c r="AC406" s="699">
        <f t="shared" si="570"/>
        <v>0</v>
      </c>
      <c r="AD406" s="699">
        <f t="shared" si="571"/>
        <v>0</v>
      </c>
      <c r="AE406" s="699">
        <f t="shared" si="572"/>
        <v>0</v>
      </c>
      <c r="AF406" s="699">
        <f t="shared" si="573"/>
        <v>0</v>
      </c>
      <c r="AG406" s="699">
        <f t="shared" si="574"/>
        <v>0</v>
      </c>
      <c r="AI406" s="698">
        <f t="shared" si="557"/>
        <v>0</v>
      </c>
      <c r="AJ406" s="21"/>
      <c r="AK406" s="21"/>
      <c r="AL406" s="4" t="str">
        <f>$A406&amp;$C371&amp;InputSheet!C$47&amp;InputSheet!D$47</f>
        <v>Option Year 2ESDTBD2Contr/Govt</v>
      </c>
      <c r="AM406" s="700">
        <f t="shared" si="558"/>
        <v>0</v>
      </c>
      <c r="AP406" s="387" t="str">
        <f t="shared" si="552"/>
        <v>0</v>
      </c>
    </row>
    <row r="407" spans="1:42" outlineLevel="1">
      <c r="A407" s="6" t="str">
        <f t="shared" si="559"/>
        <v>Option Year 2</v>
      </c>
      <c r="B407" s="6" t="str">
        <f t="shared" si="555"/>
        <v>TBD3</v>
      </c>
      <c r="E407" s="21">
        <f>IF(E399="",0,INDEX(Input_Range,MATCH((C371&amp;B407),Input_Call,0),MATCH(E399,Input_Header,0)))</f>
        <v>0</v>
      </c>
      <c r="F407" s="21">
        <f>IF(F399="",0,INDEX(Input_Range,MATCH((C371&amp;B407),Input_Call,0),MATCH(F399,Input_Header,0)))</f>
        <v>0</v>
      </c>
      <c r="G407" s="21">
        <f>IF(G399="",0,INDEX(Input_Range,MATCH((C371&amp;B407),Input_Call,0),MATCH(G399,Input_Header,0)))</f>
        <v>0</v>
      </c>
      <c r="H407" s="21">
        <f>IF(H399="",0,INDEX(Input_Range,MATCH((C371&amp;B407),Input_Call,0),MATCH(H399,Input_Header,0)))</f>
        <v>0</v>
      </c>
      <c r="I407" s="21">
        <f>IF(I399="",0,INDEX(Input_Range,MATCH((C371&amp;B407),Input_Call,0),MATCH(I399,Input_Header,0)))</f>
        <v>0</v>
      </c>
      <c r="J407" s="21">
        <f>IF(J399="",0,INDEX(Input_Range,MATCH((C371&amp;B407),Input_Call,0),MATCH(J399,Input_Header,0)))</f>
        <v>0</v>
      </c>
      <c r="K407" s="21">
        <f>IF(K399="",0,INDEX(Input_Range,MATCH((C371&amp;B407),Input_Call,0),MATCH(K399,Input_Header,0)))</f>
        <v>0</v>
      </c>
      <c r="L407" s="21">
        <f>IF(L399="",0,INDEX(Input_Range,MATCH((C371&amp;B407),Input_Call,0),MATCH(L399,Input_Header,0)))</f>
        <v>0</v>
      </c>
      <c r="M407" s="21">
        <f>IF(M399="",0,INDEX(Input_Range,MATCH((C371&amp;B407),Input_Call,0),MATCH(M399,Input_Header,0)))</f>
        <v>0</v>
      </c>
      <c r="N407" s="21">
        <f>IF(N399="",0,INDEX(Input_Range,MATCH((C371&amp;B407),Input_Call,0),MATCH(N399,Input_Header,0)))</f>
        <v>0</v>
      </c>
      <c r="O407" s="21">
        <f>IF(O399="",0,INDEX(Input_Range,MATCH((C371&amp;B407),Input_Call,0),MATCH(O399,Input_Header,0)))</f>
        <v>0</v>
      </c>
      <c r="P407" s="21">
        <f>IF(P399="",0,INDEX(Input_Range,MATCH((C371&amp;B407),Input_Call,0),MATCH(P399,Input_Header,0)))</f>
        <v>0</v>
      </c>
      <c r="Q407" s="21">
        <f>IF(Q399="",0,INDEX(Input_Range,MATCH((C371&amp;B407),Input_Call,0),MATCH(Q399,Input_Header,0)))</f>
        <v>0</v>
      </c>
      <c r="R407" s="698">
        <f t="shared" si="560"/>
        <v>0</v>
      </c>
      <c r="T407" s="699">
        <f t="shared" si="561"/>
        <v>0</v>
      </c>
      <c r="U407" s="699">
        <f t="shared" si="562"/>
        <v>0</v>
      </c>
      <c r="V407" s="699">
        <f t="shared" si="563"/>
        <v>0</v>
      </c>
      <c r="W407" s="699">
        <f t="shared" si="564"/>
        <v>8</v>
      </c>
      <c r="X407" s="699">
        <f t="shared" si="565"/>
        <v>0</v>
      </c>
      <c r="Y407" s="699">
        <f t="shared" si="566"/>
        <v>0</v>
      </c>
      <c r="Z407" s="699">
        <f t="shared" si="567"/>
        <v>0</v>
      </c>
      <c r="AA407" s="699">
        <f t="shared" si="568"/>
        <v>0</v>
      </c>
      <c r="AB407" s="699">
        <f t="shared" si="569"/>
        <v>0</v>
      </c>
      <c r="AC407" s="699">
        <f t="shared" si="570"/>
        <v>0</v>
      </c>
      <c r="AD407" s="699">
        <f t="shared" si="571"/>
        <v>0</v>
      </c>
      <c r="AE407" s="699">
        <f t="shared" si="572"/>
        <v>0</v>
      </c>
      <c r="AF407" s="699">
        <f t="shared" si="573"/>
        <v>0</v>
      </c>
      <c r="AG407" s="699">
        <f t="shared" si="574"/>
        <v>0</v>
      </c>
      <c r="AI407" s="698">
        <f t="shared" si="557"/>
        <v>0</v>
      </c>
      <c r="AJ407" s="21"/>
      <c r="AK407" s="21"/>
      <c r="AL407" s="4" t="str">
        <f>$A407&amp;$C371&amp;InputSheet!C$48&amp;InputSheet!D$48</f>
        <v>Option Year 2ESDTBD3Contr/Govt</v>
      </c>
      <c r="AM407" s="700">
        <f t="shared" si="558"/>
        <v>0</v>
      </c>
      <c r="AP407" s="387" t="str">
        <f t="shared" si="552"/>
        <v>0</v>
      </c>
    </row>
    <row r="408" spans="1:42">
      <c r="E408" s="698"/>
      <c r="F408" s="698"/>
      <c r="G408" s="698"/>
      <c r="H408" s="698"/>
      <c r="I408" s="698"/>
      <c r="J408" s="698"/>
      <c r="K408" s="698"/>
      <c r="L408" s="698"/>
      <c r="M408" s="698"/>
      <c r="N408" s="698"/>
      <c r="O408" s="698"/>
      <c r="P408" s="698"/>
      <c r="Q408" s="698"/>
      <c r="R408" s="698"/>
      <c r="AI408" s="21"/>
      <c r="AJ408" s="21"/>
      <c r="AK408" s="21"/>
      <c r="AP408" s="387" t="str">
        <f t="shared" si="552"/>
        <v>1</v>
      </c>
    </row>
    <row r="409" spans="1:42">
      <c r="A409" s="530" t="str">
        <f>B409</f>
        <v>Training and Processing</v>
      </c>
      <c r="B409" s="691" t="str">
        <f>InputSheet!$C$25</f>
        <v>Training and Processing</v>
      </c>
      <c r="C409" s="28"/>
      <c r="AP409" s="387" t="str">
        <f t="shared" si="552"/>
        <v>1</v>
      </c>
    </row>
    <row r="410" spans="1:42">
      <c r="B410" s="314" t="s">
        <v>587</v>
      </c>
      <c r="C410" s="692" t="s">
        <v>588</v>
      </c>
      <c r="E410" s="1216" t="str">
        <f>"Indirect Rates - "&amp;C$371</f>
        <v>Indirect Rates - ESD</v>
      </c>
      <c r="F410" s="1216"/>
      <c r="G410" s="1216"/>
      <c r="H410" s="1216"/>
      <c r="I410" s="1216"/>
      <c r="J410" s="1216"/>
      <c r="K410" s="1216"/>
      <c r="L410" s="1216"/>
      <c r="M410" s="1216"/>
      <c r="N410" s="1216"/>
      <c r="O410" s="1216"/>
      <c r="P410" s="1216"/>
      <c r="Q410" s="1216"/>
      <c r="R410" s="1216"/>
      <c r="S410" s="844"/>
      <c r="T410" s="1217" t="s">
        <v>794</v>
      </c>
      <c r="U410" s="1217"/>
      <c r="V410" s="1217"/>
      <c r="W410" s="1217"/>
      <c r="X410" s="1217"/>
      <c r="Y410" s="1217"/>
      <c r="Z410" s="1217"/>
      <c r="AA410" s="1217"/>
      <c r="AB410" s="1217"/>
      <c r="AC410" s="1217"/>
      <c r="AD410" s="1217"/>
      <c r="AE410" s="1217"/>
      <c r="AF410" s="1217"/>
      <c r="AG410" s="1217"/>
      <c r="AI410" s="692" t="s">
        <v>615</v>
      </c>
      <c r="AJ410" s="50"/>
      <c r="AK410" s="50"/>
      <c r="AP410" s="387" t="str">
        <f t="shared" si="552"/>
        <v>1</v>
      </c>
    </row>
    <row r="411" spans="1:42">
      <c r="B411" s="693">
        <f>VLOOKUP(A409,InputSheet!$C$8:$E$37,2,FALSE)</f>
        <v>40179</v>
      </c>
      <c r="C411" s="694">
        <f>VLOOKUP(A409,InputSheet!$C$8:$E$37,3,FALSE)</f>
        <v>41152</v>
      </c>
      <c r="E411" s="695">
        <f t="shared" ref="E411:R411" si="575">E399</f>
        <v>2009</v>
      </c>
      <c r="F411" s="695">
        <f t="shared" si="575"/>
        <v>2010</v>
      </c>
      <c r="G411" s="695">
        <f t="shared" si="575"/>
        <v>2011</v>
      </c>
      <c r="H411" s="695">
        <f t="shared" si="575"/>
        <v>2012</v>
      </c>
      <c r="I411" s="695">
        <f t="shared" si="575"/>
        <v>2013</v>
      </c>
      <c r="J411" s="695">
        <f t="shared" si="575"/>
        <v>2014</v>
      </c>
      <c r="K411" s="695">
        <f t="shared" si="575"/>
        <v>2015</v>
      </c>
      <c r="L411" s="695">
        <f t="shared" si="575"/>
        <v>2016</v>
      </c>
      <c r="M411" s="695">
        <f t="shared" si="575"/>
        <v>2017</v>
      </c>
      <c r="N411" s="695">
        <f t="shared" si="575"/>
        <v>2018</v>
      </c>
      <c r="O411" s="695">
        <f t="shared" si="575"/>
        <v>2019</v>
      </c>
      <c r="P411" s="695">
        <f t="shared" si="575"/>
        <v>2020</v>
      </c>
      <c r="Q411" s="695">
        <f t="shared" si="575"/>
        <v>2021</v>
      </c>
      <c r="R411" s="695">
        <f t="shared" si="575"/>
        <v>2022</v>
      </c>
      <c r="S411" s="680"/>
      <c r="T411" s="695">
        <f t="shared" ref="T411:AG411" si="576">T399</f>
        <v>2009</v>
      </c>
      <c r="U411" s="695">
        <f t="shared" si="576"/>
        <v>2010</v>
      </c>
      <c r="V411" s="695">
        <f t="shared" si="576"/>
        <v>2011</v>
      </c>
      <c r="W411" s="695">
        <f t="shared" si="576"/>
        <v>2012</v>
      </c>
      <c r="X411" s="695">
        <f t="shared" si="576"/>
        <v>2013</v>
      </c>
      <c r="Y411" s="695">
        <f t="shared" si="576"/>
        <v>2014</v>
      </c>
      <c r="Z411" s="695">
        <f t="shared" si="576"/>
        <v>2015</v>
      </c>
      <c r="AA411" s="695">
        <f t="shared" si="576"/>
        <v>2016</v>
      </c>
      <c r="AB411" s="695">
        <f t="shared" si="576"/>
        <v>2017</v>
      </c>
      <c r="AC411" s="695">
        <f t="shared" si="576"/>
        <v>2018</v>
      </c>
      <c r="AD411" s="695">
        <f t="shared" si="576"/>
        <v>2019</v>
      </c>
      <c r="AE411" s="695">
        <f t="shared" si="576"/>
        <v>2020</v>
      </c>
      <c r="AF411" s="695">
        <f t="shared" si="576"/>
        <v>2021</v>
      </c>
      <c r="AG411" s="695">
        <f t="shared" si="576"/>
        <v>2022</v>
      </c>
      <c r="AI411" s="696" t="str">
        <f>B409</f>
        <v>Training and Processing</v>
      </c>
      <c r="AJ411" s="28"/>
      <c r="AK411" s="28"/>
      <c r="AP411" s="387" t="str">
        <f t="shared" si="552"/>
        <v>1</v>
      </c>
    </row>
    <row r="412" spans="1:42">
      <c r="A412" s="6" t="str">
        <f>A409</f>
        <v>Training and Processing</v>
      </c>
      <c r="B412" s="6" t="str">
        <f t="shared" ref="B412:B419" si="577">B400</f>
        <v>PRB</v>
      </c>
      <c r="E412" s="698">
        <f>IF(E411="",0,INDEX(Input_Range,MATCH((C371&amp;B412),Input_Call,0),MATCH(E411,Input_Header,0)))</f>
        <v>0</v>
      </c>
      <c r="F412" s="698">
        <f>IF(F411="",0,INDEX(Input_Range,MATCH((C371&amp;B412),Input_Call,0),MATCH(F411,Input_Header,0)))</f>
        <v>0</v>
      </c>
      <c r="G412" s="698">
        <f>IF(G411="",0,INDEX(Input_Range,MATCH((C371&amp;B412),Input_Call,0),MATCH(G411,Input_Header,0)))</f>
        <v>0</v>
      </c>
      <c r="H412" s="698">
        <f>IF(H411="",0,INDEX(Input_Range,MATCH((C371&amp;B412),Input_Call,0),MATCH(H411,Input_Header,0)))</f>
        <v>0</v>
      </c>
      <c r="I412" s="698">
        <f>IF(I411="",0,INDEX(Input_Range,MATCH((C371&amp;B412),Input_Call,0),MATCH(I411,Input_Header,0)))</f>
        <v>0</v>
      </c>
      <c r="J412" s="698">
        <f>IF(J411="",0,INDEX(Input_Range,MATCH((C371&amp;B412),Input_Call,0),MATCH(J411,Input_Header,0)))</f>
        <v>0</v>
      </c>
      <c r="K412" s="698">
        <f>IF(K411="",0,INDEX(Input_Range,MATCH((C371&amp;B412),Input_Call,0),MATCH(K411,Input_Header,0)))</f>
        <v>0</v>
      </c>
      <c r="L412" s="698">
        <f>IF(L411="",0,INDEX(Input_Range,MATCH((C371&amp;B412),Input_Call,0),MATCH(L411,Input_Header,0)))</f>
        <v>0</v>
      </c>
      <c r="M412" s="698">
        <f>IF(M411="",0,INDEX(Input_Range,MATCH((C371&amp;B412),Input_Call,0),MATCH(M411,Input_Header,0)))</f>
        <v>0</v>
      </c>
      <c r="N412" s="698">
        <f>IF(N411="",0,INDEX(Input_Range,MATCH((C371&amp;B412),Input_Call,0),MATCH(N411,Input_Header,0)))</f>
        <v>0</v>
      </c>
      <c r="O412" s="698">
        <f>IF(O411="",0,INDEX(Input_Range,MATCH((C371&amp;B412),Input_Call,0),MATCH(O411,Input_Header,0)))</f>
        <v>0</v>
      </c>
      <c r="P412" s="698">
        <f>IF(P411="",0,INDEX(Input_Range,MATCH((C371&amp;B412),Input_Call,0),MATCH(P411,Input_Header,0)))</f>
        <v>0</v>
      </c>
      <c r="Q412" s="698">
        <f>IF(Q411="",0,INDEX(Input_Range,MATCH((C371&amp;B412),Input_Call,0),MATCH(Q411,Input_Header,0)))</f>
        <v>0</v>
      </c>
      <c r="R412" s="698">
        <f>Q412</f>
        <v>0</v>
      </c>
      <c r="T412" s="699">
        <f t="shared" ref="T412:AG412" si="578">ROUND((MAX(0,(MIN($C411,DATE(T411,12,31))-MAX($B411,DATE(T411,1,1))+1)))/30.41667,0)</f>
        <v>0</v>
      </c>
      <c r="U412" s="699">
        <f t="shared" si="578"/>
        <v>12</v>
      </c>
      <c r="V412" s="699">
        <f t="shared" si="578"/>
        <v>12</v>
      </c>
      <c r="W412" s="699">
        <f t="shared" si="578"/>
        <v>8</v>
      </c>
      <c r="X412" s="699">
        <f t="shared" si="578"/>
        <v>0</v>
      </c>
      <c r="Y412" s="699">
        <f t="shared" si="578"/>
        <v>0</v>
      </c>
      <c r="Z412" s="699">
        <f t="shared" si="578"/>
        <v>0</v>
      </c>
      <c r="AA412" s="699">
        <f t="shared" si="578"/>
        <v>0</v>
      </c>
      <c r="AB412" s="699">
        <f t="shared" si="578"/>
        <v>0</v>
      </c>
      <c r="AC412" s="699">
        <f t="shared" si="578"/>
        <v>0</v>
      </c>
      <c r="AD412" s="699">
        <f t="shared" si="578"/>
        <v>0</v>
      </c>
      <c r="AE412" s="699">
        <f t="shared" si="578"/>
        <v>0</v>
      </c>
      <c r="AF412" s="699">
        <f t="shared" si="578"/>
        <v>0</v>
      </c>
      <c r="AG412" s="699">
        <f t="shared" si="578"/>
        <v>0</v>
      </c>
      <c r="AI412" s="698">
        <f t="shared" ref="AI412:AI419" si="579">ROUND(SUMPRODUCT(E412:R412,T412:AG412)/SUM(T412:AG412),4)</f>
        <v>0</v>
      </c>
      <c r="AJ412" s="698"/>
      <c r="AK412" s="698"/>
      <c r="AL412" s="4" t="str">
        <f>$A412&amp;$C371&amp;InputSheet!C$41&amp;InputSheet!D$41</f>
        <v>Training and ProcessingESDPRBContr/Govt</v>
      </c>
      <c r="AM412" s="700">
        <f t="shared" ref="AM412:AM419" si="580">AI412</f>
        <v>0</v>
      </c>
      <c r="AP412" s="387" t="str">
        <f t="shared" si="552"/>
        <v>1</v>
      </c>
    </row>
    <row r="413" spans="1:42">
      <c r="A413" s="6" t="str">
        <f t="shared" ref="A413:A419" si="581">A412</f>
        <v>Training and Processing</v>
      </c>
      <c r="B413" s="6" t="str">
        <f t="shared" si="577"/>
        <v>Overhead - Offsite</v>
      </c>
      <c r="E413" s="698">
        <f>IF(E411="",0,INDEX(Input_Range,MATCH((C371&amp;B413),Input_Call,0),MATCH(E411,Input_Header,0)))</f>
        <v>0</v>
      </c>
      <c r="F413" s="698">
        <f>IF(F411="",0,INDEX(Input_Range,MATCH((C371&amp;B413),Input_Call,0),MATCH(F411,Input_Header,0)))</f>
        <v>0</v>
      </c>
      <c r="G413" s="698">
        <f>IF(G411="",0,INDEX(Input_Range,MATCH((C371&amp;B413),Input_Call,0),MATCH(G411,Input_Header,0)))</f>
        <v>0</v>
      </c>
      <c r="H413" s="698">
        <f>IF(H411="",0,INDEX(Input_Range,MATCH((C371&amp;B413),Input_Call,0),MATCH(H411,Input_Header,0)))</f>
        <v>0</v>
      </c>
      <c r="I413" s="698">
        <f>IF(I411="",0,INDEX(Input_Range,MATCH((C371&amp;B413),Input_Call,0),MATCH(I411,Input_Header,0)))</f>
        <v>0</v>
      </c>
      <c r="J413" s="698">
        <f>IF(J411="",0,INDEX(Input_Range,MATCH((C371&amp;B413),Input_Call,0),MATCH(J411,Input_Header,0)))</f>
        <v>0</v>
      </c>
      <c r="K413" s="698">
        <f>IF(K411="",0,INDEX(Input_Range,MATCH((C371&amp;B413),Input_Call,0),MATCH(K411,Input_Header,0)))</f>
        <v>0</v>
      </c>
      <c r="L413" s="698">
        <f>IF(L411="",0,INDEX(Input_Range,MATCH((C371&amp;B413),Input_Call,0),MATCH(L411,Input_Header,0)))</f>
        <v>0</v>
      </c>
      <c r="M413" s="698">
        <f>IF(M411="",0,INDEX(Input_Range,MATCH((C371&amp;B413),Input_Call,0),MATCH(M411,Input_Header,0)))</f>
        <v>0</v>
      </c>
      <c r="N413" s="698">
        <f>IF(N411="",0,INDEX(Input_Range,MATCH((C371&amp;B413),Input_Call,0),MATCH(N411,Input_Header,0)))</f>
        <v>0</v>
      </c>
      <c r="O413" s="698">
        <f>IF(O411="",0,INDEX(Input_Range,MATCH((C371&amp;B413),Input_Call,0),MATCH(O411,Input_Header,0)))</f>
        <v>0</v>
      </c>
      <c r="P413" s="698">
        <f>IF(P411="",0,INDEX(Input_Range,MATCH((C371&amp;B413),Input_Call,0),MATCH(P411,Input_Header,0)))</f>
        <v>0</v>
      </c>
      <c r="Q413" s="698">
        <f>IF(Q411="",0,INDEX(Input_Range,MATCH((C371&amp;B413),Input_Call,0),MATCH(Q411,Input_Header,0)))</f>
        <v>0</v>
      </c>
      <c r="R413" s="698">
        <f t="shared" ref="R413:R419" si="582">Q413</f>
        <v>0</v>
      </c>
      <c r="T413" s="699">
        <f t="shared" ref="T413:T419" si="583">T412</f>
        <v>0</v>
      </c>
      <c r="U413" s="699">
        <f t="shared" ref="U413:U419" si="584">U412</f>
        <v>12</v>
      </c>
      <c r="V413" s="699">
        <f t="shared" ref="V413:V419" si="585">V412</f>
        <v>12</v>
      </c>
      <c r="W413" s="699">
        <f t="shared" ref="W413:W419" si="586">W412</f>
        <v>8</v>
      </c>
      <c r="X413" s="699">
        <f t="shared" ref="X413:X419" si="587">X412</f>
        <v>0</v>
      </c>
      <c r="Y413" s="699">
        <f t="shared" ref="Y413:Y419" si="588">Y412</f>
        <v>0</v>
      </c>
      <c r="Z413" s="699">
        <f t="shared" ref="Z413:Z419" si="589">Z412</f>
        <v>0</v>
      </c>
      <c r="AA413" s="699">
        <f t="shared" ref="AA413:AA419" si="590">AA412</f>
        <v>0</v>
      </c>
      <c r="AB413" s="699">
        <f t="shared" ref="AB413:AB419" si="591">AB412</f>
        <v>0</v>
      </c>
      <c r="AC413" s="699">
        <f t="shared" ref="AC413:AC419" si="592">AC412</f>
        <v>0</v>
      </c>
      <c r="AD413" s="699">
        <f t="shared" ref="AD413:AD419" si="593">AD412</f>
        <v>0</v>
      </c>
      <c r="AE413" s="699">
        <f t="shared" ref="AE413:AE419" si="594">AE412</f>
        <v>0</v>
      </c>
      <c r="AF413" s="699">
        <f t="shared" ref="AF413:AF419" si="595">AF412</f>
        <v>0</v>
      </c>
      <c r="AG413" s="699">
        <f t="shared" ref="AG413:AG419" si="596">AG412</f>
        <v>0</v>
      </c>
      <c r="AI413" s="698">
        <f t="shared" si="579"/>
        <v>0</v>
      </c>
      <c r="AJ413" s="698"/>
      <c r="AK413" s="698"/>
      <c r="AL413" s="4" t="str">
        <f>$A413&amp;$C371&amp;InputSheet!C$42&amp;InputSheet!D$42</f>
        <v>Training and ProcessingESDOverheadContr</v>
      </c>
      <c r="AM413" s="700">
        <f t="shared" si="580"/>
        <v>0</v>
      </c>
      <c r="AP413" s="387" t="str">
        <f t="shared" si="552"/>
        <v>0</v>
      </c>
    </row>
    <row r="414" spans="1:42">
      <c r="A414" s="6" t="str">
        <f t="shared" si="581"/>
        <v>Training and Processing</v>
      </c>
      <c r="B414" s="6" t="str">
        <f t="shared" si="577"/>
        <v>Overhead - Onsite</v>
      </c>
      <c r="E414" s="698">
        <f>IF(E411="",0,INDEX(Input_Range,MATCH((C371&amp;B414),Input_Call,0),MATCH(E411,Input_Header,0)))</f>
        <v>0</v>
      </c>
      <c r="F414" s="698">
        <f>IF(F411="",0,INDEX(Input_Range,MATCH((C371&amp;B414),Input_Call,0),MATCH(F411,Input_Header,0)))</f>
        <v>0</v>
      </c>
      <c r="G414" s="698">
        <f>IF(G411="",0,INDEX(Input_Range,MATCH((C371&amp;B414),Input_Call,0),MATCH(G411,Input_Header,0)))</f>
        <v>0</v>
      </c>
      <c r="H414" s="698">
        <f>IF(H411="",0,INDEX(Input_Range,MATCH((C371&amp;B414),Input_Call,0),MATCH(H411,Input_Header,0)))</f>
        <v>0</v>
      </c>
      <c r="I414" s="698">
        <f>IF(I411="",0,INDEX(Input_Range,MATCH((C371&amp;B414),Input_Call,0),MATCH(I411,Input_Header,0)))</f>
        <v>0</v>
      </c>
      <c r="J414" s="698">
        <f>IF(J411="",0,INDEX(Input_Range,MATCH((C371&amp;B414),Input_Call,0),MATCH(J411,Input_Header,0)))</f>
        <v>0</v>
      </c>
      <c r="K414" s="698">
        <f>IF(K411="",0,INDEX(Input_Range,MATCH((C371&amp;B414),Input_Call,0),MATCH(K411,Input_Header,0)))</f>
        <v>0</v>
      </c>
      <c r="L414" s="698">
        <f>IF(L411="",0,INDEX(Input_Range,MATCH((C371&amp;B414),Input_Call,0),MATCH(L411,Input_Header,0)))</f>
        <v>0</v>
      </c>
      <c r="M414" s="698">
        <f>IF(M411="",0,INDEX(Input_Range,MATCH((C371&amp;B414),Input_Call,0),MATCH(M411,Input_Header,0)))</f>
        <v>0</v>
      </c>
      <c r="N414" s="698">
        <f>IF(N411="",0,INDEX(Input_Range,MATCH((C371&amp;B414),Input_Call,0),MATCH(N411,Input_Header,0)))</f>
        <v>0</v>
      </c>
      <c r="O414" s="698">
        <f>IF(O411="",0,INDEX(Input_Range,MATCH((C371&amp;B414),Input_Call,0),MATCH(O411,Input_Header,0)))</f>
        <v>0</v>
      </c>
      <c r="P414" s="698">
        <f>IF(P411="",0,INDEX(Input_Range,MATCH((C371&amp;B414),Input_Call,0),MATCH(P411,Input_Header,0)))</f>
        <v>0</v>
      </c>
      <c r="Q414" s="698">
        <f>IF(Q411="",0,INDEX(Input_Range,MATCH((C371&amp;B414),Input_Call,0),MATCH(Q411,Input_Header,0)))</f>
        <v>0</v>
      </c>
      <c r="R414" s="698">
        <f t="shared" si="582"/>
        <v>0</v>
      </c>
      <c r="T414" s="699">
        <f t="shared" si="583"/>
        <v>0</v>
      </c>
      <c r="U414" s="699">
        <f t="shared" si="584"/>
        <v>12</v>
      </c>
      <c r="V414" s="699">
        <f t="shared" si="585"/>
        <v>12</v>
      </c>
      <c r="W414" s="699">
        <f t="shared" si="586"/>
        <v>8</v>
      </c>
      <c r="X414" s="699">
        <f t="shared" si="587"/>
        <v>0</v>
      </c>
      <c r="Y414" s="699">
        <f t="shared" si="588"/>
        <v>0</v>
      </c>
      <c r="Z414" s="699">
        <f t="shared" si="589"/>
        <v>0</v>
      </c>
      <c r="AA414" s="699">
        <f t="shared" si="590"/>
        <v>0</v>
      </c>
      <c r="AB414" s="699">
        <f t="shared" si="591"/>
        <v>0</v>
      </c>
      <c r="AC414" s="699">
        <f t="shared" si="592"/>
        <v>0</v>
      </c>
      <c r="AD414" s="699">
        <f t="shared" si="593"/>
        <v>0</v>
      </c>
      <c r="AE414" s="699">
        <f t="shared" si="594"/>
        <v>0</v>
      </c>
      <c r="AF414" s="699">
        <f t="shared" si="595"/>
        <v>0</v>
      </c>
      <c r="AG414" s="699">
        <f t="shared" si="596"/>
        <v>0</v>
      </c>
      <c r="AI414" s="698">
        <f t="shared" si="579"/>
        <v>0</v>
      </c>
      <c r="AJ414" s="698"/>
      <c r="AK414" s="698"/>
      <c r="AL414" s="4" t="str">
        <f>$A414&amp;$C371&amp;InputSheet!C$43&amp;InputSheet!D$43</f>
        <v>Training and ProcessingESDOverheadGovt</v>
      </c>
      <c r="AM414" s="700">
        <f t="shared" si="580"/>
        <v>0</v>
      </c>
      <c r="AP414" s="387" t="str">
        <f t="shared" si="552"/>
        <v>1</v>
      </c>
    </row>
    <row r="415" spans="1:42">
      <c r="A415" s="6" t="str">
        <f t="shared" si="581"/>
        <v>Training and Processing</v>
      </c>
      <c r="B415" s="6" t="str">
        <f t="shared" si="577"/>
        <v>Material Handling</v>
      </c>
      <c r="E415" s="698">
        <f>IF(E411="",0,INDEX(Input_Range,MATCH((C371&amp;B415),Input_Call,0),MATCH(E411,Input_Header,0)))</f>
        <v>0</v>
      </c>
      <c r="F415" s="698">
        <f>IF(F411="",0,INDEX(Input_Range,MATCH((C371&amp;B415),Input_Call,0),MATCH(F411,Input_Header,0)))</f>
        <v>0</v>
      </c>
      <c r="G415" s="698">
        <f>IF(G411="",0,INDEX(Input_Range,MATCH((C371&amp;B415),Input_Call,0),MATCH(G411,Input_Header,0)))</f>
        <v>0</v>
      </c>
      <c r="H415" s="698">
        <f>IF(H411="",0,INDEX(Input_Range,MATCH((C371&amp;B415),Input_Call,0),MATCH(H411,Input_Header,0)))</f>
        <v>0</v>
      </c>
      <c r="I415" s="698">
        <f>IF(I411="",0,INDEX(Input_Range,MATCH((C371&amp;B415),Input_Call,0),MATCH(I411,Input_Header,0)))</f>
        <v>0</v>
      </c>
      <c r="J415" s="698">
        <f>IF(J411="",0,INDEX(Input_Range,MATCH((C371&amp;B415),Input_Call,0),MATCH(J411,Input_Header,0)))</f>
        <v>0</v>
      </c>
      <c r="K415" s="698">
        <f>IF(K411="",0,INDEX(Input_Range,MATCH((C371&amp;B415),Input_Call,0),MATCH(K411,Input_Header,0)))</f>
        <v>0</v>
      </c>
      <c r="L415" s="698">
        <f>IF(L411="",0,INDEX(Input_Range,MATCH((C371&amp;B415),Input_Call,0),MATCH(L411,Input_Header,0)))</f>
        <v>0</v>
      </c>
      <c r="M415" s="698">
        <f>IF(M411="",0,INDEX(Input_Range,MATCH((C371&amp;B415),Input_Call,0),MATCH(M411,Input_Header,0)))</f>
        <v>0</v>
      </c>
      <c r="N415" s="698">
        <f>IF(N411="",0,INDEX(Input_Range,MATCH((C371&amp;B415),Input_Call,0),MATCH(N411,Input_Header,0)))</f>
        <v>0</v>
      </c>
      <c r="O415" s="698">
        <f>IF(O411="",0,INDEX(Input_Range,MATCH((C371&amp;B415),Input_Call,0),MATCH(O411,Input_Header,0)))</f>
        <v>0</v>
      </c>
      <c r="P415" s="698">
        <f>IF(P411="",0,INDEX(Input_Range,MATCH((C371&amp;B415),Input_Call,0),MATCH(P411,Input_Header,0)))</f>
        <v>0</v>
      </c>
      <c r="Q415" s="698">
        <f>IF(Q411="",0,INDEX(Input_Range,MATCH((C371&amp;B415),Input_Call,0),MATCH(Q411,Input_Header,0)))</f>
        <v>0</v>
      </c>
      <c r="R415" s="698">
        <f t="shared" si="582"/>
        <v>0</v>
      </c>
      <c r="T415" s="699">
        <f t="shared" si="583"/>
        <v>0</v>
      </c>
      <c r="U415" s="699">
        <f t="shared" si="584"/>
        <v>12</v>
      </c>
      <c r="V415" s="699">
        <f t="shared" si="585"/>
        <v>12</v>
      </c>
      <c r="W415" s="699">
        <f t="shared" si="586"/>
        <v>8</v>
      </c>
      <c r="X415" s="699">
        <f t="shared" si="587"/>
        <v>0</v>
      </c>
      <c r="Y415" s="699">
        <f t="shared" si="588"/>
        <v>0</v>
      </c>
      <c r="Z415" s="699">
        <f t="shared" si="589"/>
        <v>0</v>
      </c>
      <c r="AA415" s="699">
        <f t="shared" si="590"/>
        <v>0</v>
      </c>
      <c r="AB415" s="699">
        <f t="shared" si="591"/>
        <v>0</v>
      </c>
      <c r="AC415" s="699">
        <f t="shared" si="592"/>
        <v>0</v>
      </c>
      <c r="AD415" s="699">
        <f t="shared" si="593"/>
        <v>0</v>
      </c>
      <c r="AE415" s="699">
        <f t="shared" si="594"/>
        <v>0</v>
      </c>
      <c r="AF415" s="699">
        <f t="shared" si="595"/>
        <v>0</v>
      </c>
      <c r="AG415" s="699">
        <f t="shared" si="596"/>
        <v>0</v>
      </c>
      <c r="AI415" s="698">
        <f t="shared" si="579"/>
        <v>0</v>
      </c>
      <c r="AJ415" s="698"/>
      <c r="AK415" s="698"/>
      <c r="AL415" s="4" t="str">
        <f>$A415&amp;$C371&amp;InputSheet!C$44&amp;InputSheet!D$44</f>
        <v>Training and ProcessingESDMHContr/Govt</v>
      </c>
      <c r="AM415" s="700">
        <f t="shared" si="580"/>
        <v>0</v>
      </c>
      <c r="AP415" s="387" t="str">
        <f t="shared" si="552"/>
        <v>0</v>
      </c>
    </row>
    <row r="416" spans="1:42">
      <c r="A416" s="6" t="str">
        <f t="shared" si="581"/>
        <v>Training and Processing</v>
      </c>
      <c r="B416" s="6" t="str">
        <f t="shared" si="577"/>
        <v>G&amp;A</v>
      </c>
      <c r="E416" s="698">
        <f>IF(E411="",0,INDEX(Input_Range,MATCH((C371&amp;B416),Input_Call,0),MATCH(E411,Input_Header,0)))</f>
        <v>0</v>
      </c>
      <c r="F416" s="698">
        <f>IF(F411="",0,INDEX(Input_Range,MATCH((C371&amp;B416),Input_Call,0),MATCH(F411,Input_Header,0)))</f>
        <v>0</v>
      </c>
      <c r="G416" s="698">
        <f>IF(G411="",0,INDEX(Input_Range,MATCH((C371&amp;B416),Input_Call,0),MATCH(G411,Input_Header,0)))</f>
        <v>0</v>
      </c>
      <c r="H416" s="698">
        <f>IF(H411="",0,INDEX(Input_Range,MATCH((C371&amp;B416),Input_Call,0),MATCH(H411,Input_Header,0)))</f>
        <v>0</v>
      </c>
      <c r="I416" s="698">
        <f>IF(I411="",0,INDEX(Input_Range,MATCH((C371&amp;B416),Input_Call,0),MATCH(I411,Input_Header,0)))</f>
        <v>0</v>
      </c>
      <c r="J416" s="698">
        <f>IF(J411="",0,INDEX(Input_Range,MATCH((C371&amp;B416),Input_Call,0),MATCH(J411,Input_Header,0)))</f>
        <v>0</v>
      </c>
      <c r="K416" s="698">
        <f>IF(K411="",0,INDEX(Input_Range,MATCH((C371&amp;B416),Input_Call,0),MATCH(K411,Input_Header,0)))</f>
        <v>0</v>
      </c>
      <c r="L416" s="698">
        <f>IF(L411="",0,INDEX(Input_Range,MATCH((C371&amp;B416),Input_Call,0),MATCH(L411,Input_Header,0)))</f>
        <v>0</v>
      </c>
      <c r="M416" s="698">
        <f>IF(M411="",0,INDEX(Input_Range,MATCH((C371&amp;B416),Input_Call,0),MATCH(M411,Input_Header,0)))</f>
        <v>0</v>
      </c>
      <c r="N416" s="698">
        <f>IF(N411="",0,INDEX(Input_Range,MATCH((C371&amp;B416),Input_Call,0),MATCH(N411,Input_Header,0)))</f>
        <v>0</v>
      </c>
      <c r="O416" s="698">
        <f>IF(O411="",0,INDEX(Input_Range,MATCH((C371&amp;B416),Input_Call,0),MATCH(O411,Input_Header,0)))</f>
        <v>0</v>
      </c>
      <c r="P416" s="698">
        <f>IF(P411="",0,INDEX(Input_Range,MATCH((C371&amp;B416),Input_Call,0),MATCH(P411,Input_Header,0)))</f>
        <v>0</v>
      </c>
      <c r="Q416" s="698">
        <f>IF(Q411="",0,INDEX(Input_Range,MATCH((C371&amp;B416),Input_Call,0),MATCH(Q411,Input_Header,0)))</f>
        <v>0</v>
      </c>
      <c r="R416" s="698">
        <f t="shared" si="582"/>
        <v>0</v>
      </c>
      <c r="T416" s="699">
        <f t="shared" si="583"/>
        <v>0</v>
      </c>
      <c r="U416" s="699">
        <f t="shared" si="584"/>
        <v>12</v>
      </c>
      <c r="V416" s="699">
        <f t="shared" si="585"/>
        <v>12</v>
      </c>
      <c r="W416" s="699">
        <f t="shared" si="586"/>
        <v>8</v>
      </c>
      <c r="X416" s="699">
        <f t="shared" si="587"/>
        <v>0</v>
      </c>
      <c r="Y416" s="699">
        <f t="shared" si="588"/>
        <v>0</v>
      </c>
      <c r="Z416" s="699">
        <f t="shared" si="589"/>
        <v>0</v>
      </c>
      <c r="AA416" s="699">
        <f t="shared" si="590"/>
        <v>0</v>
      </c>
      <c r="AB416" s="699">
        <f t="shared" si="591"/>
        <v>0</v>
      </c>
      <c r="AC416" s="699">
        <f t="shared" si="592"/>
        <v>0</v>
      </c>
      <c r="AD416" s="699">
        <f t="shared" si="593"/>
        <v>0</v>
      </c>
      <c r="AE416" s="699">
        <f t="shared" si="594"/>
        <v>0</v>
      </c>
      <c r="AF416" s="699">
        <f t="shared" si="595"/>
        <v>0</v>
      </c>
      <c r="AG416" s="699">
        <f t="shared" si="596"/>
        <v>0</v>
      </c>
      <c r="AI416" s="698">
        <f t="shared" si="579"/>
        <v>0</v>
      </c>
      <c r="AJ416" s="698"/>
      <c r="AK416" s="698"/>
      <c r="AL416" s="4" t="str">
        <f>$A416&amp;$C371&amp;InputSheet!C$45&amp;InputSheet!D$45</f>
        <v>Training and ProcessingESDG&amp;AContr/Govt</v>
      </c>
      <c r="AM416" s="700">
        <f t="shared" si="580"/>
        <v>0</v>
      </c>
      <c r="AP416" s="387" t="str">
        <f t="shared" si="552"/>
        <v>1</v>
      </c>
    </row>
    <row r="417" spans="1:42" outlineLevel="1">
      <c r="A417" s="6" t="str">
        <f t="shared" si="581"/>
        <v>Training and Processing</v>
      </c>
      <c r="B417" s="6" t="str">
        <f t="shared" si="577"/>
        <v>TBD1</v>
      </c>
      <c r="E417" s="21">
        <f>IF(E411="",0,INDEX(Input_Range,MATCH((C371&amp;B417),Input_Call,0),MATCH(E411,Input_Header,0)))</f>
        <v>0</v>
      </c>
      <c r="F417" s="21">
        <f>IF(F411="",0,INDEX(Input_Range,MATCH((C371&amp;B417),Input_Call,0),MATCH(F411,Input_Header,0)))</f>
        <v>0</v>
      </c>
      <c r="G417" s="21">
        <f>IF(G411="",0,INDEX(Input_Range,MATCH((C371&amp;B417),Input_Call,0),MATCH(G411,Input_Header,0)))</f>
        <v>0</v>
      </c>
      <c r="H417" s="21">
        <f>IF(H411="",0,INDEX(Input_Range,MATCH((C371&amp;B417),Input_Call,0),MATCH(H411,Input_Header,0)))</f>
        <v>0</v>
      </c>
      <c r="I417" s="21">
        <f>IF(I411="",0,INDEX(Input_Range,MATCH((C371&amp;B417),Input_Call,0),MATCH(I411,Input_Header,0)))</f>
        <v>0</v>
      </c>
      <c r="J417" s="21">
        <f>IF(J411="",0,INDEX(Input_Range,MATCH((C371&amp;B417),Input_Call,0),MATCH(J411,Input_Header,0)))</f>
        <v>0</v>
      </c>
      <c r="K417" s="21">
        <f>IF(K411="",0,INDEX(Input_Range,MATCH((C371&amp;B417),Input_Call,0),MATCH(K411,Input_Header,0)))</f>
        <v>0</v>
      </c>
      <c r="L417" s="21">
        <f>IF(L411="",0,INDEX(Input_Range,MATCH((C371&amp;B417),Input_Call,0),MATCH(L411,Input_Header,0)))</f>
        <v>0</v>
      </c>
      <c r="M417" s="21">
        <f>IF(M411="",0,INDEX(Input_Range,MATCH((C371&amp;B417),Input_Call,0),MATCH(M411,Input_Header,0)))</f>
        <v>0</v>
      </c>
      <c r="N417" s="21">
        <f>IF(N411="",0,INDEX(Input_Range,MATCH((C371&amp;B417),Input_Call,0),MATCH(N411,Input_Header,0)))</f>
        <v>0</v>
      </c>
      <c r="O417" s="21">
        <f>IF(O411="",0,INDEX(Input_Range,MATCH((C371&amp;B417),Input_Call,0),MATCH(O411,Input_Header,0)))</f>
        <v>0</v>
      </c>
      <c r="P417" s="21">
        <f>IF(P411="",0,INDEX(Input_Range,MATCH((C371&amp;B417),Input_Call,0),MATCH(P411,Input_Header,0)))</f>
        <v>0</v>
      </c>
      <c r="Q417" s="21">
        <f>IF(Q411="",0,INDEX(Input_Range,MATCH((C371&amp;B417),Input_Call,0),MATCH(Q411,Input_Header,0)))</f>
        <v>0</v>
      </c>
      <c r="R417" s="698">
        <f t="shared" si="582"/>
        <v>0</v>
      </c>
      <c r="T417" s="699">
        <f t="shared" si="583"/>
        <v>0</v>
      </c>
      <c r="U417" s="699">
        <f t="shared" si="584"/>
        <v>12</v>
      </c>
      <c r="V417" s="699">
        <f t="shared" si="585"/>
        <v>12</v>
      </c>
      <c r="W417" s="699">
        <f t="shared" si="586"/>
        <v>8</v>
      </c>
      <c r="X417" s="699">
        <f t="shared" si="587"/>
        <v>0</v>
      </c>
      <c r="Y417" s="699">
        <f t="shared" si="588"/>
        <v>0</v>
      </c>
      <c r="Z417" s="699">
        <f t="shared" si="589"/>
        <v>0</v>
      </c>
      <c r="AA417" s="699">
        <f t="shared" si="590"/>
        <v>0</v>
      </c>
      <c r="AB417" s="699">
        <f t="shared" si="591"/>
        <v>0</v>
      </c>
      <c r="AC417" s="699">
        <f t="shared" si="592"/>
        <v>0</v>
      </c>
      <c r="AD417" s="699">
        <f t="shared" si="593"/>
        <v>0</v>
      </c>
      <c r="AE417" s="699">
        <f t="shared" si="594"/>
        <v>0</v>
      </c>
      <c r="AF417" s="699">
        <f t="shared" si="595"/>
        <v>0</v>
      </c>
      <c r="AG417" s="699">
        <f t="shared" si="596"/>
        <v>0</v>
      </c>
      <c r="AI417" s="698">
        <f t="shared" si="579"/>
        <v>0</v>
      </c>
      <c r="AJ417" s="21"/>
      <c r="AK417" s="21"/>
      <c r="AL417" s="4" t="str">
        <f>$A417&amp;$C371&amp;InputSheet!C$46&amp;InputSheet!D$46</f>
        <v>Training and ProcessingESDTBD1Contr/Govt</v>
      </c>
      <c r="AM417" s="700">
        <f t="shared" si="580"/>
        <v>0</v>
      </c>
      <c r="AP417" s="387" t="str">
        <f t="shared" si="552"/>
        <v>0</v>
      </c>
    </row>
    <row r="418" spans="1:42" outlineLevel="1">
      <c r="A418" s="6" t="str">
        <f t="shared" si="581"/>
        <v>Training and Processing</v>
      </c>
      <c r="B418" s="6" t="str">
        <f t="shared" si="577"/>
        <v>TBD2</v>
      </c>
      <c r="E418" s="21">
        <f>IF(E411="",0,INDEX(Input_Range,MATCH((C371&amp;B418),Input_Call,0),MATCH(E411,Input_Header,0)))</f>
        <v>0</v>
      </c>
      <c r="F418" s="21">
        <f>IF(F411="",0,INDEX(Input_Range,MATCH((C371&amp;B418),Input_Call,0),MATCH(F411,Input_Header,0)))</f>
        <v>0</v>
      </c>
      <c r="G418" s="21">
        <f>IF(G411="",0,INDEX(Input_Range,MATCH((C371&amp;B418),Input_Call,0),MATCH(G411,Input_Header,0)))</f>
        <v>0</v>
      </c>
      <c r="H418" s="21">
        <f>IF(H411="",0,INDEX(Input_Range,MATCH((C371&amp;B418),Input_Call,0),MATCH(H411,Input_Header,0)))</f>
        <v>0</v>
      </c>
      <c r="I418" s="21">
        <f>IF(I411="",0,INDEX(Input_Range,MATCH((C371&amp;B418),Input_Call,0),MATCH(I411,Input_Header,0)))</f>
        <v>0</v>
      </c>
      <c r="J418" s="21">
        <f>IF(J411="",0,INDEX(Input_Range,MATCH((C371&amp;B418),Input_Call,0),MATCH(J411,Input_Header,0)))</f>
        <v>0</v>
      </c>
      <c r="K418" s="21">
        <f>IF(K411="",0,INDEX(Input_Range,MATCH((C371&amp;B418),Input_Call,0),MATCH(K411,Input_Header,0)))</f>
        <v>0</v>
      </c>
      <c r="L418" s="21">
        <f>IF(L411="",0,INDEX(Input_Range,MATCH((C371&amp;B418),Input_Call,0),MATCH(L411,Input_Header,0)))</f>
        <v>0</v>
      </c>
      <c r="M418" s="21">
        <f>IF(M411="",0,INDEX(Input_Range,MATCH((C371&amp;B418),Input_Call,0),MATCH(M411,Input_Header,0)))</f>
        <v>0</v>
      </c>
      <c r="N418" s="21">
        <f>IF(N411="",0,INDEX(Input_Range,MATCH((C371&amp;B418),Input_Call,0),MATCH(N411,Input_Header,0)))</f>
        <v>0</v>
      </c>
      <c r="O418" s="21">
        <f>IF(O411="",0,INDEX(Input_Range,MATCH((C371&amp;B418),Input_Call,0),MATCH(O411,Input_Header,0)))</f>
        <v>0</v>
      </c>
      <c r="P418" s="21">
        <f>IF(P411="",0,INDEX(Input_Range,MATCH((C371&amp;B418),Input_Call,0),MATCH(P411,Input_Header,0)))</f>
        <v>0</v>
      </c>
      <c r="Q418" s="21">
        <f>IF(Q411="",0,INDEX(Input_Range,MATCH((C371&amp;B418),Input_Call,0),MATCH(Q411,Input_Header,0)))</f>
        <v>0</v>
      </c>
      <c r="R418" s="698">
        <f t="shared" si="582"/>
        <v>0</v>
      </c>
      <c r="T418" s="699">
        <f t="shared" si="583"/>
        <v>0</v>
      </c>
      <c r="U418" s="699">
        <f t="shared" si="584"/>
        <v>12</v>
      </c>
      <c r="V418" s="699">
        <f t="shared" si="585"/>
        <v>12</v>
      </c>
      <c r="W418" s="699">
        <f t="shared" si="586"/>
        <v>8</v>
      </c>
      <c r="X418" s="699">
        <f t="shared" si="587"/>
        <v>0</v>
      </c>
      <c r="Y418" s="699">
        <f t="shared" si="588"/>
        <v>0</v>
      </c>
      <c r="Z418" s="699">
        <f t="shared" si="589"/>
        <v>0</v>
      </c>
      <c r="AA418" s="699">
        <f t="shared" si="590"/>
        <v>0</v>
      </c>
      <c r="AB418" s="699">
        <f t="shared" si="591"/>
        <v>0</v>
      </c>
      <c r="AC418" s="699">
        <f t="shared" si="592"/>
        <v>0</v>
      </c>
      <c r="AD418" s="699">
        <f t="shared" si="593"/>
        <v>0</v>
      </c>
      <c r="AE418" s="699">
        <f t="shared" si="594"/>
        <v>0</v>
      </c>
      <c r="AF418" s="699">
        <f t="shared" si="595"/>
        <v>0</v>
      </c>
      <c r="AG418" s="699">
        <f t="shared" si="596"/>
        <v>0</v>
      </c>
      <c r="AI418" s="698">
        <f t="shared" si="579"/>
        <v>0</v>
      </c>
      <c r="AJ418" s="21"/>
      <c r="AK418" s="21"/>
      <c r="AL418" s="4" t="str">
        <f>$A418&amp;$C371&amp;InputSheet!C$47&amp;InputSheet!D$47</f>
        <v>Training and ProcessingESDTBD2Contr/Govt</v>
      </c>
      <c r="AM418" s="700">
        <f t="shared" si="580"/>
        <v>0</v>
      </c>
      <c r="AP418" s="387" t="str">
        <f t="shared" si="552"/>
        <v>0</v>
      </c>
    </row>
    <row r="419" spans="1:42" outlineLevel="1">
      <c r="A419" s="6" t="str">
        <f t="shared" si="581"/>
        <v>Training and Processing</v>
      </c>
      <c r="B419" s="6" t="str">
        <f t="shared" si="577"/>
        <v>TBD3</v>
      </c>
      <c r="E419" s="21">
        <f>IF(E411="",0,INDEX(Input_Range,MATCH((C371&amp;B419),Input_Call,0),MATCH(E411,Input_Header,0)))</f>
        <v>0</v>
      </c>
      <c r="F419" s="21">
        <f>IF(F411="",0,INDEX(Input_Range,MATCH((C371&amp;B419),Input_Call,0),MATCH(F411,Input_Header,0)))</f>
        <v>0</v>
      </c>
      <c r="G419" s="21">
        <f>IF(G411="",0,INDEX(Input_Range,MATCH((C371&amp;B419),Input_Call,0),MATCH(G411,Input_Header,0)))</f>
        <v>0</v>
      </c>
      <c r="H419" s="21">
        <f>IF(H411="",0,INDEX(Input_Range,MATCH((C371&amp;B419),Input_Call,0),MATCH(H411,Input_Header,0)))</f>
        <v>0</v>
      </c>
      <c r="I419" s="21">
        <f>IF(I411="",0,INDEX(Input_Range,MATCH((C371&amp;B419),Input_Call,0),MATCH(I411,Input_Header,0)))</f>
        <v>0</v>
      </c>
      <c r="J419" s="21">
        <f>IF(J411="",0,INDEX(Input_Range,MATCH((C371&amp;B419),Input_Call,0),MATCH(J411,Input_Header,0)))</f>
        <v>0</v>
      </c>
      <c r="K419" s="21">
        <f>IF(K411="",0,INDEX(Input_Range,MATCH((C371&amp;B419),Input_Call,0),MATCH(K411,Input_Header,0)))</f>
        <v>0</v>
      </c>
      <c r="L419" s="21">
        <f>IF(L411="",0,INDEX(Input_Range,MATCH((C371&amp;B419),Input_Call,0),MATCH(L411,Input_Header,0)))</f>
        <v>0</v>
      </c>
      <c r="M419" s="21">
        <f>IF(M411="",0,INDEX(Input_Range,MATCH((C371&amp;B419),Input_Call,0),MATCH(M411,Input_Header,0)))</f>
        <v>0</v>
      </c>
      <c r="N419" s="21">
        <f>IF(N411="",0,INDEX(Input_Range,MATCH((C371&amp;B419),Input_Call,0),MATCH(N411,Input_Header,0)))</f>
        <v>0</v>
      </c>
      <c r="O419" s="21">
        <f>IF(O411="",0,INDEX(Input_Range,MATCH((C371&amp;B419),Input_Call,0),MATCH(O411,Input_Header,0)))</f>
        <v>0</v>
      </c>
      <c r="P419" s="21">
        <f>IF(P411="",0,INDEX(Input_Range,MATCH((C371&amp;B419),Input_Call,0),MATCH(P411,Input_Header,0)))</f>
        <v>0</v>
      </c>
      <c r="Q419" s="21">
        <f>IF(Q411="",0,INDEX(Input_Range,MATCH((C371&amp;B419),Input_Call,0),MATCH(Q411,Input_Header,0)))</f>
        <v>0</v>
      </c>
      <c r="R419" s="698">
        <f t="shared" si="582"/>
        <v>0</v>
      </c>
      <c r="T419" s="699">
        <f t="shared" si="583"/>
        <v>0</v>
      </c>
      <c r="U419" s="699">
        <f t="shared" si="584"/>
        <v>12</v>
      </c>
      <c r="V419" s="699">
        <f t="shared" si="585"/>
        <v>12</v>
      </c>
      <c r="W419" s="699">
        <f t="shared" si="586"/>
        <v>8</v>
      </c>
      <c r="X419" s="699">
        <f t="shared" si="587"/>
        <v>0</v>
      </c>
      <c r="Y419" s="699">
        <f t="shared" si="588"/>
        <v>0</v>
      </c>
      <c r="Z419" s="699">
        <f t="shared" si="589"/>
        <v>0</v>
      </c>
      <c r="AA419" s="699">
        <f t="shared" si="590"/>
        <v>0</v>
      </c>
      <c r="AB419" s="699">
        <f t="shared" si="591"/>
        <v>0</v>
      </c>
      <c r="AC419" s="699">
        <f t="shared" si="592"/>
        <v>0</v>
      </c>
      <c r="AD419" s="699">
        <f t="shared" si="593"/>
        <v>0</v>
      </c>
      <c r="AE419" s="699">
        <f t="shared" si="594"/>
        <v>0</v>
      </c>
      <c r="AF419" s="699">
        <f t="shared" si="595"/>
        <v>0</v>
      </c>
      <c r="AG419" s="699">
        <f t="shared" si="596"/>
        <v>0</v>
      </c>
      <c r="AI419" s="698">
        <f t="shared" si="579"/>
        <v>0</v>
      </c>
      <c r="AJ419" s="21"/>
      <c r="AK419" s="21"/>
      <c r="AL419" s="4" t="str">
        <f>$A419&amp;$C371&amp;InputSheet!C$48&amp;InputSheet!D$48</f>
        <v>Training and ProcessingESDTBD3Contr/Govt</v>
      </c>
      <c r="AM419" s="700">
        <f t="shared" si="580"/>
        <v>0</v>
      </c>
      <c r="AP419" s="387" t="str">
        <f t="shared" si="552"/>
        <v>0</v>
      </c>
    </row>
    <row r="420" spans="1:42">
      <c r="E420" s="698"/>
      <c r="F420" s="698"/>
      <c r="G420" s="698"/>
      <c r="H420" s="698"/>
      <c r="I420" s="698"/>
      <c r="J420" s="698"/>
      <c r="K420" s="698"/>
      <c r="L420" s="698"/>
      <c r="M420" s="698"/>
      <c r="N420" s="698"/>
      <c r="O420" s="698"/>
      <c r="P420" s="698"/>
      <c r="Q420" s="698"/>
      <c r="R420" s="698"/>
      <c r="AI420" s="21"/>
      <c r="AJ420" s="21"/>
      <c r="AK420" s="21"/>
      <c r="AP420" s="387" t="str">
        <f t="shared" si="552"/>
        <v>1</v>
      </c>
    </row>
    <row r="421" spans="1:42">
      <c r="A421" s="530">
        <f>B421</f>
        <v>0</v>
      </c>
      <c r="B421" s="691">
        <f>InputSheet!$C$26</f>
        <v>0</v>
      </c>
      <c r="C421" s="28"/>
      <c r="AP421" s="387" t="str">
        <f t="shared" si="552"/>
        <v>1</v>
      </c>
    </row>
    <row r="422" spans="1:42">
      <c r="B422" s="314" t="s">
        <v>587</v>
      </c>
      <c r="C422" s="692" t="s">
        <v>588</v>
      </c>
      <c r="E422" s="1216" t="str">
        <f>"Indirect Rates - "&amp;C$371</f>
        <v>Indirect Rates - ESD</v>
      </c>
      <c r="F422" s="1216"/>
      <c r="G422" s="1216"/>
      <c r="H422" s="1216"/>
      <c r="I422" s="1216"/>
      <c r="J422" s="1216"/>
      <c r="K422" s="1216"/>
      <c r="L422" s="1216"/>
      <c r="M422" s="1216"/>
      <c r="N422" s="1216"/>
      <c r="O422" s="1216"/>
      <c r="P422" s="1216"/>
      <c r="Q422" s="1216"/>
      <c r="R422" s="1216"/>
      <c r="S422" s="844"/>
      <c r="T422" s="1217" t="s">
        <v>794</v>
      </c>
      <c r="U422" s="1217"/>
      <c r="V422" s="1217"/>
      <c r="W422" s="1217"/>
      <c r="X422" s="1217"/>
      <c r="Y422" s="1217"/>
      <c r="Z422" s="1217"/>
      <c r="AA422" s="1217"/>
      <c r="AB422" s="1217"/>
      <c r="AC422" s="1217"/>
      <c r="AD422" s="1217"/>
      <c r="AE422" s="1217"/>
      <c r="AF422" s="1217"/>
      <c r="AG422" s="1217"/>
      <c r="AI422" s="692" t="s">
        <v>615</v>
      </c>
      <c r="AJ422" s="50"/>
      <c r="AK422" s="50"/>
      <c r="AP422" s="387" t="str">
        <f t="shared" si="552"/>
        <v>1</v>
      </c>
    </row>
    <row r="423" spans="1:42">
      <c r="B423" s="693" t="e">
        <f>VLOOKUP(A421,InputSheet!$C$8:$E$37,2,FALSE)</f>
        <v>#N/A</v>
      </c>
      <c r="C423" s="694" t="e">
        <f>VLOOKUP(A421,InputSheet!$C$8:$E$37,3,FALSE)</f>
        <v>#N/A</v>
      </c>
      <c r="E423" s="695">
        <f t="shared" ref="E423:R423" si="597">E411</f>
        <v>2009</v>
      </c>
      <c r="F423" s="695">
        <f t="shared" si="597"/>
        <v>2010</v>
      </c>
      <c r="G423" s="695">
        <f t="shared" si="597"/>
        <v>2011</v>
      </c>
      <c r="H423" s="695">
        <f t="shared" si="597"/>
        <v>2012</v>
      </c>
      <c r="I423" s="695">
        <f t="shared" si="597"/>
        <v>2013</v>
      </c>
      <c r="J423" s="695">
        <f t="shared" si="597"/>
        <v>2014</v>
      </c>
      <c r="K423" s="695">
        <f t="shared" si="597"/>
        <v>2015</v>
      </c>
      <c r="L423" s="695">
        <f t="shared" si="597"/>
        <v>2016</v>
      </c>
      <c r="M423" s="695">
        <f t="shared" si="597"/>
        <v>2017</v>
      </c>
      <c r="N423" s="695">
        <f t="shared" si="597"/>
        <v>2018</v>
      </c>
      <c r="O423" s="695">
        <f t="shared" si="597"/>
        <v>2019</v>
      </c>
      <c r="P423" s="695">
        <f t="shared" si="597"/>
        <v>2020</v>
      </c>
      <c r="Q423" s="695">
        <f t="shared" si="597"/>
        <v>2021</v>
      </c>
      <c r="R423" s="695">
        <f t="shared" si="597"/>
        <v>2022</v>
      </c>
      <c r="S423" s="680"/>
      <c r="T423" s="695">
        <f t="shared" ref="T423:AG423" si="598">T411</f>
        <v>2009</v>
      </c>
      <c r="U423" s="695">
        <f t="shared" si="598"/>
        <v>2010</v>
      </c>
      <c r="V423" s="695">
        <f t="shared" si="598"/>
        <v>2011</v>
      </c>
      <c r="W423" s="695">
        <f t="shared" si="598"/>
        <v>2012</v>
      </c>
      <c r="X423" s="695">
        <f t="shared" si="598"/>
        <v>2013</v>
      </c>
      <c r="Y423" s="695">
        <f t="shared" si="598"/>
        <v>2014</v>
      </c>
      <c r="Z423" s="695">
        <f t="shared" si="598"/>
        <v>2015</v>
      </c>
      <c r="AA423" s="695">
        <f t="shared" si="598"/>
        <v>2016</v>
      </c>
      <c r="AB423" s="695">
        <f t="shared" si="598"/>
        <v>2017</v>
      </c>
      <c r="AC423" s="695">
        <f t="shared" si="598"/>
        <v>2018</v>
      </c>
      <c r="AD423" s="695">
        <f t="shared" si="598"/>
        <v>2019</v>
      </c>
      <c r="AE423" s="695">
        <f t="shared" si="598"/>
        <v>2020</v>
      </c>
      <c r="AF423" s="695">
        <f t="shared" si="598"/>
        <v>2021</v>
      </c>
      <c r="AG423" s="695">
        <f t="shared" si="598"/>
        <v>2022</v>
      </c>
      <c r="AI423" s="696">
        <f>B421</f>
        <v>0</v>
      </c>
      <c r="AJ423" s="28"/>
      <c r="AK423" s="28"/>
      <c r="AP423" s="387" t="str">
        <f t="shared" si="552"/>
        <v>1</v>
      </c>
    </row>
    <row r="424" spans="1:42">
      <c r="A424" s="6">
        <f>A421</f>
        <v>0</v>
      </c>
      <c r="B424" s="6" t="str">
        <f t="shared" ref="B424:B431" si="599">B412</f>
        <v>PRB</v>
      </c>
      <c r="E424" s="698">
        <f>IF(E423="",0,INDEX(Input_Range,MATCH((C371&amp;B424),Input_Call,0),MATCH(E423,Input_Header,0)))</f>
        <v>0</v>
      </c>
      <c r="F424" s="698">
        <f>IF(F423="",0,INDEX(Input_Range,MATCH((C371&amp;B424),Input_Call,0),MATCH(F423,Input_Header,0)))</f>
        <v>0</v>
      </c>
      <c r="G424" s="698">
        <f>IF(G423="",0,INDEX(Input_Range,MATCH((C371&amp;B424),Input_Call,0),MATCH(G423,Input_Header,0)))</f>
        <v>0</v>
      </c>
      <c r="H424" s="698">
        <f>IF(H423="",0,INDEX(Input_Range,MATCH((C371&amp;B424),Input_Call,0),MATCH(H423,Input_Header,0)))</f>
        <v>0</v>
      </c>
      <c r="I424" s="698">
        <f>IF(I423="",0,INDEX(Input_Range,MATCH((C371&amp;B424),Input_Call,0),MATCH(I423,Input_Header,0)))</f>
        <v>0</v>
      </c>
      <c r="J424" s="698">
        <f>IF(J423="",0,INDEX(Input_Range,MATCH((C371&amp;B424),Input_Call,0),MATCH(J423,Input_Header,0)))</f>
        <v>0</v>
      </c>
      <c r="K424" s="698">
        <f>IF(K423="",0,INDEX(Input_Range,MATCH((C371&amp;B424),Input_Call,0),MATCH(K423,Input_Header,0)))</f>
        <v>0</v>
      </c>
      <c r="L424" s="698">
        <f>IF(L423="",0,INDEX(Input_Range,MATCH((C371&amp;B424),Input_Call,0),MATCH(L423,Input_Header,0)))</f>
        <v>0</v>
      </c>
      <c r="M424" s="698">
        <f>IF(M423="",0,INDEX(Input_Range,MATCH((C371&amp;B424),Input_Call,0),MATCH(M423,Input_Header,0)))</f>
        <v>0</v>
      </c>
      <c r="N424" s="698">
        <f>IF(N423="",0,INDEX(Input_Range,MATCH((C371&amp;B424),Input_Call,0),MATCH(N423,Input_Header,0)))</f>
        <v>0</v>
      </c>
      <c r="O424" s="698">
        <f>IF(O423="",0,INDEX(Input_Range,MATCH((C371&amp;B424),Input_Call,0),MATCH(O423,Input_Header,0)))</f>
        <v>0</v>
      </c>
      <c r="P424" s="698">
        <f>IF(P423="",0,INDEX(Input_Range,MATCH((C371&amp;B424),Input_Call,0),MATCH(P423,Input_Header,0)))</f>
        <v>0</v>
      </c>
      <c r="Q424" s="698">
        <f>IF(Q423="",0,INDEX(Input_Range,MATCH((C371&amp;B424),Input_Call,0),MATCH(Q423,Input_Header,0)))</f>
        <v>0</v>
      </c>
      <c r="R424" s="698">
        <f>Q424</f>
        <v>0</v>
      </c>
      <c r="T424" s="699" t="e">
        <f t="shared" ref="T424:AG424" si="600">ROUND((MAX(0,(MIN($C423,DATE(T423,12,31))-MAX($B423,DATE(T423,1,1))+1)))/30.41667,0)</f>
        <v>#N/A</v>
      </c>
      <c r="U424" s="699" t="e">
        <f t="shared" si="600"/>
        <v>#N/A</v>
      </c>
      <c r="V424" s="699" t="e">
        <f t="shared" si="600"/>
        <v>#N/A</v>
      </c>
      <c r="W424" s="699" t="e">
        <f t="shared" si="600"/>
        <v>#N/A</v>
      </c>
      <c r="X424" s="699" t="e">
        <f t="shared" si="600"/>
        <v>#N/A</v>
      </c>
      <c r="Y424" s="699" t="e">
        <f t="shared" si="600"/>
        <v>#N/A</v>
      </c>
      <c r="Z424" s="699" t="e">
        <f t="shared" si="600"/>
        <v>#N/A</v>
      </c>
      <c r="AA424" s="699" t="e">
        <f t="shared" si="600"/>
        <v>#N/A</v>
      </c>
      <c r="AB424" s="699" t="e">
        <f t="shared" si="600"/>
        <v>#N/A</v>
      </c>
      <c r="AC424" s="699" t="e">
        <f t="shared" si="600"/>
        <v>#N/A</v>
      </c>
      <c r="AD424" s="699" t="e">
        <f t="shared" si="600"/>
        <v>#N/A</v>
      </c>
      <c r="AE424" s="699" t="e">
        <f t="shared" si="600"/>
        <v>#N/A</v>
      </c>
      <c r="AF424" s="699" t="e">
        <f t="shared" si="600"/>
        <v>#N/A</v>
      </c>
      <c r="AG424" s="699" t="e">
        <f t="shared" si="600"/>
        <v>#N/A</v>
      </c>
      <c r="AI424" s="698" t="e">
        <f t="shared" ref="AI424:AI431" si="601">ROUND(SUMPRODUCT(E424:R424,T424:AG424)/SUM(T424:AG424),4)</f>
        <v>#N/A</v>
      </c>
      <c r="AJ424" s="698"/>
      <c r="AK424" s="698"/>
      <c r="AL424" s="4" t="str">
        <f>$A424&amp;$C371&amp;InputSheet!C$41&amp;InputSheet!D$41</f>
        <v>0ESDPRBContr/Govt</v>
      </c>
      <c r="AM424" s="700" t="e">
        <f t="shared" ref="AM424:AM431" si="602">AI424</f>
        <v>#N/A</v>
      </c>
      <c r="AP424" s="387" t="e">
        <f t="shared" si="552"/>
        <v>#N/A</v>
      </c>
    </row>
    <row r="425" spans="1:42">
      <c r="A425" s="6">
        <f t="shared" ref="A425:A431" si="603">A424</f>
        <v>0</v>
      </c>
      <c r="B425" s="6" t="str">
        <f t="shared" si="599"/>
        <v>Overhead - Offsite</v>
      </c>
      <c r="E425" s="698">
        <f>IF(E423="",0,INDEX(Input_Range,MATCH((C371&amp;B425),Input_Call,0),MATCH(E423,Input_Header,0)))</f>
        <v>0</v>
      </c>
      <c r="F425" s="698">
        <f>IF(F423="",0,INDEX(Input_Range,MATCH((C371&amp;B425),Input_Call,0),MATCH(F423,Input_Header,0)))</f>
        <v>0</v>
      </c>
      <c r="G425" s="698">
        <f>IF(G423="",0,INDEX(Input_Range,MATCH((C371&amp;B425),Input_Call,0),MATCH(G423,Input_Header,0)))</f>
        <v>0</v>
      </c>
      <c r="H425" s="698">
        <f>IF(H423="",0,INDEX(Input_Range,MATCH((C371&amp;B425),Input_Call,0),MATCH(H423,Input_Header,0)))</f>
        <v>0</v>
      </c>
      <c r="I425" s="698">
        <f>IF(I423="",0,INDEX(Input_Range,MATCH((C371&amp;B425),Input_Call,0),MATCH(I423,Input_Header,0)))</f>
        <v>0</v>
      </c>
      <c r="J425" s="698">
        <f>IF(J423="",0,INDEX(Input_Range,MATCH((C371&amp;B425),Input_Call,0),MATCH(J423,Input_Header,0)))</f>
        <v>0</v>
      </c>
      <c r="K425" s="698">
        <f>IF(K423="",0,INDEX(Input_Range,MATCH((C371&amp;B425),Input_Call,0),MATCH(K423,Input_Header,0)))</f>
        <v>0</v>
      </c>
      <c r="L425" s="698">
        <f>IF(L423="",0,INDEX(Input_Range,MATCH((C371&amp;B425),Input_Call,0),MATCH(L423,Input_Header,0)))</f>
        <v>0</v>
      </c>
      <c r="M425" s="698">
        <f>IF(M423="",0,INDEX(Input_Range,MATCH((C371&amp;B425),Input_Call,0),MATCH(M423,Input_Header,0)))</f>
        <v>0</v>
      </c>
      <c r="N425" s="698">
        <f>IF(N423="",0,INDEX(Input_Range,MATCH((C371&amp;B425),Input_Call,0),MATCH(N423,Input_Header,0)))</f>
        <v>0</v>
      </c>
      <c r="O425" s="698">
        <f>IF(O423="",0,INDEX(Input_Range,MATCH((C371&amp;B425),Input_Call,0),MATCH(O423,Input_Header,0)))</f>
        <v>0</v>
      </c>
      <c r="P425" s="698">
        <f>IF(P423="",0,INDEX(Input_Range,MATCH((C371&amp;B425),Input_Call,0),MATCH(P423,Input_Header,0)))</f>
        <v>0</v>
      </c>
      <c r="Q425" s="698">
        <f>IF(Q423="",0,INDEX(Input_Range,MATCH((C371&amp;B425),Input_Call,0),MATCH(Q423,Input_Header,0)))</f>
        <v>0</v>
      </c>
      <c r="R425" s="698">
        <f t="shared" ref="R425:R431" si="604">Q425</f>
        <v>0</v>
      </c>
      <c r="T425" s="699" t="e">
        <f t="shared" ref="T425:T431" si="605">T424</f>
        <v>#N/A</v>
      </c>
      <c r="U425" s="699" t="e">
        <f t="shared" ref="U425:U431" si="606">U424</f>
        <v>#N/A</v>
      </c>
      <c r="V425" s="699" t="e">
        <f t="shared" ref="V425:V431" si="607">V424</f>
        <v>#N/A</v>
      </c>
      <c r="W425" s="699" t="e">
        <f t="shared" ref="W425:W431" si="608">W424</f>
        <v>#N/A</v>
      </c>
      <c r="X425" s="699" t="e">
        <f t="shared" ref="X425:X431" si="609">X424</f>
        <v>#N/A</v>
      </c>
      <c r="Y425" s="699" t="e">
        <f t="shared" ref="Y425:Y431" si="610">Y424</f>
        <v>#N/A</v>
      </c>
      <c r="Z425" s="699" t="e">
        <f t="shared" ref="Z425:Z431" si="611">Z424</f>
        <v>#N/A</v>
      </c>
      <c r="AA425" s="699" t="e">
        <f t="shared" ref="AA425:AA431" si="612">AA424</f>
        <v>#N/A</v>
      </c>
      <c r="AB425" s="699" t="e">
        <f t="shared" ref="AB425:AB431" si="613">AB424</f>
        <v>#N/A</v>
      </c>
      <c r="AC425" s="699" t="e">
        <f t="shared" ref="AC425:AC431" si="614">AC424</f>
        <v>#N/A</v>
      </c>
      <c r="AD425" s="699" t="e">
        <f t="shared" ref="AD425:AD431" si="615">AD424</f>
        <v>#N/A</v>
      </c>
      <c r="AE425" s="699" t="e">
        <f t="shared" ref="AE425:AE431" si="616">AE424</f>
        <v>#N/A</v>
      </c>
      <c r="AF425" s="699" t="e">
        <f t="shared" ref="AF425:AF431" si="617">AF424</f>
        <v>#N/A</v>
      </c>
      <c r="AG425" s="699" t="e">
        <f t="shared" ref="AG425:AG431" si="618">AG424</f>
        <v>#N/A</v>
      </c>
      <c r="AI425" s="698" t="e">
        <f t="shared" si="601"/>
        <v>#N/A</v>
      </c>
      <c r="AJ425" s="698"/>
      <c r="AK425" s="698"/>
      <c r="AL425" s="4" t="str">
        <f>$A425&amp;$C371&amp;InputSheet!C$42&amp;InputSheet!D$42</f>
        <v>0ESDOverheadContr</v>
      </c>
      <c r="AM425" s="700" t="e">
        <f t="shared" si="602"/>
        <v>#N/A</v>
      </c>
      <c r="AP425" s="387" t="e">
        <f t="shared" si="552"/>
        <v>#N/A</v>
      </c>
    </row>
    <row r="426" spans="1:42">
      <c r="A426" s="6">
        <f t="shared" si="603"/>
        <v>0</v>
      </c>
      <c r="B426" s="6" t="str">
        <f t="shared" si="599"/>
        <v>Overhead - Onsite</v>
      </c>
      <c r="E426" s="698">
        <f>IF(E423="",0,INDEX(Input_Range,MATCH((C371&amp;B426),Input_Call,0),MATCH(E423,Input_Header,0)))</f>
        <v>0</v>
      </c>
      <c r="F426" s="698">
        <f>IF(F423="",0,INDEX(Input_Range,MATCH((C371&amp;B426),Input_Call,0),MATCH(F423,Input_Header,0)))</f>
        <v>0</v>
      </c>
      <c r="G426" s="698">
        <f>IF(G423="",0,INDEX(Input_Range,MATCH((C371&amp;B426),Input_Call,0),MATCH(G423,Input_Header,0)))</f>
        <v>0</v>
      </c>
      <c r="H426" s="698">
        <f>IF(H423="",0,INDEX(Input_Range,MATCH((C371&amp;B426),Input_Call,0),MATCH(H423,Input_Header,0)))</f>
        <v>0</v>
      </c>
      <c r="I426" s="698">
        <f>IF(I423="",0,INDEX(Input_Range,MATCH((C371&amp;B426),Input_Call,0),MATCH(I423,Input_Header,0)))</f>
        <v>0</v>
      </c>
      <c r="J426" s="698">
        <f>IF(J423="",0,INDEX(Input_Range,MATCH((C371&amp;B426),Input_Call,0),MATCH(J423,Input_Header,0)))</f>
        <v>0</v>
      </c>
      <c r="K426" s="698">
        <f>IF(K423="",0,INDEX(Input_Range,MATCH((C371&amp;B426),Input_Call,0),MATCH(K423,Input_Header,0)))</f>
        <v>0</v>
      </c>
      <c r="L426" s="698">
        <f>IF(L423="",0,INDEX(Input_Range,MATCH((C371&amp;B426),Input_Call,0),MATCH(L423,Input_Header,0)))</f>
        <v>0</v>
      </c>
      <c r="M426" s="698">
        <f>IF(M423="",0,INDEX(Input_Range,MATCH((C371&amp;B426),Input_Call,0),MATCH(M423,Input_Header,0)))</f>
        <v>0</v>
      </c>
      <c r="N426" s="698">
        <f>IF(N423="",0,INDEX(Input_Range,MATCH((C371&amp;B426),Input_Call,0),MATCH(N423,Input_Header,0)))</f>
        <v>0</v>
      </c>
      <c r="O426" s="698">
        <f>IF(O423="",0,INDEX(Input_Range,MATCH((C371&amp;B426),Input_Call,0),MATCH(O423,Input_Header,0)))</f>
        <v>0</v>
      </c>
      <c r="P426" s="698">
        <f>IF(P423="",0,INDEX(Input_Range,MATCH((C371&amp;B426),Input_Call,0),MATCH(P423,Input_Header,0)))</f>
        <v>0</v>
      </c>
      <c r="Q426" s="698">
        <f>IF(Q423="",0,INDEX(Input_Range,MATCH((C371&amp;B426),Input_Call,0),MATCH(Q423,Input_Header,0)))</f>
        <v>0</v>
      </c>
      <c r="R426" s="698">
        <f t="shared" si="604"/>
        <v>0</v>
      </c>
      <c r="T426" s="699" t="e">
        <f t="shared" si="605"/>
        <v>#N/A</v>
      </c>
      <c r="U426" s="699" t="e">
        <f t="shared" si="606"/>
        <v>#N/A</v>
      </c>
      <c r="V426" s="699" t="e">
        <f t="shared" si="607"/>
        <v>#N/A</v>
      </c>
      <c r="W426" s="699" t="e">
        <f t="shared" si="608"/>
        <v>#N/A</v>
      </c>
      <c r="X426" s="699" t="e">
        <f t="shared" si="609"/>
        <v>#N/A</v>
      </c>
      <c r="Y426" s="699" t="e">
        <f t="shared" si="610"/>
        <v>#N/A</v>
      </c>
      <c r="Z426" s="699" t="e">
        <f t="shared" si="611"/>
        <v>#N/A</v>
      </c>
      <c r="AA426" s="699" t="e">
        <f t="shared" si="612"/>
        <v>#N/A</v>
      </c>
      <c r="AB426" s="699" t="e">
        <f t="shared" si="613"/>
        <v>#N/A</v>
      </c>
      <c r="AC426" s="699" t="e">
        <f t="shared" si="614"/>
        <v>#N/A</v>
      </c>
      <c r="AD426" s="699" t="e">
        <f t="shared" si="615"/>
        <v>#N/A</v>
      </c>
      <c r="AE426" s="699" t="e">
        <f t="shared" si="616"/>
        <v>#N/A</v>
      </c>
      <c r="AF426" s="699" t="e">
        <f t="shared" si="617"/>
        <v>#N/A</v>
      </c>
      <c r="AG426" s="699" t="e">
        <f t="shared" si="618"/>
        <v>#N/A</v>
      </c>
      <c r="AI426" s="698" t="e">
        <f t="shared" si="601"/>
        <v>#N/A</v>
      </c>
      <c r="AJ426" s="698"/>
      <c r="AK426" s="698"/>
      <c r="AL426" s="4" t="str">
        <f>$A426&amp;$C371&amp;InputSheet!C$43&amp;InputSheet!D$43</f>
        <v>0ESDOverheadGovt</v>
      </c>
      <c r="AM426" s="700" t="e">
        <f t="shared" si="602"/>
        <v>#N/A</v>
      </c>
      <c r="AP426" s="387" t="e">
        <f t="shared" si="552"/>
        <v>#N/A</v>
      </c>
    </row>
    <row r="427" spans="1:42">
      <c r="A427" s="6">
        <f t="shared" si="603"/>
        <v>0</v>
      </c>
      <c r="B427" s="6" t="str">
        <f t="shared" si="599"/>
        <v>Material Handling</v>
      </c>
      <c r="E427" s="698">
        <f>IF(E423="",0,INDEX(Input_Range,MATCH((C371&amp;B427),Input_Call,0),MATCH(E423,Input_Header,0)))</f>
        <v>0</v>
      </c>
      <c r="F427" s="698">
        <f>IF(F423="",0,INDEX(Input_Range,MATCH((C371&amp;B427),Input_Call,0),MATCH(F423,Input_Header,0)))</f>
        <v>0</v>
      </c>
      <c r="G427" s="698">
        <f>IF(G423="",0,INDEX(Input_Range,MATCH((C371&amp;B427),Input_Call,0),MATCH(G423,Input_Header,0)))</f>
        <v>0</v>
      </c>
      <c r="H427" s="698">
        <f>IF(H423="",0,INDEX(Input_Range,MATCH((C371&amp;B427),Input_Call,0),MATCH(H423,Input_Header,0)))</f>
        <v>0</v>
      </c>
      <c r="I427" s="698">
        <f>IF(I423="",0,INDEX(Input_Range,MATCH((C371&amp;B427),Input_Call,0),MATCH(I423,Input_Header,0)))</f>
        <v>0</v>
      </c>
      <c r="J427" s="698">
        <f>IF(J423="",0,INDEX(Input_Range,MATCH((C371&amp;B427),Input_Call,0),MATCH(J423,Input_Header,0)))</f>
        <v>0</v>
      </c>
      <c r="K427" s="698">
        <f>IF(K423="",0,INDEX(Input_Range,MATCH((C371&amp;B427),Input_Call,0),MATCH(K423,Input_Header,0)))</f>
        <v>0</v>
      </c>
      <c r="L427" s="698">
        <f>IF(L423="",0,INDEX(Input_Range,MATCH((C371&amp;B427),Input_Call,0),MATCH(L423,Input_Header,0)))</f>
        <v>0</v>
      </c>
      <c r="M427" s="698">
        <f>IF(M423="",0,INDEX(Input_Range,MATCH((C371&amp;B427),Input_Call,0),MATCH(M423,Input_Header,0)))</f>
        <v>0</v>
      </c>
      <c r="N427" s="698">
        <f>IF(N423="",0,INDEX(Input_Range,MATCH((C371&amp;B427),Input_Call,0),MATCH(N423,Input_Header,0)))</f>
        <v>0</v>
      </c>
      <c r="O427" s="698">
        <f>IF(O423="",0,INDEX(Input_Range,MATCH((C371&amp;B427),Input_Call,0),MATCH(O423,Input_Header,0)))</f>
        <v>0</v>
      </c>
      <c r="P427" s="698">
        <f>IF(P423="",0,INDEX(Input_Range,MATCH((C371&amp;B427),Input_Call,0),MATCH(P423,Input_Header,0)))</f>
        <v>0</v>
      </c>
      <c r="Q427" s="698">
        <f>IF(Q423="",0,INDEX(Input_Range,MATCH((C371&amp;B427),Input_Call,0),MATCH(Q423,Input_Header,0)))</f>
        <v>0</v>
      </c>
      <c r="R427" s="698">
        <f t="shared" si="604"/>
        <v>0</v>
      </c>
      <c r="T427" s="699" t="e">
        <f t="shared" si="605"/>
        <v>#N/A</v>
      </c>
      <c r="U427" s="699" t="e">
        <f t="shared" si="606"/>
        <v>#N/A</v>
      </c>
      <c r="V427" s="699" t="e">
        <f t="shared" si="607"/>
        <v>#N/A</v>
      </c>
      <c r="W427" s="699" t="e">
        <f t="shared" si="608"/>
        <v>#N/A</v>
      </c>
      <c r="X427" s="699" t="e">
        <f t="shared" si="609"/>
        <v>#N/A</v>
      </c>
      <c r="Y427" s="699" t="e">
        <f t="shared" si="610"/>
        <v>#N/A</v>
      </c>
      <c r="Z427" s="699" t="e">
        <f t="shared" si="611"/>
        <v>#N/A</v>
      </c>
      <c r="AA427" s="699" t="e">
        <f t="shared" si="612"/>
        <v>#N/A</v>
      </c>
      <c r="AB427" s="699" t="e">
        <f t="shared" si="613"/>
        <v>#N/A</v>
      </c>
      <c r="AC427" s="699" t="e">
        <f t="shared" si="614"/>
        <v>#N/A</v>
      </c>
      <c r="AD427" s="699" t="e">
        <f t="shared" si="615"/>
        <v>#N/A</v>
      </c>
      <c r="AE427" s="699" t="e">
        <f t="shared" si="616"/>
        <v>#N/A</v>
      </c>
      <c r="AF427" s="699" t="e">
        <f t="shared" si="617"/>
        <v>#N/A</v>
      </c>
      <c r="AG427" s="699" t="e">
        <f t="shared" si="618"/>
        <v>#N/A</v>
      </c>
      <c r="AI427" s="698" t="e">
        <f t="shared" si="601"/>
        <v>#N/A</v>
      </c>
      <c r="AJ427" s="698"/>
      <c r="AK427" s="698"/>
      <c r="AL427" s="4" t="str">
        <f>$A427&amp;$C371&amp;InputSheet!C$44&amp;InputSheet!D$44</f>
        <v>0ESDMHContr/Govt</v>
      </c>
      <c r="AM427" s="700" t="e">
        <f t="shared" si="602"/>
        <v>#N/A</v>
      </c>
      <c r="AP427" s="387" t="e">
        <f t="shared" si="552"/>
        <v>#N/A</v>
      </c>
    </row>
    <row r="428" spans="1:42">
      <c r="A428" s="6">
        <f t="shared" si="603"/>
        <v>0</v>
      </c>
      <c r="B428" s="6" t="str">
        <f t="shared" si="599"/>
        <v>G&amp;A</v>
      </c>
      <c r="E428" s="698">
        <f>IF(E423="",0,INDEX(Input_Range,MATCH((C371&amp;B428),Input_Call,0),MATCH(E423,Input_Header,0)))</f>
        <v>0</v>
      </c>
      <c r="F428" s="698">
        <f>IF(F423="",0,INDEX(Input_Range,MATCH((C371&amp;B428),Input_Call,0),MATCH(F423,Input_Header,0)))</f>
        <v>0</v>
      </c>
      <c r="G428" s="698">
        <f>IF(G423="",0,INDEX(Input_Range,MATCH((C371&amp;B428),Input_Call,0),MATCH(G423,Input_Header,0)))</f>
        <v>0</v>
      </c>
      <c r="H428" s="698">
        <f>IF(H423="",0,INDEX(Input_Range,MATCH((C371&amp;B428),Input_Call,0),MATCH(H423,Input_Header,0)))</f>
        <v>0</v>
      </c>
      <c r="I428" s="698">
        <f>IF(I423="",0,INDEX(Input_Range,MATCH((C371&amp;B428),Input_Call,0),MATCH(I423,Input_Header,0)))</f>
        <v>0</v>
      </c>
      <c r="J428" s="698">
        <f>IF(J423="",0,INDEX(Input_Range,MATCH((C371&amp;B428),Input_Call,0),MATCH(J423,Input_Header,0)))</f>
        <v>0</v>
      </c>
      <c r="K428" s="698">
        <f>IF(K423="",0,INDEX(Input_Range,MATCH((C371&amp;B428),Input_Call,0),MATCH(K423,Input_Header,0)))</f>
        <v>0</v>
      </c>
      <c r="L428" s="698">
        <f>IF(L423="",0,INDEX(Input_Range,MATCH((C371&amp;B428),Input_Call,0),MATCH(L423,Input_Header,0)))</f>
        <v>0</v>
      </c>
      <c r="M428" s="698">
        <f>IF(M423="",0,INDEX(Input_Range,MATCH((C371&amp;B428),Input_Call,0),MATCH(M423,Input_Header,0)))</f>
        <v>0</v>
      </c>
      <c r="N428" s="698">
        <f>IF(N423="",0,INDEX(Input_Range,MATCH((C371&amp;B428),Input_Call,0),MATCH(N423,Input_Header,0)))</f>
        <v>0</v>
      </c>
      <c r="O428" s="698">
        <f>IF(O423="",0,INDEX(Input_Range,MATCH((C371&amp;B428),Input_Call,0),MATCH(O423,Input_Header,0)))</f>
        <v>0</v>
      </c>
      <c r="P428" s="698">
        <f>IF(P423="",0,INDEX(Input_Range,MATCH((C371&amp;B428),Input_Call,0),MATCH(P423,Input_Header,0)))</f>
        <v>0</v>
      </c>
      <c r="Q428" s="698">
        <f>IF(Q423="",0,INDEX(Input_Range,MATCH((C371&amp;B428),Input_Call,0),MATCH(Q423,Input_Header,0)))</f>
        <v>0</v>
      </c>
      <c r="R428" s="698">
        <f t="shared" si="604"/>
        <v>0</v>
      </c>
      <c r="T428" s="699" t="e">
        <f t="shared" si="605"/>
        <v>#N/A</v>
      </c>
      <c r="U428" s="699" t="e">
        <f t="shared" si="606"/>
        <v>#N/A</v>
      </c>
      <c r="V428" s="699" t="e">
        <f t="shared" si="607"/>
        <v>#N/A</v>
      </c>
      <c r="W428" s="699" t="e">
        <f t="shared" si="608"/>
        <v>#N/A</v>
      </c>
      <c r="X428" s="699" t="e">
        <f t="shared" si="609"/>
        <v>#N/A</v>
      </c>
      <c r="Y428" s="699" t="e">
        <f t="shared" si="610"/>
        <v>#N/A</v>
      </c>
      <c r="Z428" s="699" t="e">
        <f t="shared" si="611"/>
        <v>#N/A</v>
      </c>
      <c r="AA428" s="699" t="e">
        <f t="shared" si="612"/>
        <v>#N/A</v>
      </c>
      <c r="AB428" s="699" t="e">
        <f t="shared" si="613"/>
        <v>#N/A</v>
      </c>
      <c r="AC428" s="699" t="e">
        <f t="shared" si="614"/>
        <v>#N/A</v>
      </c>
      <c r="AD428" s="699" t="e">
        <f t="shared" si="615"/>
        <v>#N/A</v>
      </c>
      <c r="AE428" s="699" t="e">
        <f t="shared" si="616"/>
        <v>#N/A</v>
      </c>
      <c r="AF428" s="699" t="e">
        <f t="shared" si="617"/>
        <v>#N/A</v>
      </c>
      <c r="AG428" s="699" t="e">
        <f t="shared" si="618"/>
        <v>#N/A</v>
      </c>
      <c r="AI428" s="698" t="e">
        <f t="shared" si="601"/>
        <v>#N/A</v>
      </c>
      <c r="AJ428" s="698"/>
      <c r="AK428" s="698"/>
      <c r="AL428" s="4" t="str">
        <f>$A428&amp;$C371&amp;InputSheet!C$45&amp;InputSheet!D$45</f>
        <v>0ESDG&amp;AContr/Govt</v>
      </c>
      <c r="AM428" s="700" t="e">
        <f t="shared" si="602"/>
        <v>#N/A</v>
      </c>
      <c r="AP428" s="387" t="e">
        <f t="shared" si="552"/>
        <v>#N/A</v>
      </c>
    </row>
    <row r="429" spans="1:42" outlineLevel="1">
      <c r="A429" s="6">
        <f t="shared" si="603"/>
        <v>0</v>
      </c>
      <c r="B429" s="6" t="str">
        <f t="shared" si="599"/>
        <v>TBD1</v>
      </c>
      <c r="E429" s="21">
        <f>IF(E423="",0,INDEX(Input_Range,MATCH((C371&amp;B429),Input_Call,0),MATCH(E423,Input_Header,0)))</f>
        <v>0</v>
      </c>
      <c r="F429" s="21">
        <f>IF(F423="",0,INDEX(Input_Range,MATCH((C371&amp;B429),Input_Call,0),MATCH(F423,Input_Header,0)))</f>
        <v>0</v>
      </c>
      <c r="G429" s="21">
        <f>IF(G423="",0,INDEX(Input_Range,MATCH((C371&amp;B429),Input_Call,0),MATCH(G423,Input_Header,0)))</f>
        <v>0</v>
      </c>
      <c r="H429" s="21">
        <f>IF(H423="",0,INDEX(Input_Range,MATCH((C371&amp;B429),Input_Call,0),MATCH(H423,Input_Header,0)))</f>
        <v>0</v>
      </c>
      <c r="I429" s="21">
        <f>IF(I423="",0,INDEX(Input_Range,MATCH((C371&amp;B429),Input_Call,0),MATCH(I423,Input_Header,0)))</f>
        <v>0</v>
      </c>
      <c r="J429" s="21">
        <f>IF(J423="",0,INDEX(Input_Range,MATCH((C371&amp;B429),Input_Call,0),MATCH(J423,Input_Header,0)))</f>
        <v>0</v>
      </c>
      <c r="K429" s="21">
        <f>IF(K423="",0,INDEX(Input_Range,MATCH((C371&amp;B429),Input_Call,0),MATCH(K423,Input_Header,0)))</f>
        <v>0</v>
      </c>
      <c r="L429" s="21">
        <f>IF(L423="",0,INDEX(Input_Range,MATCH((C371&amp;B429),Input_Call,0),MATCH(L423,Input_Header,0)))</f>
        <v>0</v>
      </c>
      <c r="M429" s="21">
        <f>IF(M423="",0,INDEX(Input_Range,MATCH((C371&amp;B429),Input_Call,0),MATCH(M423,Input_Header,0)))</f>
        <v>0</v>
      </c>
      <c r="N429" s="21">
        <f>IF(N423="",0,INDEX(Input_Range,MATCH((C371&amp;B429),Input_Call,0),MATCH(N423,Input_Header,0)))</f>
        <v>0</v>
      </c>
      <c r="O429" s="21">
        <f>IF(O423="",0,INDEX(Input_Range,MATCH((C371&amp;B429),Input_Call,0),MATCH(O423,Input_Header,0)))</f>
        <v>0</v>
      </c>
      <c r="P429" s="21">
        <f>IF(P423="",0,INDEX(Input_Range,MATCH((C371&amp;B429),Input_Call,0),MATCH(P423,Input_Header,0)))</f>
        <v>0</v>
      </c>
      <c r="Q429" s="21">
        <f>IF(Q423="",0,INDEX(Input_Range,MATCH((C371&amp;B429),Input_Call,0),MATCH(Q423,Input_Header,0)))</f>
        <v>0</v>
      </c>
      <c r="R429" s="698">
        <f t="shared" si="604"/>
        <v>0</v>
      </c>
      <c r="T429" s="699" t="e">
        <f t="shared" si="605"/>
        <v>#N/A</v>
      </c>
      <c r="U429" s="699" t="e">
        <f t="shared" si="606"/>
        <v>#N/A</v>
      </c>
      <c r="V429" s="699" t="e">
        <f t="shared" si="607"/>
        <v>#N/A</v>
      </c>
      <c r="W429" s="699" t="e">
        <f t="shared" si="608"/>
        <v>#N/A</v>
      </c>
      <c r="X429" s="699" t="e">
        <f t="shared" si="609"/>
        <v>#N/A</v>
      </c>
      <c r="Y429" s="699" t="e">
        <f t="shared" si="610"/>
        <v>#N/A</v>
      </c>
      <c r="Z429" s="699" t="e">
        <f t="shared" si="611"/>
        <v>#N/A</v>
      </c>
      <c r="AA429" s="699" t="e">
        <f t="shared" si="612"/>
        <v>#N/A</v>
      </c>
      <c r="AB429" s="699" t="e">
        <f t="shared" si="613"/>
        <v>#N/A</v>
      </c>
      <c r="AC429" s="699" t="e">
        <f t="shared" si="614"/>
        <v>#N/A</v>
      </c>
      <c r="AD429" s="699" t="e">
        <f t="shared" si="615"/>
        <v>#N/A</v>
      </c>
      <c r="AE429" s="699" t="e">
        <f t="shared" si="616"/>
        <v>#N/A</v>
      </c>
      <c r="AF429" s="699" t="e">
        <f t="shared" si="617"/>
        <v>#N/A</v>
      </c>
      <c r="AG429" s="699" t="e">
        <f t="shared" si="618"/>
        <v>#N/A</v>
      </c>
      <c r="AI429" s="698" t="e">
        <f t="shared" si="601"/>
        <v>#N/A</v>
      </c>
      <c r="AJ429" s="21"/>
      <c r="AK429" s="21"/>
      <c r="AL429" s="4" t="str">
        <f>$A429&amp;$C371&amp;InputSheet!C$46&amp;InputSheet!D$46</f>
        <v>0ESDTBD1Contr/Govt</v>
      </c>
      <c r="AM429" s="700" t="e">
        <f t="shared" si="602"/>
        <v>#N/A</v>
      </c>
      <c r="AP429" s="387" t="e">
        <f t="shared" si="552"/>
        <v>#N/A</v>
      </c>
    </row>
    <row r="430" spans="1:42" outlineLevel="1">
      <c r="A430" s="6">
        <f t="shared" si="603"/>
        <v>0</v>
      </c>
      <c r="B430" s="6" t="str">
        <f t="shared" si="599"/>
        <v>TBD2</v>
      </c>
      <c r="E430" s="21">
        <f>IF(E423="",0,INDEX(Input_Range,MATCH((C371&amp;B430),Input_Call,0),MATCH(E423,Input_Header,0)))</f>
        <v>0</v>
      </c>
      <c r="F430" s="21">
        <f>IF(F423="",0,INDEX(Input_Range,MATCH((C371&amp;B430),Input_Call,0),MATCH(F423,Input_Header,0)))</f>
        <v>0</v>
      </c>
      <c r="G430" s="21">
        <f>IF(G423="",0,INDEX(Input_Range,MATCH((C371&amp;B430),Input_Call,0),MATCH(G423,Input_Header,0)))</f>
        <v>0</v>
      </c>
      <c r="H430" s="21">
        <f>IF(H423="",0,INDEX(Input_Range,MATCH((C371&amp;B430),Input_Call,0),MATCH(H423,Input_Header,0)))</f>
        <v>0</v>
      </c>
      <c r="I430" s="21">
        <f>IF(I423="",0,INDEX(Input_Range,MATCH((C371&amp;B430),Input_Call,0),MATCH(I423,Input_Header,0)))</f>
        <v>0</v>
      </c>
      <c r="J430" s="21">
        <f>IF(J423="",0,INDEX(Input_Range,MATCH((C371&amp;B430),Input_Call,0),MATCH(J423,Input_Header,0)))</f>
        <v>0</v>
      </c>
      <c r="K430" s="21">
        <f>IF(K423="",0,INDEX(Input_Range,MATCH((C371&amp;B430),Input_Call,0),MATCH(K423,Input_Header,0)))</f>
        <v>0</v>
      </c>
      <c r="L430" s="21">
        <f>IF(L423="",0,INDEX(Input_Range,MATCH((C371&amp;B430),Input_Call,0),MATCH(L423,Input_Header,0)))</f>
        <v>0</v>
      </c>
      <c r="M430" s="21">
        <f>IF(M423="",0,INDEX(Input_Range,MATCH((C371&amp;B430),Input_Call,0),MATCH(M423,Input_Header,0)))</f>
        <v>0</v>
      </c>
      <c r="N430" s="21">
        <f>IF(N423="",0,INDEX(Input_Range,MATCH((C371&amp;B430),Input_Call,0),MATCH(N423,Input_Header,0)))</f>
        <v>0</v>
      </c>
      <c r="O430" s="21">
        <f>IF(O423="",0,INDEX(Input_Range,MATCH((C371&amp;B430),Input_Call,0),MATCH(O423,Input_Header,0)))</f>
        <v>0</v>
      </c>
      <c r="P430" s="21">
        <f>IF(P423="",0,INDEX(Input_Range,MATCH((C371&amp;B430),Input_Call,0),MATCH(P423,Input_Header,0)))</f>
        <v>0</v>
      </c>
      <c r="Q430" s="21">
        <f>IF(Q423="",0,INDEX(Input_Range,MATCH((C371&amp;B430),Input_Call,0),MATCH(Q423,Input_Header,0)))</f>
        <v>0</v>
      </c>
      <c r="R430" s="698">
        <f t="shared" si="604"/>
        <v>0</v>
      </c>
      <c r="T430" s="699" t="e">
        <f t="shared" si="605"/>
        <v>#N/A</v>
      </c>
      <c r="U430" s="699" t="e">
        <f t="shared" si="606"/>
        <v>#N/A</v>
      </c>
      <c r="V430" s="699" t="e">
        <f t="shared" si="607"/>
        <v>#N/A</v>
      </c>
      <c r="W430" s="699" t="e">
        <f t="shared" si="608"/>
        <v>#N/A</v>
      </c>
      <c r="X430" s="699" t="e">
        <f t="shared" si="609"/>
        <v>#N/A</v>
      </c>
      <c r="Y430" s="699" t="e">
        <f t="shared" si="610"/>
        <v>#N/A</v>
      </c>
      <c r="Z430" s="699" t="e">
        <f t="shared" si="611"/>
        <v>#N/A</v>
      </c>
      <c r="AA430" s="699" t="e">
        <f t="shared" si="612"/>
        <v>#N/A</v>
      </c>
      <c r="AB430" s="699" t="e">
        <f t="shared" si="613"/>
        <v>#N/A</v>
      </c>
      <c r="AC430" s="699" t="e">
        <f t="shared" si="614"/>
        <v>#N/A</v>
      </c>
      <c r="AD430" s="699" t="e">
        <f t="shared" si="615"/>
        <v>#N/A</v>
      </c>
      <c r="AE430" s="699" t="e">
        <f t="shared" si="616"/>
        <v>#N/A</v>
      </c>
      <c r="AF430" s="699" t="e">
        <f t="shared" si="617"/>
        <v>#N/A</v>
      </c>
      <c r="AG430" s="699" t="e">
        <f t="shared" si="618"/>
        <v>#N/A</v>
      </c>
      <c r="AI430" s="698" t="e">
        <f t="shared" si="601"/>
        <v>#N/A</v>
      </c>
      <c r="AJ430" s="21"/>
      <c r="AK430" s="21"/>
      <c r="AL430" s="4" t="str">
        <f>$A430&amp;$C371&amp;InputSheet!C$47&amp;InputSheet!D$47</f>
        <v>0ESDTBD2Contr/Govt</v>
      </c>
      <c r="AM430" s="700" t="e">
        <f t="shared" si="602"/>
        <v>#N/A</v>
      </c>
      <c r="AP430" s="387" t="e">
        <f t="shared" si="552"/>
        <v>#N/A</v>
      </c>
    </row>
    <row r="431" spans="1:42" outlineLevel="1">
      <c r="A431" s="6">
        <f t="shared" si="603"/>
        <v>0</v>
      </c>
      <c r="B431" s="6" t="str">
        <f t="shared" si="599"/>
        <v>TBD3</v>
      </c>
      <c r="E431" s="21">
        <f>IF(E423="",0,INDEX(Input_Range,MATCH((C371&amp;B431),Input_Call,0),MATCH(E423,Input_Header,0)))</f>
        <v>0</v>
      </c>
      <c r="F431" s="21">
        <f>IF(F423="",0,INDEX(Input_Range,MATCH((C371&amp;B431),Input_Call,0),MATCH(F423,Input_Header,0)))</f>
        <v>0</v>
      </c>
      <c r="G431" s="21">
        <f>IF(G423="",0,INDEX(Input_Range,MATCH((C371&amp;B431),Input_Call,0),MATCH(G423,Input_Header,0)))</f>
        <v>0</v>
      </c>
      <c r="H431" s="21">
        <f>IF(H423="",0,INDEX(Input_Range,MATCH((C371&amp;B431),Input_Call,0),MATCH(H423,Input_Header,0)))</f>
        <v>0</v>
      </c>
      <c r="I431" s="21">
        <f>IF(I423="",0,INDEX(Input_Range,MATCH((C371&amp;B431),Input_Call,0),MATCH(I423,Input_Header,0)))</f>
        <v>0</v>
      </c>
      <c r="J431" s="21">
        <f>IF(J423="",0,INDEX(Input_Range,MATCH((C371&amp;B431),Input_Call,0),MATCH(J423,Input_Header,0)))</f>
        <v>0</v>
      </c>
      <c r="K431" s="21">
        <f>IF(K423="",0,INDEX(Input_Range,MATCH((C371&amp;B431),Input_Call,0),MATCH(K423,Input_Header,0)))</f>
        <v>0</v>
      </c>
      <c r="L431" s="21">
        <f>IF(L423="",0,INDEX(Input_Range,MATCH((C371&amp;B431),Input_Call,0),MATCH(L423,Input_Header,0)))</f>
        <v>0</v>
      </c>
      <c r="M431" s="21">
        <f>IF(M423="",0,INDEX(Input_Range,MATCH((C371&amp;B431),Input_Call,0),MATCH(M423,Input_Header,0)))</f>
        <v>0</v>
      </c>
      <c r="N431" s="21">
        <f>IF(N423="",0,INDEX(Input_Range,MATCH((C371&amp;B431),Input_Call,0),MATCH(N423,Input_Header,0)))</f>
        <v>0</v>
      </c>
      <c r="O431" s="21">
        <f>IF(O423="",0,INDEX(Input_Range,MATCH((C371&amp;B431),Input_Call,0),MATCH(O423,Input_Header,0)))</f>
        <v>0</v>
      </c>
      <c r="P431" s="21">
        <f>IF(P423="",0,INDEX(Input_Range,MATCH((C371&amp;B431),Input_Call,0),MATCH(P423,Input_Header,0)))</f>
        <v>0</v>
      </c>
      <c r="Q431" s="21">
        <f>IF(Q423="",0,INDEX(Input_Range,MATCH((C371&amp;B431),Input_Call,0),MATCH(Q423,Input_Header,0)))</f>
        <v>0</v>
      </c>
      <c r="R431" s="698">
        <f t="shared" si="604"/>
        <v>0</v>
      </c>
      <c r="T431" s="699" t="e">
        <f t="shared" si="605"/>
        <v>#N/A</v>
      </c>
      <c r="U431" s="699" t="e">
        <f t="shared" si="606"/>
        <v>#N/A</v>
      </c>
      <c r="V431" s="699" t="e">
        <f t="shared" si="607"/>
        <v>#N/A</v>
      </c>
      <c r="W431" s="699" t="e">
        <f t="shared" si="608"/>
        <v>#N/A</v>
      </c>
      <c r="X431" s="699" t="e">
        <f t="shared" si="609"/>
        <v>#N/A</v>
      </c>
      <c r="Y431" s="699" t="e">
        <f t="shared" si="610"/>
        <v>#N/A</v>
      </c>
      <c r="Z431" s="699" t="e">
        <f t="shared" si="611"/>
        <v>#N/A</v>
      </c>
      <c r="AA431" s="699" t="e">
        <f t="shared" si="612"/>
        <v>#N/A</v>
      </c>
      <c r="AB431" s="699" t="e">
        <f t="shared" si="613"/>
        <v>#N/A</v>
      </c>
      <c r="AC431" s="699" t="e">
        <f t="shared" si="614"/>
        <v>#N/A</v>
      </c>
      <c r="AD431" s="699" t="e">
        <f t="shared" si="615"/>
        <v>#N/A</v>
      </c>
      <c r="AE431" s="699" t="e">
        <f t="shared" si="616"/>
        <v>#N/A</v>
      </c>
      <c r="AF431" s="699" t="e">
        <f t="shared" si="617"/>
        <v>#N/A</v>
      </c>
      <c r="AG431" s="699" t="e">
        <f t="shared" si="618"/>
        <v>#N/A</v>
      </c>
      <c r="AI431" s="698" t="e">
        <f t="shared" si="601"/>
        <v>#N/A</v>
      </c>
      <c r="AJ431" s="21"/>
      <c r="AK431" s="21"/>
      <c r="AL431" s="4" t="str">
        <f>$A431&amp;$C371&amp;InputSheet!C$48&amp;InputSheet!D$48</f>
        <v>0ESDTBD3Contr/Govt</v>
      </c>
      <c r="AM431" s="700" t="e">
        <f t="shared" si="602"/>
        <v>#N/A</v>
      </c>
      <c r="AP431" s="387" t="e">
        <f t="shared" si="552"/>
        <v>#N/A</v>
      </c>
    </row>
    <row r="432" spans="1:42">
      <c r="E432" s="698"/>
      <c r="F432" s="698"/>
      <c r="G432" s="698"/>
      <c r="H432" s="698"/>
      <c r="I432" s="698"/>
      <c r="J432" s="698"/>
      <c r="K432" s="698"/>
      <c r="L432" s="698"/>
      <c r="M432" s="698"/>
      <c r="N432" s="698"/>
      <c r="O432" s="698"/>
      <c r="P432" s="698"/>
      <c r="Q432" s="698"/>
      <c r="R432" s="698"/>
      <c r="AI432" s="21"/>
      <c r="AJ432" s="21"/>
      <c r="AK432" s="21"/>
      <c r="AP432" s="387" t="str">
        <f t="shared" si="552"/>
        <v>1</v>
      </c>
    </row>
    <row r="433" spans="1:42">
      <c r="A433" s="530" t="str">
        <f>B433</f>
        <v>Option Year 5</v>
      </c>
      <c r="B433" s="691" t="str">
        <f>InputSheet!$C$27</f>
        <v>Option Year 5</v>
      </c>
      <c r="C433" s="28"/>
      <c r="AP433" s="387" t="str">
        <f t="shared" si="552"/>
        <v>1</v>
      </c>
    </row>
    <row r="434" spans="1:42">
      <c r="B434" s="314" t="s">
        <v>587</v>
      </c>
      <c r="C434" s="692" t="s">
        <v>588</v>
      </c>
      <c r="E434" s="1216" t="str">
        <f>"Indirect Rates - "&amp;C$371</f>
        <v>Indirect Rates - ESD</v>
      </c>
      <c r="F434" s="1216"/>
      <c r="G434" s="1216"/>
      <c r="H434" s="1216"/>
      <c r="I434" s="1216"/>
      <c r="J434" s="1216"/>
      <c r="K434" s="1216"/>
      <c r="L434" s="1216"/>
      <c r="M434" s="1216"/>
      <c r="N434" s="1216"/>
      <c r="O434" s="1216"/>
      <c r="P434" s="1216"/>
      <c r="Q434" s="1216"/>
      <c r="R434" s="1216"/>
      <c r="S434" s="844"/>
      <c r="T434" s="1217" t="s">
        <v>794</v>
      </c>
      <c r="U434" s="1217"/>
      <c r="V434" s="1217"/>
      <c r="W434" s="1217"/>
      <c r="X434" s="1217"/>
      <c r="Y434" s="1217"/>
      <c r="Z434" s="1217"/>
      <c r="AA434" s="1217"/>
      <c r="AB434" s="1217"/>
      <c r="AC434" s="1217"/>
      <c r="AD434" s="1217"/>
      <c r="AE434" s="1217"/>
      <c r="AF434" s="1217"/>
      <c r="AG434" s="1217"/>
      <c r="AI434" s="692" t="s">
        <v>615</v>
      </c>
      <c r="AJ434" s="50"/>
      <c r="AK434" s="50"/>
      <c r="AP434" s="387" t="str">
        <f t="shared" si="552"/>
        <v>1</v>
      </c>
    </row>
    <row r="435" spans="1:42">
      <c r="B435" s="693">
        <f>VLOOKUP(A433,InputSheet!$C$8:$E$37,2,FALSE)</f>
        <v>1</v>
      </c>
      <c r="C435" s="694">
        <f>VLOOKUP(A433,InputSheet!$C$8:$E$37,3,FALSE)</f>
        <v>365</v>
      </c>
      <c r="E435" s="695">
        <f t="shared" ref="E435:R435" si="619">E423</f>
        <v>2009</v>
      </c>
      <c r="F435" s="695">
        <f t="shared" si="619"/>
        <v>2010</v>
      </c>
      <c r="G435" s="695">
        <f t="shared" si="619"/>
        <v>2011</v>
      </c>
      <c r="H435" s="695">
        <f t="shared" si="619"/>
        <v>2012</v>
      </c>
      <c r="I435" s="695">
        <f t="shared" si="619"/>
        <v>2013</v>
      </c>
      <c r="J435" s="695">
        <f t="shared" si="619"/>
        <v>2014</v>
      </c>
      <c r="K435" s="695">
        <f t="shared" si="619"/>
        <v>2015</v>
      </c>
      <c r="L435" s="695">
        <f t="shared" si="619"/>
        <v>2016</v>
      </c>
      <c r="M435" s="695">
        <f t="shared" si="619"/>
        <v>2017</v>
      </c>
      <c r="N435" s="695">
        <f t="shared" si="619"/>
        <v>2018</v>
      </c>
      <c r="O435" s="695">
        <f t="shared" si="619"/>
        <v>2019</v>
      </c>
      <c r="P435" s="695">
        <f t="shared" si="619"/>
        <v>2020</v>
      </c>
      <c r="Q435" s="695">
        <f t="shared" si="619"/>
        <v>2021</v>
      </c>
      <c r="R435" s="695">
        <f t="shared" si="619"/>
        <v>2022</v>
      </c>
      <c r="S435" s="680"/>
      <c r="T435" s="695">
        <f t="shared" ref="T435:AG435" si="620">T423</f>
        <v>2009</v>
      </c>
      <c r="U435" s="695">
        <f t="shared" si="620"/>
        <v>2010</v>
      </c>
      <c r="V435" s="695">
        <f t="shared" si="620"/>
        <v>2011</v>
      </c>
      <c r="W435" s="695">
        <f t="shared" si="620"/>
        <v>2012</v>
      </c>
      <c r="X435" s="695">
        <f t="shared" si="620"/>
        <v>2013</v>
      </c>
      <c r="Y435" s="695">
        <f t="shared" si="620"/>
        <v>2014</v>
      </c>
      <c r="Z435" s="695">
        <f t="shared" si="620"/>
        <v>2015</v>
      </c>
      <c r="AA435" s="695">
        <f t="shared" si="620"/>
        <v>2016</v>
      </c>
      <c r="AB435" s="695">
        <f t="shared" si="620"/>
        <v>2017</v>
      </c>
      <c r="AC435" s="695">
        <f t="shared" si="620"/>
        <v>2018</v>
      </c>
      <c r="AD435" s="695">
        <f t="shared" si="620"/>
        <v>2019</v>
      </c>
      <c r="AE435" s="695">
        <f t="shared" si="620"/>
        <v>2020</v>
      </c>
      <c r="AF435" s="695">
        <f t="shared" si="620"/>
        <v>2021</v>
      </c>
      <c r="AG435" s="695">
        <f t="shared" si="620"/>
        <v>2022</v>
      </c>
      <c r="AI435" s="696" t="str">
        <f>B433</f>
        <v>Option Year 5</v>
      </c>
      <c r="AJ435" s="28"/>
      <c r="AK435" s="28"/>
      <c r="AP435" s="387" t="str">
        <f t="shared" si="552"/>
        <v>1</v>
      </c>
    </row>
    <row r="436" spans="1:42">
      <c r="A436" s="6" t="str">
        <f>A433</f>
        <v>Option Year 5</v>
      </c>
      <c r="B436" s="6" t="str">
        <f t="shared" ref="B436:B443" si="621">B424</f>
        <v>PRB</v>
      </c>
      <c r="E436" s="698">
        <f>IF(E435="",0,INDEX(Input_Range,MATCH((C371&amp;B436),Input_Call,0),MATCH(E435,Input_Header,0)))</f>
        <v>0</v>
      </c>
      <c r="F436" s="698">
        <f>IF(F435="",0,INDEX(Input_Range,MATCH((C371&amp;B436),Input_Call,0),MATCH(F435,Input_Header,0)))</f>
        <v>0</v>
      </c>
      <c r="G436" s="698">
        <f>IF(G435="",0,INDEX(Input_Range,MATCH((C371&amp;B436),Input_Call,0),MATCH(G435,Input_Header,0)))</f>
        <v>0</v>
      </c>
      <c r="H436" s="698">
        <f>IF(H435="",0,INDEX(Input_Range,MATCH((C371&amp;B436),Input_Call,0),MATCH(H435,Input_Header,0)))</f>
        <v>0</v>
      </c>
      <c r="I436" s="698">
        <f>IF(I435="",0,INDEX(Input_Range,MATCH((C371&amp;B436),Input_Call,0),MATCH(I435,Input_Header,0)))</f>
        <v>0</v>
      </c>
      <c r="J436" s="698">
        <f>IF(J435="",0,INDEX(Input_Range,MATCH((C371&amp;B436),Input_Call,0),MATCH(J435,Input_Header,0)))</f>
        <v>0</v>
      </c>
      <c r="K436" s="698">
        <f>IF(K435="",0,INDEX(Input_Range,MATCH((C371&amp;B436),Input_Call,0),MATCH(K435,Input_Header,0)))</f>
        <v>0</v>
      </c>
      <c r="L436" s="698">
        <f>IF(L435="",0,INDEX(Input_Range,MATCH((C371&amp;B436),Input_Call,0),MATCH(L435,Input_Header,0)))</f>
        <v>0</v>
      </c>
      <c r="M436" s="698">
        <f>IF(M435="",0,INDEX(Input_Range,MATCH((C371&amp;B436),Input_Call,0),MATCH(M435,Input_Header,0)))</f>
        <v>0</v>
      </c>
      <c r="N436" s="698">
        <f>IF(N435="",0,INDEX(Input_Range,MATCH((C371&amp;B436),Input_Call,0),MATCH(N435,Input_Header,0)))</f>
        <v>0</v>
      </c>
      <c r="O436" s="698">
        <f>IF(O435="",0,INDEX(Input_Range,MATCH((C371&amp;B436),Input_Call,0),MATCH(O435,Input_Header,0)))</f>
        <v>0</v>
      </c>
      <c r="P436" s="698">
        <f>IF(P435="",0,INDEX(Input_Range,MATCH((C371&amp;B436),Input_Call,0),MATCH(P435,Input_Header,0)))</f>
        <v>0</v>
      </c>
      <c r="Q436" s="698">
        <f>IF(Q435="",0,INDEX(Input_Range,MATCH((C371&amp;B436),Input_Call,0),MATCH(Q435,Input_Header,0)))</f>
        <v>0</v>
      </c>
      <c r="R436" s="698">
        <f>Q436</f>
        <v>0</v>
      </c>
      <c r="T436" s="699">
        <f t="shared" ref="T436:AG436" si="622">ROUND((MAX(0,(MIN($C435,DATE(T435,12,31))-MAX($B435,DATE(T435,1,1))+1)))/30.41667,0)</f>
        <v>0</v>
      </c>
      <c r="U436" s="699">
        <f t="shared" si="622"/>
        <v>0</v>
      </c>
      <c r="V436" s="699">
        <f t="shared" si="622"/>
        <v>0</v>
      </c>
      <c r="W436" s="699">
        <f t="shared" si="622"/>
        <v>0</v>
      </c>
      <c r="X436" s="699">
        <f t="shared" si="622"/>
        <v>0</v>
      </c>
      <c r="Y436" s="699">
        <f t="shared" si="622"/>
        <v>0</v>
      </c>
      <c r="Z436" s="699">
        <f t="shared" si="622"/>
        <v>0</v>
      </c>
      <c r="AA436" s="699">
        <f t="shared" si="622"/>
        <v>0</v>
      </c>
      <c r="AB436" s="699">
        <f t="shared" si="622"/>
        <v>0</v>
      </c>
      <c r="AC436" s="699">
        <f t="shared" si="622"/>
        <v>0</v>
      </c>
      <c r="AD436" s="699">
        <f t="shared" si="622"/>
        <v>0</v>
      </c>
      <c r="AE436" s="699">
        <f t="shared" si="622"/>
        <v>0</v>
      </c>
      <c r="AF436" s="699">
        <f t="shared" si="622"/>
        <v>0</v>
      </c>
      <c r="AG436" s="699">
        <f t="shared" si="622"/>
        <v>0</v>
      </c>
      <c r="AI436" s="698" t="e">
        <f t="shared" ref="AI436:AI443" si="623">ROUND(SUMPRODUCT(E436:R436,T436:AG436)/SUM(T436:AG436),4)</f>
        <v>#DIV/0!</v>
      </c>
      <c r="AJ436" s="698"/>
      <c r="AK436" s="698"/>
      <c r="AL436" s="4" t="str">
        <f>$A436&amp;$C371&amp;InputSheet!C$41&amp;InputSheet!D$41</f>
        <v>Option Year 5ESDPRBContr/Govt</v>
      </c>
      <c r="AM436" s="700" t="e">
        <f t="shared" ref="AM436:AM443" si="624">AI436</f>
        <v>#DIV/0!</v>
      </c>
      <c r="AP436" s="387" t="e">
        <f t="shared" si="552"/>
        <v>#DIV/0!</v>
      </c>
    </row>
    <row r="437" spans="1:42">
      <c r="A437" s="6" t="str">
        <f t="shared" ref="A437:A443" si="625">A436</f>
        <v>Option Year 5</v>
      </c>
      <c r="B437" s="6" t="str">
        <f t="shared" si="621"/>
        <v>Overhead - Offsite</v>
      </c>
      <c r="E437" s="698">
        <f>IF(E435="",0,INDEX(Input_Range,MATCH((C371&amp;B437),Input_Call,0),MATCH(E435,Input_Header,0)))</f>
        <v>0</v>
      </c>
      <c r="F437" s="698">
        <f>IF(F435="",0,INDEX(Input_Range,MATCH((C371&amp;B437),Input_Call,0),MATCH(F435,Input_Header,0)))</f>
        <v>0</v>
      </c>
      <c r="G437" s="698">
        <f>IF(G435="",0,INDEX(Input_Range,MATCH((C371&amp;B437),Input_Call,0),MATCH(G435,Input_Header,0)))</f>
        <v>0</v>
      </c>
      <c r="H437" s="698">
        <f>IF(H435="",0,INDEX(Input_Range,MATCH((C371&amp;B437),Input_Call,0),MATCH(H435,Input_Header,0)))</f>
        <v>0</v>
      </c>
      <c r="I437" s="698">
        <f>IF(I435="",0,INDEX(Input_Range,MATCH((C371&amp;B437),Input_Call,0),MATCH(I435,Input_Header,0)))</f>
        <v>0</v>
      </c>
      <c r="J437" s="698">
        <f>IF(J435="",0,INDEX(Input_Range,MATCH((C371&amp;B437),Input_Call,0),MATCH(J435,Input_Header,0)))</f>
        <v>0</v>
      </c>
      <c r="K437" s="698">
        <f>IF(K435="",0,INDEX(Input_Range,MATCH((C371&amp;B437),Input_Call,0),MATCH(K435,Input_Header,0)))</f>
        <v>0</v>
      </c>
      <c r="L437" s="698">
        <f>IF(L435="",0,INDEX(Input_Range,MATCH((C371&amp;B437),Input_Call,0),MATCH(L435,Input_Header,0)))</f>
        <v>0</v>
      </c>
      <c r="M437" s="698">
        <f>IF(M435="",0,INDEX(Input_Range,MATCH((C371&amp;B437),Input_Call,0),MATCH(M435,Input_Header,0)))</f>
        <v>0</v>
      </c>
      <c r="N437" s="698">
        <f>IF(N435="",0,INDEX(Input_Range,MATCH((C371&amp;B437),Input_Call,0),MATCH(N435,Input_Header,0)))</f>
        <v>0</v>
      </c>
      <c r="O437" s="698">
        <f>IF(O435="",0,INDEX(Input_Range,MATCH((C371&amp;B437),Input_Call,0),MATCH(O435,Input_Header,0)))</f>
        <v>0</v>
      </c>
      <c r="P437" s="698">
        <f>IF(P435="",0,INDEX(Input_Range,MATCH((C371&amp;B437),Input_Call,0),MATCH(P435,Input_Header,0)))</f>
        <v>0</v>
      </c>
      <c r="Q437" s="698">
        <f>IF(Q435="",0,INDEX(Input_Range,MATCH((C371&amp;B437),Input_Call,0),MATCH(Q435,Input_Header,0)))</f>
        <v>0</v>
      </c>
      <c r="R437" s="698">
        <f t="shared" ref="R437:R443" si="626">Q437</f>
        <v>0</v>
      </c>
      <c r="T437" s="699">
        <f t="shared" ref="T437:T443" si="627">T436</f>
        <v>0</v>
      </c>
      <c r="U437" s="699">
        <f t="shared" ref="U437:U443" si="628">U436</f>
        <v>0</v>
      </c>
      <c r="V437" s="699">
        <f t="shared" ref="V437:V443" si="629">V436</f>
        <v>0</v>
      </c>
      <c r="W437" s="699">
        <f t="shared" ref="W437:W443" si="630">W436</f>
        <v>0</v>
      </c>
      <c r="X437" s="699">
        <f t="shared" ref="X437:X443" si="631">X436</f>
        <v>0</v>
      </c>
      <c r="Y437" s="699">
        <f t="shared" ref="Y437:Y443" si="632">Y436</f>
        <v>0</v>
      </c>
      <c r="Z437" s="699">
        <f t="shared" ref="Z437:Z443" si="633">Z436</f>
        <v>0</v>
      </c>
      <c r="AA437" s="699">
        <f t="shared" ref="AA437:AA443" si="634">AA436</f>
        <v>0</v>
      </c>
      <c r="AB437" s="699">
        <f t="shared" ref="AB437:AB443" si="635">AB436</f>
        <v>0</v>
      </c>
      <c r="AC437" s="699">
        <f t="shared" ref="AC437:AC443" si="636">AC436</f>
        <v>0</v>
      </c>
      <c r="AD437" s="699">
        <f t="shared" ref="AD437:AD443" si="637">AD436</f>
        <v>0</v>
      </c>
      <c r="AE437" s="699">
        <f t="shared" ref="AE437:AE443" si="638">AE436</f>
        <v>0</v>
      </c>
      <c r="AF437" s="699">
        <f t="shared" ref="AF437:AF443" si="639">AF436</f>
        <v>0</v>
      </c>
      <c r="AG437" s="699">
        <f t="shared" ref="AG437:AG443" si="640">AG436</f>
        <v>0</v>
      </c>
      <c r="AI437" s="698" t="e">
        <f t="shared" si="623"/>
        <v>#DIV/0!</v>
      </c>
      <c r="AJ437" s="698"/>
      <c r="AK437" s="698"/>
      <c r="AL437" s="4" t="str">
        <f>$A437&amp;$C371&amp;InputSheet!C$42&amp;InputSheet!D$42</f>
        <v>Option Year 5ESDOverheadContr</v>
      </c>
      <c r="AM437" s="700" t="e">
        <f t="shared" si="624"/>
        <v>#DIV/0!</v>
      </c>
      <c r="AP437" s="387" t="e">
        <f t="shared" si="552"/>
        <v>#DIV/0!</v>
      </c>
    </row>
    <row r="438" spans="1:42">
      <c r="A438" s="6" t="str">
        <f t="shared" si="625"/>
        <v>Option Year 5</v>
      </c>
      <c r="B438" s="6" t="str">
        <f t="shared" si="621"/>
        <v>Overhead - Onsite</v>
      </c>
      <c r="E438" s="698">
        <f>IF(E435="",0,INDEX(Input_Range,MATCH((C371&amp;B438),Input_Call,0),MATCH(E435,Input_Header,0)))</f>
        <v>0</v>
      </c>
      <c r="F438" s="698">
        <f>IF(F435="",0,INDEX(Input_Range,MATCH((C371&amp;B438),Input_Call,0),MATCH(F435,Input_Header,0)))</f>
        <v>0</v>
      </c>
      <c r="G438" s="698">
        <f>IF(G435="",0,INDEX(Input_Range,MATCH((C371&amp;B438),Input_Call,0),MATCH(G435,Input_Header,0)))</f>
        <v>0</v>
      </c>
      <c r="H438" s="698">
        <f>IF(H435="",0,INDEX(Input_Range,MATCH((C371&amp;B438),Input_Call,0),MATCH(H435,Input_Header,0)))</f>
        <v>0</v>
      </c>
      <c r="I438" s="698">
        <f>IF(I435="",0,INDEX(Input_Range,MATCH((C371&amp;B438),Input_Call,0),MATCH(I435,Input_Header,0)))</f>
        <v>0</v>
      </c>
      <c r="J438" s="698">
        <f>IF(J435="",0,INDEX(Input_Range,MATCH((C371&amp;B438),Input_Call,0),MATCH(J435,Input_Header,0)))</f>
        <v>0</v>
      </c>
      <c r="K438" s="698">
        <f>IF(K435="",0,INDEX(Input_Range,MATCH((C371&amp;B438),Input_Call,0),MATCH(K435,Input_Header,0)))</f>
        <v>0</v>
      </c>
      <c r="L438" s="698">
        <f>IF(L435="",0,INDEX(Input_Range,MATCH((C371&amp;B438),Input_Call,0),MATCH(L435,Input_Header,0)))</f>
        <v>0</v>
      </c>
      <c r="M438" s="698">
        <f>IF(M435="",0,INDEX(Input_Range,MATCH((C371&amp;B438),Input_Call,0),MATCH(M435,Input_Header,0)))</f>
        <v>0</v>
      </c>
      <c r="N438" s="698">
        <f>IF(N435="",0,INDEX(Input_Range,MATCH((C371&amp;B438),Input_Call,0),MATCH(N435,Input_Header,0)))</f>
        <v>0</v>
      </c>
      <c r="O438" s="698">
        <f>IF(O435="",0,INDEX(Input_Range,MATCH((C371&amp;B438),Input_Call,0),MATCH(O435,Input_Header,0)))</f>
        <v>0</v>
      </c>
      <c r="P438" s="698">
        <f>IF(P435="",0,INDEX(Input_Range,MATCH((C371&amp;B438),Input_Call,0),MATCH(P435,Input_Header,0)))</f>
        <v>0</v>
      </c>
      <c r="Q438" s="698">
        <f>IF(Q435="",0,INDEX(Input_Range,MATCH((C371&amp;B438),Input_Call,0),MATCH(Q435,Input_Header,0)))</f>
        <v>0</v>
      </c>
      <c r="R438" s="698">
        <f t="shared" si="626"/>
        <v>0</v>
      </c>
      <c r="T438" s="699">
        <f t="shared" si="627"/>
        <v>0</v>
      </c>
      <c r="U438" s="699">
        <f t="shared" si="628"/>
        <v>0</v>
      </c>
      <c r="V438" s="699">
        <f t="shared" si="629"/>
        <v>0</v>
      </c>
      <c r="W438" s="699">
        <f t="shared" si="630"/>
        <v>0</v>
      </c>
      <c r="X438" s="699">
        <f t="shared" si="631"/>
        <v>0</v>
      </c>
      <c r="Y438" s="699">
        <f t="shared" si="632"/>
        <v>0</v>
      </c>
      <c r="Z438" s="699">
        <f t="shared" si="633"/>
        <v>0</v>
      </c>
      <c r="AA438" s="699">
        <f t="shared" si="634"/>
        <v>0</v>
      </c>
      <c r="AB438" s="699">
        <f t="shared" si="635"/>
        <v>0</v>
      </c>
      <c r="AC438" s="699">
        <f t="shared" si="636"/>
        <v>0</v>
      </c>
      <c r="AD438" s="699">
        <f t="shared" si="637"/>
        <v>0</v>
      </c>
      <c r="AE438" s="699">
        <f t="shared" si="638"/>
        <v>0</v>
      </c>
      <c r="AF438" s="699">
        <f t="shared" si="639"/>
        <v>0</v>
      </c>
      <c r="AG438" s="699">
        <f t="shared" si="640"/>
        <v>0</v>
      </c>
      <c r="AI438" s="698" t="e">
        <f t="shared" si="623"/>
        <v>#DIV/0!</v>
      </c>
      <c r="AJ438" s="698"/>
      <c r="AK438" s="698"/>
      <c r="AL438" s="4" t="str">
        <f>$A438&amp;$C371&amp;InputSheet!C$43&amp;InputSheet!D$43</f>
        <v>Option Year 5ESDOverheadGovt</v>
      </c>
      <c r="AM438" s="700" t="e">
        <f t="shared" si="624"/>
        <v>#DIV/0!</v>
      </c>
      <c r="AP438" s="387" t="e">
        <f t="shared" si="552"/>
        <v>#DIV/0!</v>
      </c>
    </row>
    <row r="439" spans="1:42">
      <c r="A439" s="6" t="str">
        <f t="shared" si="625"/>
        <v>Option Year 5</v>
      </c>
      <c r="B439" s="6" t="str">
        <f t="shared" si="621"/>
        <v>Material Handling</v>
      </c>
      <c r="E439" s="698">
        <f>IF(E435="",0,INDEX(Input_Range,MATCH((C371&amp;B439),Input_Call,0),MATCH(E435,Input_Header,0)))</f>
        <v>0</v>
      </c>
      <c r="F439" s="698">
        <f>IF(F435="",0,INDEX(Input_Range,MATCH((C371&amp;B439),Input_Call,0),MATCH(F435,Input_Header,0)))</f>
        <v>0</v>
      </c>
      <c r="G439" s="698">
        <f>IF(G435="",0,INDEX(Input_Range,MATCH((C371&amp;B439),Input_Call,0),MATCH(G435,Input_Header,0)))</f>
        <v>0</v>
      </c>
      <c r="H439" s="698">
        <f>IF(H435="",0,INDEX(Input_Range,MATCH((C371&amp;B439),Input_Call,0),MATCH(H435,Input_Header,0)))</f>
        <v>0</v>
      </c>
      <c r="I439" s="698">
        <f>IF(I435="",0,INDEX(Input_Range,MATCH((C371&amp;B439),Input_Call,0),MATCH(I435,Input_Header,0)))</f>
        <v>0</v>
      </c>
      <c r="J439" s="698">
        <f>IF(J435="",0,INDEX(Input_Range,MATCH((C371&amp;B439),Input_Call,0),MATCH(J435,Input_Header,0)))</f>
        <v>0</v>
      </c>
      <c r="K439" s="698">
        <f>IF(K435="",0,INDEX(Input_Range,MATCH((C371&amp;B439),Input_Call,0),MATCH(K435,Input_Header,0)))</f>
        <v>0</v>
      </c>
      <c r="L439" s="698">
        <f>IF(L435="",0,INDEX(Input_Range,MATCH((C371&amp;B439),Input_Call,0),MATCH(L435,Input_Header,0)))</f>
        <v>0</v>
      </c>
      <c r="M439" s="698">
        <f>IF(M435="",0,INDEX(Input_Range,MATCH((C371&amp;B439),Input_Call,0),MATCH(M435,Input_Header,0)))</f>
        <v>0</v>
      </c>
      <c r="N439" s="698">
        <f>IF(N435="",0,INDEX(Input_Range,MATCH((C371&amp;B439),Input_Call,0),MATCH(N435,Input_Header,0)))</f>
        <v>0</v>
      </c>
      <c r="O439" s="698">
        <f>IF(O435="",0,INDEX(Input_Range,MATCH((C371&amp;B439),Input_Call,0),MATCH(O435,Input_Header,0)))</f>
        <v>0</v>
      </c>
      <c r="P439" s="698">
        <f>IF(P435="",0,INDEX(Input_Range,MATCH((C371&amp;B439),Input_Call,0),MATCH(P435,Input_Header,0)))</f>
        <v>0</v>
      </c>
      <c r="Q439" s="698">
        <f>IF(Q435="",0,INDEX(Input_Range,MATCH((C371&amp;B439),Input_Call,0),MATCH(Q435,Input_Header,0)))</f>
        <v>0</v>
      </c>
      <c r="R439" s="698">
        <f t="shared" si="626"/>
        <v>0</v>
      </c>
      <c r="T439" s="699">
        <f t="shared" si="627"/>
        <v>0</v>
      </c>
      <c r="U439" s="699">
        <f t="shared" si="628"/>
        <v>0</v>
      </c>
      <c r="V439" s="699">
        <f t="shared" si="629"/>
        <v>0</v>
      </c>
      <c r="W439" s="699">
        <f t="shared" si="630"/>
        <v>0</v>
      </c>
      <c r="X439" s="699">
        <f t="shared" si="631"/>
        <v>0</v>
      </c>
      <c r="Y439" s="699">
        <f t="shared" si="632"/>
        <v>0</v>
      </c>
      <c r="Z439" s="699">
        <f t="shared" si="633"/>
        <v>0</v>
      </c>
      <c r="AA439" s="699">
        <f t="shared" si="634"/>
        <v>0</v>
      </c>
      <c r="AB439" s="699">
        <f t="shared" si="635"/>
        <v>0</v>
      </c>
      <c r="AC439" s="699">
        <f t="shared" si="636"/>
        <v>0</v>
      </c>
      <c r="AD439" s="699">
        <f t="shared" si="637"/>
        <v>0</v>
      </c>
      <c r="AE439" s="699">
        <f t="shared" si="638"/>
        <v>0</v>
      </c>
      <c r="AF439" s="699">
        <f t="shared" si="639"/>
        <v>0</v>
      </c>
      <c r="AG439" s="699">
        <f t="shared" si="640"/>
        <v>0</v>
      </c>
      <c r="AI439" s="698" t="e">
        <f t="shared" si="623"/>
        <v>#DIV/0!</v>
      </c>
      <c r="AJ439" s="698"/>
      <c r="AK439" s="698"/>
      <c r="AL439" s="4" t="str">
        <f>$A439&amp;$C371&amp;InputSheet!C$44&amp;InputSheet!D$44</f>
        <v>Option Year 5ESDMHContr/Govt</v>
      </c>
      <c r="AM439" s="700" t="e">
        <f t="shared" si="624"/>
        <v>#DIV/0!</v>
      </c>
      <c r="AP439" s="387" t="e">
        <f t="shared" si="552"/>
        <v>#DIV/0!</v>
      </c>
    </row>
    <row r="440" spans="1:42">
      <c r="A440" s="6" t="str">
        <f t="shared" si="625"/>
        <v>Option Year 5</v>
      </c>
      <c r="B440" s="6" t="str">
        <f t="shared" si="621"/>
        <v>G&amp;A</v>
      </c>
      <c r="E440" s="698">
        <f>IF(E435="",0,INDEX(Input_Range,MATCH((C371&amp;B440),Input_Call,0),MATCH(E435,Input_Header,0)))</f>
        <v>0</v>
      </c>
      <c r="F440" s="698">
        <f>IF(F435="",0,INDEX(Input_Range,MATCH((C371&amp;B440),Input_Call,0),MATCH(F435,Input_Header,0)))</f>
        <v>0</v>
      </c>
      <c r="G440" s="698">
        <f>IF(G435="",0,INDEX(Input_Range,MATCH((C371&amp;B440),Input_Call,0),MATCH(G435,Input_Header,0)))</f>
        <v>0</v>
      </c>
      <c r="H440" s="698">
        <f>IF(H435="",0,INDEX(Input_Range,MATCH((C371&amp;B440),Input_Call,0),MATCH(H435,Input_Header,0)))</f>
        <v>0</v>
      </c>
      <c r="I440" s="698">
        <f>IF(I435="",0,INDEX(Input_Range,MATCH((C371&amp;B440),Input_Call,0),MATCH(I435,Input_Header,0)))</f>
        <v>0</v>
      </c>
      <c r="J440" s="698">
        <f>IF(J435="",0,INDEX(Input_Range,MATCH((C371&amp;B440),Input_Call,0),MATCH(J435,Input_Header,0)))</f>
        <v>0</v>
      </c>
      <c r="K440" s="698">
        <f>IF(K435="",0,INDEX(Input_Range,MATCH((C371&amp;B440),Input_Call,0),MATCH(K435,Input_Header,0)))</f>
        <v>0</v>
      </c>
      <c r="L440" s="698">
        <f>IF(L435="",0,INDEX(Input_Range,MATCH((C371&amp;B440),Input_Call,0),MATCH(L435,Input_Header,0)))</f>
        <v>0</v>
      </c>
      <c r="M440" s="698">
        <f>IF(M435="",0,INDEX(Input_Range,MATCH((C371&amp;B440),Input_Call,0),MATCH(M435,Input_Header,0)))</f>
        <v>0</v>
      </c>
      <c r="N440" s="698">
        <f>IF(N435="",0,INDEX(Input_Range,MATCH((C371&amp;B440),Input_Call,0),MATCH(N435,Input_Header,0)))</f>
        <v>0</v>
      </c>
      <c r="O440" s="698">
        <f>IF(O435="",0,INDEX(Input_Range,MATCH((C371&amp;B440),Input_Call,0),MATCH(O435,Input_Header,0)))</f>
        <v>0</v>
      </c>
      <c r="P440" s="698">
        <f>IF(P435="",0,INDEX(Input_Range,MATCH((C371&amp;B440),Input_Call,0),MATCH(P435,Input_Header,0)))</f>
        <v>0</v>
      </c>
      <c r="Q440" s="698">
        <f>IF(Q435="",0,INDEX(Input_Range,MATCH((C371&amp;B440),Input_Call,0),MATCH(Q435,Input_Header,0)))</f>
        <v>0</v>
      </c>
      <c r="R440" s="698">
        <f t="shared" si="626"/>
        <v>0</v>
      </c>
      <c r="T440" s="699">
        <f t="shared" si="627"/>
        <v>0</v>
      </c>
      <c r="U440" s="699">
        <f t="shared" si="628"/>
        <v>0</v>
      </c>
      <c r="V440" s="699">
        <f t="shared" si="629"/>
        <v>0</v>
      </c>
      <c r="W440" s="699">
        <f t="shared" si="630"/>
        <v>0</v>
      </c>
      <c r="X440" s="699">
        <f t="shared" si="631"/>
        <v>0</v>
      </c>
      <c r="Y440" s="699">
        <f t="shared" si="632"/>
        <v>0</v>
      </c>
      <c r="Z440" s="699">
        <f t="shared" si="633"/>
        <v>0</v>
      </c>
      <c r="AA440" s="699">
        <f t="shared" si="634"/>
        <v>0</v>
      </c>
      <c r="AB440" s="699">
        <f t="shared" si="635"/>
        <v>0</v>
      </c>
      <c r="AC440" s="699">
        <f t="shared" si="636"/>
        <v>0</v>
      </c>
      <c r="AD440" s="699">
        <f t="shared" si="637"/>
        <v>0</v>
      </c>
      <c r="AE440" s="699">
        <f t="shared" si="638"/>
        <v>0</v>
      </c>
      <c r="AF440" s="699">
        <f t="shared" si="639"/>
        <v>0</v>
      </c>
      <c r="AG440" s="699">
        <f t="shared" si="640"/>
        <v>0</v>
      </c>
      <c r="AI440" s="698" t="e">
        <f t="shared" si="623"/>
        <v>#DIV/0!</v>
      </c>
      <c r="AJ440" s="698"/>
      <c r="AK440" s="698"/>
      <c r="AL440" s="4" t="str">
        <f>$A440&amp;$C371&amp;InputSheet!C$45&amp;InputSheet!D$45</f>
        <v>Option Year 5ESDG&amp;AContr/Govt</v>
      </c>
      <c r="AM440" s="700" t="e">
        <f t="shared" si="624"/>
        <v>#DIV/0!</v>
      </c>
      <c r="AP440" s="387" t="e">
        <f t="shared" si="552"/>
        <v>#DIV/0!</v>
      </c>
    </row>
    <row r="441" spans="1:42" outlineLevel="1">
      <c r="A441" s="6" t="str">
        <f t="shared" si="625"/>
        <v>Option Year 5</v>
      </c>
      <c r="B441" s="6" t="str">
        <f t="shared" si="621"/>
        <v>TBD1</v>
      </c>
      <c r="E441" s="21">
        <f>IF(E435="",0,INDEX(Input_Range,MATCH((C371&amp;B441),Input_Call,0),MATCH(E435,Input_Header,0)))</f>
        <v>0</v>
      </c>
      <c r="F441" s="21">
        <f>IF(F435="",0,INDEX(Input_Range,MATCH((C371&amp;B441),Input_Call,0),MATCH(F435,Input_Header,0)))</f>
        <v>0</v>
      </c>
      <c r="G441" s="21">
        <f>IF(G435="",0,INDEX(Input_Range,MATCH((C371&amp;B441),Input_Call,0),MATCH(G435,Input_Header,0)))</f>
        <v>0</v>
      </c>
      <c r="H441" s="21">
        <f>IF(H435="",0,INDEX(Input_Range,MATCH((C371&amp;B441),Input_Call,0),MATCH(H435,Input_Header,0)))</f>
        <v>0</v>
      </c>
      <c r="I441" s="21">
        <f>IF(I435="",0,INDEX(Input_Range,MATCH((C371&amp;B441),Input_Call,0),MATCH(I435,Input_Header,0)))</f>
        <v>0</v>
      </c>
      <c r="J441" s="21">
        <f>IF(J435="",0,INDEX(Input_Range,MATCH((C371&amp;B441),Input_Call,0),MATCH(J435,Input_Header,0)))</f>
        <v>0</v>
      </c>
      <c r="K441" s="21">
        <f>IF(K435="",0,INDEX(Input_Range,MATCH((C371&amp;B441),Input_Call,0),MATCH(K435,Input_Header,0)))</f>
        <v>0</v>
      </c>
      <c r="L441" s="21">
        <f>IF(L435="",0,INDEX(Input_Range,MATCH((C371&amp;B441),Input_Call,0),MATCH(L435,Input_Header,0)))</f>
        <v>0</v>
      </c>
      <c r="M441" s="21">
        <f>IF(M435="",0,INDEX(Input_Range,MATCH((C371&amp;B441),Input_Call,0),MATCH(M435,Input_Header,0)))</f>
        <v>0</v>
      </c>
      <c r="N441" s="21">
        <f>IF(N435="",0,INDEX(Input_Range,MATCH((C371&amp;B441),Input_Call,0),MATCH(N435,Input_Header,0)))</f>
        <v>0</v>
      </c>
      <c r="O441" s="21">
        <f>IF(O435="",0,INDEX(Input_Range,MATCH((C371&amp;B441),Input_Call,0),MATCH(O435,Input_Header,0)))</f>
        <v>0</v>
      </c>
      <c r="P441" s="21">
        <f>IF(P435="",0,INDEX(Input_Range,MATCH((C371&amp;B441),Input_Call,0),MATCH(P435,Input_Header,0)))</f>
        <v>0</v>
      </c>
      <c r="Q441" s="21">
        <f>IF(Q435="",0,INDEX(Input_Range,MATCH((C371&amp;B441),Input_Call,0),MATCH(Q435,Input_Header,0)))</f>
        <v>0</v>
      </c>
      <c r="R441" s="698">
        <f t="shared" si="626"/>
        <v>0</v>
      </c>
      <c r="T441" s="699">
        <f t="shared" si="627"/>
        <v>0</v>
      </c>
      <c r="U441" s="699">
        <f t="shared" si="628"/>
        <v>0</v>
      </c>
      <c r="V441" s="699">
        <f t="shared" si="629"/>
        <v>0</v>
      </c>
      <c r="W441" s="699">
        <f t="shared" si="630"/>
        <v>0</v>
      </c>
      <c r="X441" s="699">
        <f t="shared" si="631"/>
        <v>0</v>
      </c>
      <c r="Y441" s="699">
        <f t="shared" si="632"/>
        <v>0</v>
      </c>
      <c r="Z441" s="699">
        <f t="shared" si="633"/>
        <v>0</v>
      </c>
      <c r="AA441" s="699">
        <f t="shared" si="634"/>
        <v>0</v>
      </c>
      <c r="AB441" s="699">
        <f t="shared" si="635"/>
        <v>0</v>
      </c>
      <c r="AC441" s="699">
        <f t="shared" si="636"/>
        <v>0</v>
      </c>
      <c r="AD441" s="699">
        <f t="shared" si="637"/>
        <v>0</v>
      </c>
      <c r="AE441" s="699">
        <f t="shared" si="638"/>
        <v>0</v>
      </c>
      <c r="AF441" s="699">
        <f t="shared" si="639"/>
        <v>0</v>
      </c>
      <c r="AG441" s="699">
        <f t="shared" si="640"/>
        <v>0</v>
      </c>
      <c r="AI441" s="698" t="e">
        <f t="shared" si="623"/>
        <v>#DIV/0!</v>
      </c>
      <c r="AJ441" s="21"/>
      <c r="AK441" s="21"/>
      <c r="AL441" s="4" t="str">
        <f>$A441&amp;$C371&amp;InputSheet!C$46&amp;InputSheet!D$46</f>
        <v>Option Year 5ESDTBD1Contr/Govt</v>
      </c>
      <c r="AM441" s="700" t="e">
        <f t="shared" si="624"/>
        <v>#DIV/0!</v>
      </c>
      <c r="AP441" s="387" t="e">
        <f t="shared" si="552"/>
        <v>#DIV/0!</v>
      </c>
    </row>
    <row r="442" spans="1:42" outlineLevel="1">
      <c r="A442" s="6" t="str">
        <f t="shared" si="625"/>
        <v>Option Year 5</v>
      </c>
      <c r="B442" s="6" t="str">
        <f t="shared" si="621"/>
        <v>TBD2</v>
      </c>
      <c r="E442" s="21">
        <f>IF(E435="",0,INDEX(Input_Range,MATCH((C371&amp;B442),Input_Call,0),MATCH(E435,Input_Header,0)))</f>
        <v>0</v>
      </c>
      <c r="F442" s="21">
        <f>IF(F435="",0,INDEX(Input_Range,MATCH((C371&amp;B442),Input_Call,0),MATCH(F435,Input_Header,0)))</f>
        <v>0</v>
      </c>
      <c r="G442" s="21">
        <f>IF(G435="",0,INDEX(Input_Range,MATCH((C371&amp;B442),Input_Call,0),MATCH(G435,Input_Header,0)))</f>
        <v>0</v>
      </c>
      <c r="H442" s="21">
        <f>IF(H435="",0,INDEX(Input_Range,MATCH((C371&amp;B442),Input_Call,0),MATCH(H435,Input_Header,0)))</f>
        <v>0</v>
      </c>
      <c r="I442" s="21">
        <f>IF(I435="",0,INDEX(Input_Range,MATCH((C371&amp;B442),Input_Call,0),MATCH(I435,Input_Header,0)))</f>
        <v>0</v>
      </c>
      <c r="J442" s="21">
        <f>IF(J435="",0,INDEX(Input_Range,MATCH((C371&amp;B442),Input_Call,0),MATCH(J435,Input_Header,0)))</f>
        <v>0</v>
      </c>
      <c r="K442" s="21">
        <f>IF(K435="",0,INDEX(Input_Range,MATCH((C371&amp;B442),Input_Call,0),MATCH(K435,Input_Header,0)))</f>
        <v>0</v>
      </c>
      <c r="L442" s="21">
        <f>IF(L435="",0,INDEX(Input_Range,MATCH((C371&amp;B442),Input_Call,0),MATCH(L435,Input_Header,0)))</f>
        <v>0</v>
      </c>
      <c r="M442" s="21">
        <f>IF(M435="",0,INDEX(Input_Range,MATCH((C371&amp;B442),Input_Call,0),MATCH(M435,Input_Header,0)))</f>
        <v>0</v>
      </c>
      <c r="N442" s="21">
        <f>IF(N435="",0,INDEX(Input_Range,MATCH((C371&amp;B442),Input_Call,0),MATCH(N435,Input_Header,0)))</f>
        <v>0</v>
      </c>
      <c r="O442" s="21">
        <f>IF(O435="",0,INDEX(Input_Range,MATCH((C371&amp;B442),Input_Call,0),MATCH(O435,Input_Header,0)))</f>
        <v>0</v>
      </c>
      <c r="P442" s="21">
        <f>IF(P435="",0,INDEX(Input_Range,MATCH((C371&amp;B442),Input_Call,0),MATCH(P435,Input_Header,0)))</f>
        <v>0</v>
      </c>
      <c r="Q442" s="21">
        <f>IF(Q435="",0,INDEX(Input_Range,MATCH((C371&amp;B442),Input_Call,0),MATCH(Q435,Input_Header,0)))</f>
        <v>0</v>
      </c>
      <c r="R442" s="698">
        <f t="shared" si="626"/>
        <v>0</v>
      </c>
      <c r="T442" s="699">
        <f t="shared" si="627"/>
        <v>0</v>
      </c>
      <c r="U442" s="699">
        <f t="shared" si="628"/>
        <v>0</v>
      </c>
      <c r="V442" s="699">
        <f t="shared" si="629"/>
        <v>0</v>
      </c>
      <c r="W442" s="699">
        <f t="shared" si="630"/>
        <v>0</v>
      </c>
      <c r="X442" s="699">
        <f t="shared" si="631"/>
        <v>0</v>
      </c>
      <c r="Y442" s="699">
        <f t="shared" si="632"/>
        <v>0</v>
      </c>
      <c r="Z442" s="699">
        <f t="shared" si="633"/>
        <v>0</v>
      </c>
      <c r="AA442" s="699">
        <f t="shared" si="634"/>
        <v>0</v>
      </c>
      <c r="AB442" s="699">
        <f t="shared" si="635"/>
        <v>0</v>
      </c>
      <c r="AC442" s="699">
        <f t="shared" si="636"/>
        <v>0</v>
      </c>
      <c r="AD442" s="699">
        <f t="shared" si="637"/>
        <v>0</v>
      </c>
      <c r="AE442" s="699">
        <f t="shared" si="638"/>
        <v>0</v>
      </c>
      <c r="AF442" s="699">
        <f t="shared" si="639"/>
        <v>0</v>
      </c>
      <c r="AG442" s="699">
        <f t="shared" si="640"/>
        <v>0</v>
      </c>
      <c r="AI442" s="698" t="e">
        <f t="shared" si="623"/>
        <v>#DIV/0!</v>
      </c>
      <c r="AJ442" s="21"/>
      <c r="AK442" s="21"/>
      <c r="AL442" s="4" t="str">
        <f>$A442&amp;$C371&amp;InputSheet!C$47&amp;InputSheet!D$47</f>
        <v>Option Year 5ESDTBD2Contr/Govt</v>
      </c>
      <c r="AM442" s="700" t="e">
        <f t="shared" si="624"/>
        <v>#DIV/0!</v>
      </c>
      <c r="AP442" s="387" t="e">
        <f t="shared" si="552"/>
        <v>#DIV/0!</v>
      </c>
    </row>
    <row r="443" spans="1:42" outlineLevel="1">
      <c r="A443" s="6" t="str">
        <f t="shared" si="625"/>
        <v>Option Year 5</v>
      </c>
      <c r="B443" s="6" t="str">
        <f t="shared" si="621"/>
        <v>TBD3</v>
      </c>
      <c r="E443" s="21">
        <f>IF(E435="",0,INDEX(Input_Range,MATCH((C371&amp;B443),Input_Call,0),MATCH(E435,Input_Header,0)))</f>
        <v>0</v>
      </c>
      <c r="F443" s="21">
        <f>IF(F435="",0,INDEX(Input_Range,MATCH((C371&amp;B443),Input_Call,0),MATCH(F435,Input_Header,0)))</f>
        <v>0</v>
      </c>
      <c r="G443" s="21">
        <f>IF(G435="",0,INDEX(Input_Range,MATCH((C371&amp;B443),Input_Call,0),MATCH(G435,Input_Header,0)))</f>
        <v>0</v>
      </c>
      <c r="H443" s="21">
        <f>IF(H435="",0,INDEX(Input_Range,MATCH((C371&amp;B443),Input_Call,0),MATCH(H435,Input_Header,0)))</f>
        <v>0</v>
      </c>
      <c r="I443" s="21">
        <f>IF(I435="",0,INDEX(Input_Range,MATCH((C371&amp;B443),Input_Call,0),MATCH(I435,Input_Header,0)))</f>
        <v>0</v>
      </c>
      <c r="J443" s="21">
        <f>IF(J435="",0,INDEX(Input_Range,MATCH((C371&amp;B443),Input_Call,0),MATCH(J435,Input_Header,0)))</f>
        <v>0</v>
      </c>
      <c r="K443" s="21">
        <f>IF(K435="",0,INDEX(Input_Range,MATCH((C371&amp;B443),Input_Call,0),MATCH(K435,Input_Header,0)))</f>
        <v>0</v>
      </c>
      <c r="L443" s="21">
        <f>IF(L435="",0,INDEX(Input_Range,MATCH((C371&amp;B443),Input_Call,0),MATCH(L435,Input_Header,0)))</f>
        <v>0</v>
      </c>
      <c r="M443" s="21">
        <f>IF(M435="",0,INDEX(Input_Range,MATCH((C371&amp;B443),Input_Call,0),MATCH(M435,Input_Header,0)))</f>
        <v>0</v>
      </c>
      <c r="N443" s="21">
        <f>IF(N435="",0,INDEX(Input_Range,MATCH((C371&amp;B443),Input_Call,0),MATCH(N435,Input_Header,0)))</f>
        <v>0</v>
      </c>
      <c r="O443" s="21">
        <f>IF(O435="",0,INDEX(Input_Range,MATCH((C371&amp;B443),Input_Call,0),MATCH(O435,Input_Header,0)))</f>
        <v>0</v>
      </c>
      <c r="P443" s="21">
        <f>IF(P435="",0,INDEX(Input_Range,MATCH((C371&amp;B443),Input_Call,0),MATCH(P435,Input_Header,0)))</f>
        <v>0</v>
      </c>
      <c r="Q443" s="21">
        <f>IF(Q435="",0,INDEX(Input_Range,MATCH((C371&amp;B443),Input_Call,0),MATCH(Q435,Input_Header,0)))</f>
        <v>0</v>
      </c>
      <c r="R443" s="698">
        <f t="shared" si="626"/>
        <v>0</v>
      </c>
      <c r="T443" s="699">
        <f t="shared" si="627"/>
        <v>0</v>
      </c>
      <c r="U443" s="699">
        <f t="shared" si="628"/>
        <v>0</v>
      </c>
      <c r="V443" s="699">
        <f t="shared" si="629"/>
        <v>0</v>
      </c>
      <c r="W443" s="699">
        <f t="shared" si="630"/>
        <v>0</v>
      </c>
      <c r="X443" s="699">
        <f t="shared" si="631"/>
        <v>0</v>
      </c>
      <c r="Y443" s="699">
        <f t="shared" si="632"/>
        <v>0</v>
      </c>
      <c r="Z443" s="699">
        <f t="shared" si="633"/>
        <v>0</v>
      </c>
      <c r="AA443" s="699">
        <f t="shared" si="634"/>
        <v>0</v>
      </c>
      <c r="AB443" s="699">
        <f t="shared" si="635"/>
        <v>0</v>
      </c>
      <c r="AC443" s="699">
        <f t="shared" si="636"/>
        <v>0</v>
      </c>
      <c r="AD443" s="699">
        <f t="shared" si="637"/>
        <v>0</v>
      </c>
      <c r="AE443" s="699">
        <f t="shared" si="638"/>
        <v>0</v>
      </c>
      <c r="AF443" s="699">
        <f t="shared" si="639"/>
        <v>0</v>
      </c>
      <c r="AG443" s="699">
        <f t="shared" si="640"/>
        <v>0</v>
      </c>
      <c r="AI443" s="698" t="e">
        <f t="shared" si="623"/>
        <v>#DIV/0!</v>
      </c>
      <c r="AJ443" s="21"/>
      <c r="AK443" s="21"/>
      <c r="AL443" s="4" t="str">
        <f>$A443&amp;$C371&amp;InputSheet!C$48&amp;InputSheet!D$48</f>
        <v>Option Year 5ESDTBD3Contr/Govt</v>
      </c>
      <c r="AM443" s="700" t="e">
        <f t="shared" si="624"/>
        <v>#DIV/0!</v>
      </c>
      <c r="AP443" s="387" t="e">
        <f t="shared" si="552"/>
        <v>#DIV/0!</v>
      </c>
    </row>
    <row r="444" spans="1:42">
      <c r="E444" s="698"/>
      <c r="F444" s="698"/>
      <c r="G444" s="698"/>
      <c r="H444" s="698"/>
      <c r="I444" s="698"/>
      <c r="J444" s="698"/>
      <c r="K444" s="698"/>
      <c r="L444" s="698"/>
      <c r="M444" s="698"/>
      <c r="N444" s="698"/>
      <c r="O444" s="698"/>
      <c r="P444" s="698"/>
      <c r="Q444" s="698"/>
      <c r="R444" s="698"/>
      <c r="AI444" s="21"/>
      <c r="AJ444" s="21"/>
      <c r="AK444" s="21"/>
      <c r="AP444" s="387" t="str">
        <f t="shared" si="552"/>
        <v>1</v>
      </c>
    </row>
    <row r="445" spans="1:42">
      <c r="A445" s="530" t="str">
        <f>B445</f>
        <v>Option Year 6</v>
      </c>
      <c r="B445" s="691" t="str">
        <f>InputSheet!$C$28</f>
        <v>Option Year 6</v>
      </c>
      <c r="E445" s="698"/>
      <c r="F445" s="698"/>
      <c r="G445" s="698"/>
      <c r="H445" s="698"/>
      <c r="I445" s="698"/>
      <c r="J445" s="698"/>
      <c r="K445" s="698"/>
      <c r="L445" s="698"/>
      <c r="M445" s="698"/>
      <c r="N445" s="698"/>
      <c r="O445" s="698"/>
      <c r="P445" s="698"/>
      <c r="Q445" s="698"/>
      <c r="R445" s="698"/>
      <c r="AP445" s="387" t="str">
        <f t="shared" si="552"/>
        <v>1</v>
      </c>
    </row>
    <row r="446" spans="1:42">
      <c r="B446" s="314" t="s">
        <v>587</v>
      </c>
      <c r="C446" s="692" t="s">
        <v>588</v>
      </c>
      <c r="E446" s="1216" t="str">
        <f>"Indirect Rates - "&amp;C$371</f>
        <v>Indirect Rates - ESD</v>
      </c>
      <c r="F446" s="1216"/>
      <c r="G446" s="1216"/>
      <c r="H446" s="1216"/>
      <c r="I446" s="1216"/>
      <c r="J446" s="1216"/>
      <c r="K446" s="1216"/>
      <c r="L446" s="1216"/>
      <c r="M446" s="1216"/>
      <c r="N446" s="1216"/>
      <c r="O446" s="1216"/>
      <c r="P446" s="1216"/>
      <c r="Q446" s="1216"/>
      <c r="R446" s="1216"/>
      <c r="S446" s="844"/>
      <c r="T446" s="1217" t="s">
        <v>794</v>
      </c>
      <c r="U446" s="1217"/>
      <c r="V446" s="1217"/>
      <c r="W446" s="1217"/>
      <c r="X446" s="1217"/>
      <c r="Y446" s="1217"/>
      <c r="Z446" s="1217"/>
      <c r="AA446" s="1217"/>
      <c r="AB446" s="1217"/>
      <c r="AC446" s="1217"/>
      <c r="AD446" s="1217"/>
      <c r="AE446" s="1217"/>
      <c r="AF446" s="1217"/>
      <c r="AG446" s="1217"/>
      <c r="AI446" s="692" t="s">
        <v>615</v>
      </c>
      <c r="AJ446" s="50"/>
      <c r="AK446" s="50"/>
      <c r="AP446" s="387" t="str">
        <f t="shared" si="552"/>
        <v>1</v>
      </c>
    </row>
    <row r="447" spans="1:42">
      <c r="B447" s="693">
        <f>VLOOKUP(A445,InputSheet!$C$8:$E$37,2,FALSE)</f>
        <v>366</v>
      </c>
      <c r="C447" s="694">
        <f>VLOOKUP(A445,InputSheet!$C$8:$E$37,3,FALSE)</f>
        <v>730</v>
      </c>
      <c r="E447" s="695">
        <f t="shared" ref="E447:R447" si="641">E435</f>
        <v>2009</v>
      </c>
      <c r="F447" s="695">
        <f t="shared" si="641"/>
        <v>2010</v>
      </c>
      <c r="G447" s="695">
        <f t="shared" si="641"/>
        <v>2011</v>
      </c>
      <c r="H447" s="695">
        <f t="shared" si="641"/>
        <v>2012</v>
      </c>
      <c r="I447" s="695">
        <f t="shared" si="641"/>
        <v>2013</v>
      </c>
      <c r="J447" s="695">
        <f t="shared" si="641"/>
        <v>2014</v>
      </c>
      <c r="K447" s="695">
        <f t="shared" si="641"/>
        <v>2015</v>
      </c>
      <c r="L447" s="695">
        <f t="shared" si="641"/>
        <v>2016</v>
      </c>
      <c r="M447" s="695">
        <f t="shared" si="641"/>
        <v>2017</v>
      </c>
      <c r="N447" s="695">
        <f t="shared" si="641"/>
        <v>2018</v>
      </c>
      <c r="O447" s="695">
        <f t="shared" si="641"/>
        <v>2019</v>
      </c>
      <c r="P447" s="695">
        <f t="shared" si="641"/>
        <v>2020</v>
      </c>
      <c r="Q447" s="695">
        <f t="shared" si="641"/>
        <v>2021</v>
      </c>
      <c r="R447" s="695">
        <f t="shared" si="641"/>
        <v>2022</v>
      </c>
      <c r="S447" s="680"/>
      <c r="T447" s="695">
        <f t="shared" ref="T447:AG447" si="642">T435</f>
        <v>2009</v>
      </c>
      <c r="U447" s="695">
        <f t="shared" si="642"/>
        <v>2010</v>
      </c>
      <c r="V447" s="695">
        <f t="shared" si="642"/>
        <v>2011</v>
      </c>
      <c r="W447" s="695">
        <f t="shared" si="642"/>
        <v>2012</v>
      </c>
      <c r="X447" s="695">
        <f t="shared" si="642"/>
        <v>2013</v>
      </c>
      <c r="Y447" s="695">
        <f t="shared" si="642"/>
        <v>2014</v>
      </c>
      <c r="Z447" s="695">
        <f t="shared" si="642"/>
        <v>2015</v>
      </c>
      <c r="AA447" s="695">
        <f t="shared" si="642"/>
        <v>2016</v>
      </c>
      <c r="AB447" s="695">
        <f t="shared" si="642"/>
        <v>2017</v>
      </c>
      <c r="AC447" s="695">
        <f t="shared" si="642"/>
        <v>2018</v>
      </c>
      <c r="AD447" s="695">
        <f t="shared" si="642"/>
        <v>2019</v>
      </c>
      <c r="AE447" s="695">
        <f t="shared" si="642"/>
        <v>2020</v>
      </c>
      <c r="AF447" s="695">
        <f t="shared" si="642"/>
        <v>2021</v>
      </c>
      <c r="AG447" s="695">
        <f t="shared" si="642"/>
        <v>2022</v>
      </c>
      <c r="AI447" s="696" t="str">
        <f>B445</f>
        <v>Option Year 6</v>
      </c>
      <c r="AJ447" s="28"/>
      <c r="AK447" s="28"/>
      <c r="AP447" s="387" t="str">
        <f t="shared" si="552"/>
        <v>1</v>
      </c>
    </row>
    <row r="448" spans="1:42">
      <c r="A448" s="6" t="str">
        <f>A445</f>
        <v>Option Year 6</v>
      </c>
      <c r="B448" s="6" t="str">
        <f t="shared" ref="B448:B455" si="643">B436</f>
        <v>PRB</v>
      </c>
      <c r="E448" s="698">
        <f>IF(E447="",0,INDEX(Input_Range,MATCH((C371&amp;B448),Input_Call,0),MATCH(E447,Input_Header,0)))</f>
        <v>0</v>
      </c>
      <c r="F448" s="698">
        <f>IF(F447="",0,INDEX(Input_Range,MATCH((C371&amp;B448),Input_Call,0),MATCH(F447,Input_Header,0)))</f>
        <v>0</v>
      </c>
      <c r="G448" s="698">
        <f>IF(G447="",0,INDEX(Input_Range,MATCH((C371&amp;B448),Input_Call,0),MATCH(G447,Input_Header,0)))</f>
        <v>0</v>
      </c>
      <c r="H448" s="698">
        <f>IF(H447="",0,INDEX(Input_Range,MATCH((C371&amp;B448),Input_Call,0),MATCH(H447,Input_Header,0)))</f>
        <v>0</v>
      </c>
      <c r="I448" s="698">
        <f>IF(I447="",0,INDEX(Input_Range,MATCH((C371&amp;B448),Input_Call,0),MATCH(I447,Input_Header,0)))</f>
        <v>0</v>
      </c>
      <c r="J448" s="698">
        <f>IF(J447="",0,INDEX(Input_Range,MATCH((C371&amp;B448),Input_Call,0),MATCH(J447,Input_Header,0)))</f>
        <v>0</v>
      </c>
      <c r="K448" s="698">
        <f>IF(K447="",0,INDEX(Input_Range,MATCH((C371&amp;B448),Input_Call,0),MATCH(K447,Input_Header,0)))</f>
        <v>0</v>
      </c>
      <c r="L448" s="698">
        <f>IF(L447="",0,INDEX(Input_Range,MATCH((C371&amp;B448),Input_Call,0),MATCH(L447,Input_Header,0)))</f>
        <v>0</v>
      </c>
      <c r="M448" s="698">
        <f>IF(M447="",0,INDEX(Input_Range,MATCH((C371&amp;B448),Input_Call,0),MATCH(M447,Input_Header,0)))</f>
        <v>0</v>
      </c>
      <c r="N448" s="698">
        <f>IF(N447="",0,INDEX(Input_Range,MATCH((C371&amp;B448),Input_Call,0),MATCH(N447,Input_Header,0)))</f>
        <v>0</v>
      </c>
      <c r="O448" s="698">
        <f>IF(O447="",0,INDEX(Input_Range,MATCH((C371&amp;B448),Input_Call,0),MATCH(O447,Input_Header,0)))</f>
        <v>0</v>
      </c>
      <c r="P448" s="698">
        <f>IF(P447="",0,INDEX(Input_Range,MATCH((C371&amp;B448),Input_Call,0),MATCH(P447,Input_Header,0)))</f>
        <v>0</v>
      </c>
      <c r="Q448" s="698">
        <f>IF(Q447="",0,INDEX(Input_Range,MATCH((C371&amp;B448),Input_Call,0),MATCH(Q447,Input_Header,0)))</f>
        <v>0</v>
      </c>
      <c r="R448" s="698">
        <f>Q448</f>
        <v>0</v>
      </c>
      <c r="T448" s="699">
        <f t="shared" ref="T448:AG448" si="644">ROUND((MAX(0,(MIN($C447,DATE(T447,12,31))-MAX($B447,DATE(T447,1,1))+1)))/30.41667,0)</f>
        <v>0</v>
      </c>
      <c r="U448" s="699">
        <f t="shared" si="644"/>
        <v>0</v>
      </c>
      <c r="V448" s="699">
        <f t="shared" si="644"/>
        <v>0</v>
      </c>
      <c r="W448" s="699">
        <f t="shared" si="644"/>
        <v>0</v>
      </c>
      <c r="X448" s="699">
        <f t="shared" si="644"/>
        <v>0</v>
      </c>
      <c r="Y448" s="699">
        <f t="shared" si="644"/>
        <v>0</v>
      </c>
      <c r="Z448" s="699">
        <f t="shared" si="644"/>
        <v>0</v>
      </c>
      <c r="AA448" s="699">
        <f t="shared" si="644"/>
        <v>0</v>
      </c>
      <c r="AB448" s="699">
        <f t="shared" si="644"/>
        <v>0</v>
      </c>
      <c r="AC448" s="699">
        <f t="shared" si="644"/>
        <v>0</v>
      </c>
      <c r="AD448" s="699">
        <f t="shared" si="644"/>
        <v>0</v>
      </c>
      <c r="AE448" s="699">
        <f t="shared" si="644"/>
        <v>0</v>
      </c>
      <c r="AF448" s="699">
        <f t="shared" si="644"/>
        <v>0</v>
      </c>
      <c r="AG448" s="699">
        <f t="shared" si="644"/>
        <v>0</v>
      </c>
      <c r="AI448" s="698" t="e">
        <f t="shared" ref="AI448:AI455" si="645">ROUND(SUMPRODUCT(E448:R448,T448:AG448)/SUM(T448:AG448),4)</f>
        <v>#DIV/0!</v>
      </c>
      <c r="AJ448" s="698"/>
      <c r="AK448" s="698"/>
      <c r="AL448" s="4" t="str">
        <f>$A448&amp;$C371&amp;InputSheet!C$41&amp;InputSheet!D$41</f>
        <v>Option Year 6ESDPRBContr/Govt</v>
      </c>
      <c r="AM448" s="700" t="e">
        <f t="shared" ref="AM448:AM455" si="646">AI448</f>
        <v>#DIV/0!</v>
      </c>
      <c r="AP448" s="387" t="e">
        <f t="shared" si="552"/>
        <v>#DIV/0!</v>
      </c>
    </row>
    <row r="449" spans="1:42">
      <c r="A449" s="6" t="str">
        <f t="shared" ref="A449:A455" si="647">A448</f>
        <v>Option Year 6</v>
      </c>
      <c r="B449" s="6" t="str">
        <f t="shared" si="643"/>
        <v>Overhead - Offsite</v>
      </c>
      <c r="E449" s="698">
        <f>IF(E447="",0,INDEX(Input_Range,MATCH((C371&amp;B449),Input_Call,0),MATCH(E447,Input_Header,0)))</f>
        <v>0</v>
      </c>
      <c r="F449" s="698">
        <f>IF(F447="",0,INDEX(Input_Range,MATCH((C371&amp;B449),Input_Call,0),MATCH(F447,Input_Header,0)))</f>
        <v>0</v>
      </c>
      <c r="G449" s="698">
        <f>IF(G447="",0,INDEX(Input_Range,MATCH((C371&amp;B449),Input_Call,0),MATCH(G447,Input_Header,0)))</f>
        <v>0</v>
      </c>
      <c r="H449" s="698">
        <f>IF(H447="",0,INDEX(Input_Range,MATCH((C371&amp;B449),Input_Call,0),MATCH(H447,Input_Header,0)))</f>
        <v>0</v>
      </c>
      <c r="I449" s="698">
        <f>IF(I447="",0,INDEX(Input_Range,MATCH((C371&amp;B449),Input_Call,0),MATCH(I447,Input_Header,0)))</f>
        <v>0</v>
      </c>
      <c r="J449" s="698">
        <f>IF(J447="",0,INDEX(Input_Range,MATCH((C371&amp;B449),Input_Call,0),MATCH(J447,Input_Header,0)))</f>
        <v>0</v>
      </c>
      <c r="K449" s="698">
        <f>IF(K447="",0,INDEX(Input_Range,MATCH((C371&amp;B449),Input_Call,0),MATCH(K447,Input_Header,0)))</f>
        <v>0</v>
      </c>
      <c r="L449" s="698">
        <f>IF(L447="",0,INDEX(Input_Range,MATCH((C371&amp;B449),Input_Call,0),MATCH(L447,Input_Header,0)))</f>
        <v>0</v>
      </c>
      <c r="M449" s="698">
        <f>IF(M447="",0,INDEX(Input_Range,MATCH((C371&amp;B449),Input_Call,0),MATCH(M447,Input_Header,0)))</f>
        <v>0</v>
      </c>
      <c r="N449" s="698">
        <f>IF(N447="",0,INDEX(Input_Range,MATCH((C371&amp;B449),Input_Call,0),MATCH(N447,Input_Header,0)))</f>
        <v>0</v>
      </c>
      <c r="O449" s="698">
        <f>IF(O447="",0,INDEX(Input_Range,MATCH((C371&amp;B449),Input_Call,0),MATCH(O447,Input_Header,0)))</f>
        <v>0</v>
      </c>
      <c r="P449" s="698">
        <f>IF(P447="",0,INDEX(Input_Range,MATCH((C371&amp;B449),Input_Call,0),MATCH(P447,Input_Header,0)))</f>
        <v>0</v>
      </c>
      <c r="Q449" s="698">
        <f>IF(Q447="",0,INDEX(Input_Range,MATCH((C371&amp;B449),Input_Call,0),MATCH(Q447,Input_Header,0)))</f>
        <v>0</v>
      </c>
      <c r="R449" s="698">
        <f t="shared" ref="R449:R455" si="648">Q449</f>
        <v>0</v>
      </c>
      <c r="T449" s="699">
        <f t="shared" ref="T449:T455" si="649">T448</f>
        <v>0</v>
      </c>
      <c r="U449" s="699">
        <f t="shared" ref="U449:U455" si="650">U448</f>
        <v>0</v>
      </c>
      <c r="V449" s="699">
        <f t="shared" ref="V449:V455" si="651">V448</f>
        <v>0</v>
      </c>
      <c r="W449" s="699">
        <f t="shared" ref="W449:W455" si="652">W448</f>
        <v>0</v>
      </c>
      <c r="X449" s="699">
        <f t="shared" ref="X449:X455" si="653">X448</f>
        <v>0</v>
      </c>
      <c r="Y449" s="699">
        <f t="shared" ref="Y449:Y455" si="654">Y448</f>
        <v>0</v>
      </c>
      <c r="Z449" s="699">
        <f t="shared" ref="Z449:Z455" si="655">Z448</f>
        <v>0</v>
      </c>
      <c r="AA449" s="699">
        <f t="shared" ref="AA449:AA455" si="656">AA448</f>
        <v>0</v>
      </c>
      <c r="AB449" s="699">
        <f t="shared" ref="AB449:AB455" si="657">AB448</f>
        <v>0</v>
      </c>
      <c r="AC449" s="699">
        <f t="shared" ref="AC449:AC455" si="658">AC448</f>
        <v>0</v>
      </c>
      <c r="AD449" s="699">
        <f t="shared" ref="AD449:AD455" si="659">AD448</f>
        <v>0</v>
      </c>
      <c r="AE449" s="699">
        <f t="shared" ref="AE449:AE455" si="660">AE448</f>
        <v>0</v>
      </c>
      <c r="AF449" s="699">
        <f t="shared" ref="AF449:AF455" si="661">AF448</f>
        <v>0</v>
      </c>
      <c r="AG449" s="699">
        <f t="shared" ref="AG449:AG455" si="662">AG448</f>
        <v>0</v>
      </c>
      <c r="AI449" s="698" t="e">
        <f t="shared" si="645"/>
        <v>#DIV/0!</v>
      </c>
      <c r="AJ449" s="698"/>
      <c r="AK449" s="698"/>
      <c r="AL449" s="4" t="str">
        <f>$A449&amp;$C371&amp;InputSheet!C$42&amp;InputSheet!D$42</f>
        <v>Option Year 6ESDOverheadContr</v>
      </c>
      <c r="AM449" s="700" t="e">
        <f t="shared" si="646"/>
        <v>#DIV/0!</v>
      </c>
      <c r="AP449" s="387" t="e">
        <f t="shared" si="552"/>
        <v>#DIV/0!</v>
      </c>
    </row>
    <row r="450" spans="1:42">
      <c r="A450" s="6" t="str">
        <f t="shared" si="647"/>
        <v>Option Year 6</v>
      </c>
      <c r="B450" s="6" t="str">
        <f t="shared" si="643"/>
        <v>Overhead - Onsite</v>
      </c>
      <c r="E450" s="698">
        <f>IF(E447="",0,INDEX(Input_Range,MATCH((C371&amp;B450),Input_Call,0),MATCH(E447,Input_Header,0)))</f>
        <v>0</v>
      </c>
      <c r="F450" s="698">
        <f>IF(F447="",0,INDEX(Input_Range,MATCH((C371&amp;B450),Input_Call,0),MATCH(F447,Input_Header,0)))</f>
        <v>0</v>
      </c>
      <c r="G450" s="698">
        <f>IF(G447="",0,INDEX(Input_Range,MATCH((C371&amp;B450),Input_Call,0),MATCH(G447,Input_Header,0)))</f>
        <v>0</v>
      </c>
      <c r="H450" s="698">
        <f>IF(H447="",0,INDEX(Input_Range,MATCH((C371&amp;B450),Input_Call,0),MATCH(H447,Input_Header,0)))</f>
        <v>0</v>
      </c>
      <c r="I450" s="698">
        <f>IF(I447="",0,INDEX(Input_Range,MATCH((C371&amp;B450),Input_Call,0),MATCH(I447,Input_Header,0)))</f>
        <v>0</v>
      </c>
      <c r="J450" s="698">
        <f>IF(J447="",0,INDEX(Input_Range,MATCH((C371&amp;B450),Input_Call,0),MATCH(J447,Input_Header,0)))</f>
        <v>0</v>
      </c>
      <c r="K450" s="698">
        <f>IF(K447="",0,INDEX(Input_Range,MATCH((C371&amp;B450),Input_Call,0),MATCH(K447,Input_Header,0)))</f>
        <v>0</v>
      </c>
      <c r="L450" s="698">
        <f>IF(L447="",0,INDEX(Input_Range,MATCH((C371&amp;B450),Input_Call,0),MATCH(L447,Input_Header,0)))</f>
        <v>0</v>
      </c>
      <c r="M450" s="698">
        <f>IF(M447="",0,INDEX(Input_Range,MATCH((C371&amp;B450),Input_Call,0),MATCH(M447,Input_Header,0)))</f>
        <v>0</v>
      </c>
      <c r="N450" s="698">
        <f>IF(N447="",0,INDEX(Input_Range,MATCH((C371&amp;B450),Input_Call,0),MATCH(N447,Input_Header,0)))</f>
        <v>0</v>
      </c>
      <c r="O450" s="698">
        <f>IF(O447="",0,INDEX(Input_Range,MATCH((C371&amp;B450),Input_Call,0),MATCH(O447,Input_Header,0)))</f>
        <v>0</v>
      </c>
      <c r="P450" s="698">
        <f>IF(P447="",0,INDEX(Input_Range,MATCH((C371&amp;B450),Input_Call,0),MATCH(P447,Input_Header,0)))</f>
        <v>0</v>
      </c>
      <c r="Q450" s="698">
        <f>IF(Q447="",0,INDEX(Input_Range,MATCH((C371&amp;B450),Input_Call,0),MATCH(Q447,Input_Header,0)))</f>
        <v>0</v>
      </c>
      <c r="R450" s="698">
        <f t="shared" si="648"/>
        <v>0</v>
      </c>
      <c r="T450" s="699">
        <f t="shared" si="649"/>
        <v>0</v>
      </c>
      <c r="U450" s="699">
        <f t="shared" si="650"/>
        <v>0</v>
      </c>
      <c r="V450" s="699">
        <f t="shared" si="651"/>
        <v>0</v>
      </c>
      <c r="W450" s="699">
        <f t="shared" si="652"/>
        <v>0</v>
      </c>
      <c r="X450" s="699">
        <f t="shared" si="653"/>
        <v>0</v>
      </c>
      <c r="Y450" s="699">
        <f t="shared" si="654"/>
        <v>0</v>
      </c>
      <c r="Z450" s="699">
        <f t="shared" si="655"/>
        <v>0</v>
      </c>
      <c r="AA450" s="699">
        <f t="shared" si="656"/>
        <v>0</v>
      </c>
      <c r="AB450" s="699">
        <f t="shared" si="657"/>
        <v>0</v>
      </c>
      <c r="AC450" s="699">
        <f t="shared" si="658"/>
        <v>0</v>
      </c>
      <c r="AD450" s="699">
        <f t="shared" si="659"/>
        <v>0</v>
      </c>
      <c r="AE450" s="699">
        <f t="shared" si="660"/>
        <v>0</v>
      </c>
      <c r="AF450" s="699">
        <f t="shared" si="661"/>
        <v>0</v>
      </c>
      <c r="AG450" s="699">
        <f t="shared" si="662"/>
        <v>0</v>
      </c>
      <c r="AI450" s="698" t="e">
        <f t="shared" si="645"/>
        <v>#DIV/0!</v>
      </c>
      <c r="AJ450" s="698"/>
      <c r="AK450" s="698"/>
      <c r="AL450" s="4" t="str">
        <f>$A450&amp;$C371&amp;InputSheet!C$43&amp;InputSheet!D$43</f>
        <v>Option Year 6ESDOverheadGovt</v>
      </c>
      <c r="AM450" s="700" t="e">
        <f t="shared" si="646"/>
        <v>#DIV/0!</v>
      </c>
      <c r="AP450" s="387" t="e">
        <f t="shared" si="552"/>
        <v>#DIV/0!</v>
      </c>
    </row>
    <row r="451" spans="1:42">
      <c r="A451" s="6" t="str">
        <f t="shared" si="647"/>
        <v>Option Year 6</v>
      </c>
      <c r="B451" s="6" t="str">
        <f t="shared" si="643"/>
        <v>Material Handling</v>
      </c>
      <c r="E451" s="698">
        <f>IF(E447="",0,INDEX(Input_Range,MATCH((C371&amp;B451),Input_Call,0),MATCH(E447,Input_Header,0)))</f>
        <v>0</v>
      </c>
      <c r="F451" s="698">
        <f>IF(F447="",0,INDEX(Input_Range,MATCH((C371&amp;B451),Input_Call,0),MATCH(F447,Input_Header,0)))</f>
        <v>0</v>
      </c>
      <c r="G451" s="698">
        <f>IF(G447="",0,INDEX(Input_Range,MATCH((C371&amp;B451),Input_Call,0),MATCH(G447,Input_Header,0)))</f>
        <v>0</v>
      </c>
      <c r="H451" s="698">
        <f>IF(H447="",0,INDEX(Input_Range,MATCH((C371&amp;B451),Input_Call,0),MATCH(H447,Input_Header,0)))</f>
        <v>0</v>
      </c>
      <c r="I451" s="698">
        <f>IF(I447="",0,INDEX(Input_Range,MATCH((C371&amp;B451),Input_Call,0),MATCH(I447,Input_Header,0)))</f>
        <v>0</v>
      </c>
      <c r="J451" s="698">
        <f>IF(J447="",0,INDEX(Input_Range,MATCH((C371&amp;B451),Input_Call,0),MATCH(J447,Input_Header,0)))</f>
        <v>0</v>
      </c>
      <c r="K451" s="698">
        <f>IF(K447="",0,INDEX(Input_Range,MATCH((C371&amp;B451),Input_Call,0),MATCH(K447,Input_Header,0)))</f>
        <v>0</v>
      </c>
      <c r="L451" s="698">
        <f>IF(L447="",0,INDEX(Input_Range,MATCH((C371&amp;B451),Input_Call,0),MATCH(L447,Input_Header,0)))</f>
        <v>0</v>
      </c>
      <c r="M451" s="698">
        <f>IF(M447="",0,INDEX(Input_Range,MATCH((C371&amp;B451),Input_Call,0),MATCH(M447,Input_Header,0)))</f>
        <v>0</v>
      </c>
      <c r="N451" s="698">
        <f>IF(N447="",0,INDEX(Input_Range,MATCH((C371&amp;B451),Input_Call,0),MATCH(N447,Input_Header,0)))</f>
        <v>0</v>
      </c>
      <c r="O451" s="698">
        <f>IF(O447="",0,INDEX(Input_Range,MATCH((C371&amp;B451),Input_Call,0),MATCH(O447,Input_Header,0)))</f>
        <v>0</v>
      </c>
      <c r="P451" s="698">
        <f>IF(P447="",0,INDEX(Input_Range,MATCH((C371&amp;B451),Input_Call,0),MATCH(P447,Input_Header,0)))</f>
        <v>0</v>
      </c>
      <c r="Q451" s="698">
        <f>IF(Q447="",0,INDEX(Input_Range,MATCH((C371&amp;B451),Input_Call,0),MATCH(Q447,Input_Header,0)))</f>
        <v>0</v>
      </c>
      <c r="R451" s="698">
        <f t="shared" si="648"/>
        <v>0</v>
      </c>
      <c r="T451" s="699">
        <f t="shared" si="649"/>
        <v>0</v>
      </c>
      <c r="U451" s="699">
        <f t="shared" si="650"/>
        <v>0</v>
      </c>
      <c r="V451" s="699">
        <f t="shared" si="651"/>
        <v>0</v>
      </c>
      <c r="W451" s="699">
        <f t="shared" si="652"/>
        <v>0</v>
      </c>
      <c r="X451" s="699">
        <f t="shared" si="653"/>
        <v>0</v>
      </c>
      <c r="Y451" s="699">
        <f t="shared" si="654"/>
        <v>0</v>
      </c>
      <c r="Z451" s="699">
        <f t="shared" si="655"/>
        <v>0</v>
      </c>
      <c r="AA451" s="699">
        <f t="shared" si="656"/>
        <v>0</v>
      </c>
      <c r="AB451" s="699">
        <f t="shared" si="657"/>
        <v>0</v>
      </c>
      <c r="AC451" s="699">
        <f t="shared" si="658"/>
        <v>0</v>
      </c>
      <c r="AD451" s="699">
        <f t="shared" si="659"/>
        <v>0</v>
      </c>
      <c r="AE451" s="699">
        <f t="shared" si="660"/>
        <v>0</v>
      </c>
      <c r="AF451" s="699">
        <f t="shared" si="661"/>
        <v>0</v>
      </c>
      <c r="AG451" s="699">
        <f t="shared" si="662"/>
        <v>0</v>
      </c>
      <c r="AI451" s="698" t="e">
        <f t="shared" si="645"/>
        <v>#DIV/0!</v>
      </c>
      <c r="AJ451" s="698"/>
      <c r="AK451" s="698"/>
      <c r="AL451" s="4" t="str">
        <f>$A451&amp;$C371&amp;InputSheet!C$44&amp;InputSheet!D$44</f>
        <v>Option Year 6ESDMHContr/Govt</v>
      </c>
      <c r="AM451" s="700" t="e">
        <f t="shared" si="646"/>
        <v>#DIV/0!</v>
      </c>
      <c r="AP451" s="387" t="e">
        <f t="shared" si="552"/>
        <v>#DIV/0!</v>
      </c>
    </row>
    <row r="452" spans="1:42">
      <c r="A452" s="6" t="str">
        <f t="shared" si="647"/>
        <v>Option Year 6</v>
      </c>
      <c r="B452" s="6" t="str">
        <f t="shared" si="643"/>
        <v>G&amp;A</v>
      </c>
      <c r="E452" s="698">
        <f>IF(E447="",0,INDEX(Input_Range,MATCH((C371&amp;B452),Input_Call,0),MATCH(E447,Input_Header,0)))</f>
        <v>0</v>
      </c>
      <c r="F452" s="698">
        <f>IF(F447="",0,INDEX(Input_Range,MATCH((C371&amp;B452),Input_Call,0),MATCH(F447,Input_Header,0)))</f>
        <v>0</v>
      </c>
      <c r="G452" s="698">
        <f>IF(G447="",0,INDEX(Input_Range,MATCH((C371&amp;B452),Input_Call,0),MATCH(G447,Input_Header,0)))</f>
        <v>0</v>
      </c>
      <c r="H452" s="698">
        <f>IF(H447="",0,INDEX(Input_Range,MATCH((C371&amp;B452),Input_Call,0),MATCH(H447,Input_Header,0)))</f>
        <v>0</v>
      </c>
      <c r="I452" s="698">
        <f>IF(I447="",0,INDEX(Input_Range,MATCH((C371&amp;B452),Input_Call,0),MATCH(I447,Input_Header,0)))</f>
        <v>0</v>
      </c>
      <c r="J452" s="698">
        <f>IF(J447="",0,INDEX(Input_Range,MATCH((C371&amp;B452),Input_Call,0),MATCH(J447,Input_Header,0)))</f>
        <v>0</v>
      </c>
      <c r="K452" s="698">
        <f>IF(K447="",0,INDEX(Input_Range,MATCH((C371&amp;B452),Input_Call,0),MATCH(K447,Input_Header,0)))</f>
        <v>0</v>
      </c>
      <c r="L452" s="698">
        <f>IF(L447="",0,INDEX(Input_Range,MATCH((C371&amp;B452),Input_Call,0),MATCH(L447,Input_Header,0)))</f>
        <v>0</v>
      </c>
      <c r="M452" s="698">
        <f>IF(M447="",0,INDEX(Input_Range,MATCH((C371&amp;B452),Input_Call,0),MATCH(M447,Input_Header,0)))</f>
        <v>0</v>
      </c>
      <c r="N452" s="698">
        <f>IF(N447="",0,INDEX(Input_Range,MATCH((C371&amp;B452),Input_Call,0),MATCH(N447,Input_Header,0)))</f>
        <v>0</v>
      </c>
      <c r="O452" s="698">
        <f>IF(O447="",0,INDEX(Input_Range,MATCH((C371&amp;B452),Input_Call,0),MATCH(O447,Input_Header,0)))</f>
        <v>0</v>
      </c>
      <c r="P452" s="698">
        <f>IF(P447="",0,INDEX(Input_Range,MATCH((C371&amp;B452),Input_Call,0),MATCH(P447,Input_Header,0)))</f>
        <v>0</v>
      </c>
      <c r="Q452" s="698">
        <f>IF(Q447="",0,INDEX(Input_Range,MATCH((C371&amp;B452),Input_Call,0),MATCH(Q447,Input_Header,0)))</f>
        <v>0</v>
      </c>
      <c r="R452" s="698">
        <f t="shared" si="648"/>
        <v>0</v>
      </c>
      <c r="T452" s="699">
        <f t="shared" si="649"/>
        <v>0</v>
      </c>
      <c r="U452" s="699">
        <f t="shared" si="650"/>
        <v>0</v>
      </c>
      <c r="V452" s="699">
        <f t="shared" si="651"/>
        <v>0</v>
      </c>
      <c r="W452" s="699">
        <f t="shared" si="652"/>
        <v>0</v>
      </c>
      <c r="X452" s="699">
        <f t="shared" si="653"/>
        <v>0</v>
      </c>
      <c r="Y452" s="699">
        <f t="shared" si="654"/>
        <v>0</v>
      </c>
      <c r="Z452" s="699">
        <f t="shared" si="655"/>
        <v>0</v>
      </c>
      <c r="AA452" s="699">
        <f t="shared" si="656"/>
        <v>0</v>
      </c>
      <c r="AB452" s="699">
        <f t="shared" si="657"/>
        <v>0</v>
      </c>
      <c r="AC452" s="699">
        <f t="shared" si="658"/>
        <v>0</v>
      </c>
      <c r="AD452" s="699">
        <f t="shared" si="659"/>
        <v>0</v>
      </c>
      <c r="AE452" s="699">
        <f t="shared" si="660"/>
        <v>0</v>
      </c>
      <c r="AF452" s="699">
        <f t="shared" si="661"/>
        <v>0</v>
      </c>
      <c r="AG452" s="699">
        <f t="shared" si="662"/>
        <v>0</v>
      </c>
      <c r="AI452" s="698" t="e">
        <f t="shared" si="645"/>
        <v>#DIV/0!</v>
      </c>
      <c r="AJ452" s="698"/>
      <c r="AK452" s="698"/>
      <c r="AL452" s="4" t="str">
        <f>$A452&amp;$C371&amp;InputSheet!C$45&amp;InputSheet!D$45</f>
        <v>Option Year 6ESDG&amp;AContr/Govt</v>
      </c>
      <c r="AM452" s="700" t="e">
        <f t="shared" si="646"/>
        <v>#DIV/0!</v>
      </c>
      <c r="AP452" s="387" t="e">
        <f t="shared" si="552"/>
        <v>#DIV/0!</v>
      </c>
    </row>
    <row r="453" spans="1:42" outlineLevel="1">
      <c r="A453" s="6" t="str">
        <f t="shared" si="647"/>
        <v>Option Year 6</v>
      </c>
      <c r="B453" s="6" t="str">
        <f t="shared" si="643"/>
        <v>TBD1</v>
      </c>
      <c r="E453" s="21">
        <f>IF(E447="",0,INDEX(Input_Range,MATCH((C371&amp;B453),Input_Call,0),MATCH(E447,Input_Header,0)))</f>
        <v>0</v>
      </c>
      <c r="F453" s="21">
        <f>IF(F447="",0,INDEX(Input_Range,MATCH((C371&amp;B453),Input_Call,0),MATCH(F447,Input_Header,0)))</f>
        <v>0</v>
      </c>
      <c r="G453" s="21">
        <f>IF(G447="",0,INDEX(Input_Range,MATCH((C371&amp;B453),Input_Call,0),MATCH(G447,Input_Header,0)))</f>
        <v>0</v>
      </c>
      <c r="H453" s="21">
        <f>IF(H447="",0,INDEX(Input_Range,MATCH((C371&amp;B453),Input_Call,0),MATCH(H447,Input_Header,0)))</f>
        <v>0</v>
      </c>
      <c r="I453" s="21">
        <f>IF(I447="",0,INDEX(Input_Range,MATCH((C371&amp;B453),Input_Call,0),MATCH(I447,Input_Header,0)))</f>
        <v>0</v>
      </c>
      <c r="J453" s="21">
        <f>IF(J447="",0,INDEX(Input_Range,MATCH((C371&amp;B453),Input_Call,0),MATCH(J447,Input_Header,0)))</f>
        <v>0</v>
      </c>
      <c r="K453" s="21">
        <f>IF(K447="",0,INDEX(Input_Range,MATCH((C371&amp;B453),Input_Call,0),MATCH(K447,Input_Header,0)))</f>
        <v>0</v>
      </c>
      <c r="L453" s="21">
        <f>IF(L447="",0,INDEX(Input_Range,MATCH((C371&amp;B453),Input_Call,0),MATCH(L447,Input_Header,0)))</f>
        <v>0</v>
      </c>
      <c r="M453" s="21">
        <f>IF(M447="",0,INDEX(Input_Range,MATCH((C371&amp;B453),Input_Call,0),MATCH(M447,Input_Header,0)))</f>
        <v>0</v>
      </c>
      <c r="N453" s="21">
        <f>IF(N447="",0,INDEX(Input_Range,MATCH((C371&amp;B453),Input_Call,0),MATCH(N447,Input_Header,0)))</f>
        <v>0</v>
      </c>
      <c r="O453" s="21">
        <f>IF(O447="",0,INDEX(Input_Range,MATCH((C371&amp;B453),Input_Call,0),MATCH(O447,Input_Header,0)))</f>
        <v>0</v>
      </c>
      <c r="P453" s="21">
        <f>IF(P447="",0,INDEX(Input_Range,MATCH((C371&amp;B453),Input_Call,0),MATCH(P447,Input_Header,0)))</f>
        <v>0</v>
      </c>
      <c r="Q453" s="21">
        <f>IF(Q447="",0,INDEX(Input_Range,MATCH((C371&amp;B453),Input_Call,0),MATCH(Q447,Input_Header,0)))</f>
        <v>0</v>
      </c>
      <c r="R453" s="698">
        <f t="shared" si="648"/>
        <v>0</v>
      </c>
      <c r="T453" s="699">
        <f t="shared" si="649"/>
        <v>0</v>
      </c>
      <c r="U453" s="699">
        <f t="shared" si="650"/>
        <v>0</v>
      </c>
      <c r="V453" s="699">
        <f t="shared" si="651"/>
        <v>0</v>
      </c>
      <c r="W453" s="699">
        <f t="shared" si="652"/>
        <v>0</v>
      </c>
      <c r="X453" s="699">
        <f t="shared" si="653"/>
        <v>0</v>
      </c>
      <c r="Y453" s="699">
        <f t="shared" si="654"/>
        <v>0</v>
      </c>
      <c r="Z453" s="699">
        <f t="shared" si="655"/>
        <v>0</v>
      </c>
      <c r="AA453" s="699">
        <f t="shared" si="656"/>
        <v>0</v>
      </c>
      <c r="AB453" s="699">
        <f t="shared" si="657"/>
        <v>0</v>
      </c>
      <c r="AC453" s="699">
        <f t="shared" si="658"/>
        <v>0</v>
      </c>
      <c r="AD453" s="699">
        <f t="shared" si="659"/>
        <v>0</v>
      </c>
      <c r="AE453" s="699">
        <f t="shared" si="660"/>
        <v>0</v>
      </c>
      <c r="AF453" s="699">
        <f t="shared" si="661"/>
        <v>0</v>
      </c>
      <c r="AG453" s="699">
        <f t="shared" si="662"/>
        <v>0</v>
      </c>
      <c r="AI453" s="698" t="e">
        <f t="shared" si="645"/>
        <v>#DIV/0!</v>
      </c>
      <c r="AJ453" s="21"/>
      <c r="AK453" s="21"/>
      <c r="AL453" s="4" t="str">
        <f>$A453&amp;$C371&amp;InputSheet!C$46&amp;InputSheet!D$46</f>
        <v>Option Year 6ESDTBD1Contr/Govt</v>
      </c>
      <c r="AM453" s="700" t="e">
        <f t="shared" si="646"/>
        <v>#DIV/0!</v>
      </c>
      <c r="AP453" s="387" t="e">
        <f t="shared" si="552"/>
        <v>#DIV/0!</v>
      </c>
    </row>
    <row r="454" spans="1:42" outlineLevel="1">
      <c r="A454" s="6" t="str">
        <f t="shared" si="647"/>
        <v>Option Year 6</v>
      </c>
      <c r="B454" s="6" t="str">
        <f t="shared" si="643"/>
        <v>TBD2</v>
      </c>
      <c r="E454" s="21">
        <f>IF(E447="",0,INDEX(Input_Range,MATCH((C371&amp;B454),Input_Call,0),MATCH(E447,Input_Header,0)))</f>
        <v>0</v>
      </c>
      <c r="F454" s="21">
        <f>IF(F447="",0,INDEX(Input_Range,MATCH((C371&amp;B454),Input_Call,0),MATCH(F447,Input_Header,0)))</f>
        <v>0</v>
      </c>
      <c r="G454" s="21">
        <f>IF(G447="",0,INDEX(Input_Range,MATCH((C371&amp;B454),Input_Call,0),MATCH(G447,Input_Header,0)))</f>
        <v>0</v>
      </c>
      <c r="H454" s="21">
        <f>IF(H447="",0,INDEX(Input_Range,MATCH((C371&amp;B454),Input_Call,0),MATCH(H447,Input_Header,0)))</f>
        <v>0</v>
      </c>
      <c r="I454" s="21">
        <f>IF(I447="",0,INDEX(Input_Range,MATCH((C371&amp;B454),Input_Call,0),MATCH(I447,Input_Header,0)))</f>
        <v>0</v>
      </c>
      <c r="J454" s="21">
        <f>IF(J447="",0,INDEX(Input_Range,MATCH((C371&amp;B454),Input_Call,0),MATCH(J447,Input_Header,0)))</f>
        <v>0</v>
      </c>
      <c r="K454" s="21">
        <f>IF(K447="",0,INDEX(Input_Range,MATCH((C371&amp;B454),Input_Call,0),MATCH(K447,Input_Header,0)))</f>
        <v>0</v>
      </c>
      <c r="L454" s="21">
        <f>IF(L447="",0,INDEX(Input_Range,MATCH((C371&amp;B454),Input_Call,0),MATCH(L447,Input_Header,0)))</f>
        <v>0</v>
      </c>
      <c r="M454" s="21">
        <f>IF(M447="",0,INDEX(Input_Range,MATCH((C371&amp;B454),Input_Call,0),MATCH(M447,Input_Header,0)))</f>
        <v>0</v>
      </c>
      <c r="N454" s="21">
        <f>IF(N447="",0,INDEX(Input_Range,MATCH((C371&amp;B454),Input_Call,0),MATCH(N447,Input_Header,0)))</f>
        <v>0</v>
      </c>
      <c r="O454" s="21">
        <f>IF(O447="",0,INDEX(Input_Range,MATCH((C371&amp;B454),Input_Call,0),MATCH(O447,Input_Header,0)))</f>
        <v>0</v>
      </c>
      <c r="P454" s="21">
        <f>IF(P447="",0,INDEX(Input_Range,MATCH((C371&amp;B454),Input_Call,0),MATCH(P447,Input_Header,0)))</f>
        <v>0</v>
      </c>
      <c r="Q454" s="21">
        <f>IF(Q447="",0,INDEX(Input_Range,MATCH((C371&amp;B454),Input_Call,0),MATCH(Q447,Input_Header,0)))</f>
        <v>0</v>
      </c>
      <c r="R454" s="698">
        <f t="shared" si="648"/>
        <v>0</v>
      </c>
      <c r="T454" s="699">
        <f t="shared" si="649"/>
        <v>0</v>
      </c>
      <c r="U454" s="699">
        <f t="shared" si="650"/>
        <v>0</v>
      </c>
      <c r="V454" s="699">
        <f t="shared" si="651"/>
        <v>0</v>
      </c>
      <c r="W454" s="699">
        <f t="shared" si="652"/>
        <v>0</v>
      </c>
      <c r="X454" s="699">
        <f t="shared" si="653"/>
        <v>0</v>
      </c>
      <c r="Y454" s="699">
        <f t="shared" si="654"/>
        <v>0</v>
      </c>
      <c r="Z454" s="699">
        <f t="shared" si="655"/>
        <v>0</v>
      </c>
      <c r="AA454" s="699">
        <f t="shared" si="656"/>
        <v>0</v>
      </c>
      <c r="AB454" s="699">
        <f t="shared" si="657"/>
        <v>0</v>
      </c>
      <c r="AC454" s="699">
        <f t="shared" si="658"/>
        <v>0</v>
      </c>
      <c r="AD454" s="699">
        <f t="shared" si="659"/>
        <v>0</v>
      </c>
      <c r="AE454" s="699">
        <f t="shared" si="660"/>
        <v>0</v>
      </c>
      <c r="AF454" s="699">
        <f t="shared" si="661"/>
        <v>0</v>
      </c>
      <c r="AG454" s="699">
        <f t="shared" si="662"/>
        <v>0</v>
      </c>
      <c r="AI454" s="698" t="e">
        <f t="shared" si="645"/>
        <v>#DIV/0!</v>
      </c>
      <c r="AJ454" s="21"/>
      <c r="AK454" s="21"/>
      <c r="AL454" s="4" t="str">
        <f>$A454&amp;$C371&amp;InputSheet!C$47&amp;InputSheet!D$47</f>
        <v>Option Year 6ESDTBD2Contr/Govt</v>
      </c>
      <c r="AM454" s="700" t="e">
        <f t="shared" si="646"/>
        <v>#DIV/0!</v>
      </c>
      <c r="AP454" s="387" t="e">
        <f t="shared" si="552"/>
        <v>#DIV/0!</v>
      </c>
    </row>
    <row r="455" spans="1:42" outlineLevel="1">
      <c r="A455" s="6" t="str">
        <f t="shared" si="647"/>
        <v>Option Year 6</v>
      </c>
      <c r="B455" s="6" t="str">
        <f t="shared" si="643"/>
        <v>TBD3</v>
      </c>
      <c r="E455" s="21">
        <f>IF(E447="",0,INDEX(Input_Range,MATCH((C371&amp;B455),Input_Call,0),MATCH(E447,Input_Header,0)))</f>
        <v>0</v>
      </c>
      <c r="F455" s="21">
        <f>IF(F447="",0,INDEX(Input_Range,MATCH((C371&amp;B455),Input_Call,0),MATCH(F447,Input_Header,0)))</f>
        <v>0</v>
      </c>
      <c r="G455" s="21">
        <f>IF(G447="",0,INDEX(Input_Range,MATCH((C371&amp;B455),Input_Call,0),MATCH(G447,Input_Header,0)))</f>
        <v>0</v>
      </c>
      <c r="H455" s="21">
        <f>IF(H447="",0,INDEX(Input_Range,MATCH((C371&amp;B455),Input_Call,0),MATCH(H447,Input_Header,0)))</f>
        <v>0</v>
      </c>
      <c r="I455" s="21">
        <f>IF(I447="",0,INDEX(Input_Range,MATCH((C371&amp;B455),Input_Call,0),MATCH(I447,Input_Header,0)))</f>
        <v>0</v>
      </c>
      <c r="J455" s="21">
        <f>IF(J447="",0,INDEX(Input_Range,MATCH((C371&amp;B455),Input_Call,0),MATCH(J447,Input_Header,0)))</f>
        <v>0</v>
      </c>
      <c r="K455" s="21">
        <f>IF(K447="",0,INDEX(Input_Range,MATCH((C371&amp;B455),Input_Call,0),MATCH(K447,Input_Header,0)))</f>
        <v>0</v>
      </c>
      <c r="L455" s="21">
        <f>IF(L447="",0,INDEX(Input_Range,MATCH((C371&amp;B455),Input_Call,0),MATCH(L447,Input_Header,0)))</f>
        <v>0</v>
      </c>
      <c r="M455" s="21">
        <f>IF(M447="",0,INDEX(Input_Range,MATCH((C371&amp;B455),Input_Call,0),MATCH(M447,Input_Header,0)))</f>
        <v>0</v>
      </c>
      <c r="N455" s="21">
        <f>IF(N447="",0,INDEX(Input_Range,MATCH((C371&amp;B455),Input_Call,0),MATCH(N447,Input_Header,0)))</f>
        <v>0</v>
      </c>
      <c r="O455" s="21">
        <f>IF(O447="",0,INDEX(Input_Range,MATCH((C371&amp;B455),Input_Call,0),MATCH(O447,Input_Header,0)))</f>
        <v>0</v>
      </c>
      <c r="P455" s="21">
        <f>IF(P447="",0,INDEX(Input_Range,MATCH((C371&amp;B455),Input_Call,0),MATCH(P447,Input_Header,0)))</f>
        <v>0</v>
      </c>
      <c r="Q455" s="21">
        <f>IF(Q447="",0,INDEX(Input_Range,MATCH((C371&amp;B455),Input_Call,0),MATCH(Q447,Input_Header,0)))</f>
        <v>0</v>
      </c>
      <c r="R455" s="698">
        <f t="shared" si="648"/>
        <v>0</v>
      </c>
      <c r="T455" s="699">
        <f t="shared" si="649"/>
        <v>0</v>
      </c>
      <c r="U455" s="699">
        <f t="shared" si="650"/>
        <v>0</v>
      </c>
      <c r="V455" s="699">
        <f t="shared" si="651"/>
        <v>0</v>
      </c>
      <c r="W455" s="699">
        <f t="shared" si="652"/>
        <v>0</v>
      </c>
      <c r="X455" s="699">
        <f t="shared" si="653"/>
        <v>0</v>
      </c>
      <c r="Y455" s="699">
        <f t="shared" si="654"/>
        <v>0</v>
      </c>
      <c r="Z455" s="699">
        <f t="shared" si="655"/>
        <v>0</v>
      </c>
      <c r="AA455" s="699">
        <f t="shared" si="656"/>
        <v>0</v>
      </c>
      <c r="AB455" s="699">
        <f t="shared" si="657"/>
        <v>0</v>
      </c>
      <c r="AC455" s="699">
        <f t="shared" si="658"/>
        <v>0</v>
      </c>
      <c r="AD455" s="699">
        <f t="shared" si="659"/>
        <v>0</v>
      </c>
      <c r="AE455" s="699">
        <f t="shared" si="660"/>
        <v>0</v>
      </c>
      <c r="AF455" s="699">
        <f t="shared" si="661"/>
        <v>0</v>
      </c>
      <c r="AG455" s="699">
        <f t="shared" si="662"/>
        <v>0</v>
      </c>
      <c r="AI455" s="698" t="e">
        <f t="shared" si="645"/>
        <v>#DIV/0!</v>
      </c>
      <c r="AJ455" s="21"/>
      <c r="AK455" s="21"/>
      <c r="AL455" s="4" t="str">
        <f>$A455&amp;$C371&amp;InputSheet!C$48&amp;InputSheet!D$48</f>
        <v>Option Year 6ESDTBD3Contr/Govt</v>
      </c>
      <c r="AM455" s="700" t="e">
        <f t="shared" si="646"/>
        <v>#DIV/0!</v>
      </c>
      <c r="AP455" s="387" t="e">
        <f t="shared" si="552"/>
        <v>#DIV/0!</v>
      </c>
    </row>
    <row r="456" spans="1:42">
      <c r="E456" s="698"/>
      <c r="F456" s="698"/>
      <c r="G456" s="698"/>
      <c r="H456" s="698"/>
      <c r="I456" s="698"/>
      <c r="J456" s="698"/>
      <c r="K456" s="698"/>
      <c r="L456" s="698"/>
      <c r="M456" s="698"/>
      <c r="N456" s="698"/>
      <c r="O456" s="698"/>
      <c r="P456" s="698"/>
      <c r="Q456" s="698"/>
      <c r="R456" s="698"/>
      <c r="AI456" s="21"/>
      <c r="AJ456" s="21"/>
      <c r="AK456" s="21"/>
      <c r="AP456" s="387" t="str">
        <f t="shared" si="552"/>
        <v>1</v>
      </c>
    </row>
    <row r="457" spans="1:42">
      <c r="A457" s="530" t="str">
        <f>B457</f>
        <v>Option Year 7</v>
      </c>
      <c r="B457" s="691" t="str">
        <f>InputSheet!$C$29</f>
        <v>Option Year 7</v>
      </c>
      <c r="AP457" s="387" t="str">
        <f t="shared" si="552"/>
        <v>1</v>
      </c>
    </row>
    <row r="458" spans="1:42">
      <c r="B458" s="314" t="s">
        <v>587</v>
      </c>
      <c r="C458" s="692" t="s">
        <v>588</v>
      </c>
      <c r="E458" s="1216" t="str">
        <f>"Indirect Rates - "&amp;C$371</f>
        <v>Indirect Rates - ESD</v>
      </c>
      <c r="F458" s="1216"/>
      <c r="G458" s="1216"/>
      <c r="H458" s="1216"/>
      <c r="I458" s="1216"/>
      <c r="J458" s="1216"/>
      <c r="K458" s="1216"/>
      <c r="L458" s="1216"/>
      <c r="M458" s="1216"/>
      <c r="N458" s="1216"/>
      <c r="O458" s="1216"/>
      <c r="P458" s="1216"/>
      <c r="Q458" s="1216"/>
      <c r="R458" s="1216"/>
      <c r="S458" s="844"/>
      <c r="T458" s="1217" t="s">
        <v>794</v>
      </c>
      <c r="U458" s="1217"/>
      <c r="V458" s="1217"/>
      <c r="W458" s="1217"/>
      <c r="X458" s="1217"/>
      <c r="Y458" s="1217"/>
      <c r="Z458" s="1217"/>
      <c r="AA458" s="1217"/>
      <c r="AB458" s="1217"/>
      <c r="AC458" s="1217"/>
      <c r="AD458" s="1217"/>
      <c r="AE458" s="1217"/>
      <c r="AF458" s="1217"/>
      <c r="AG458" s="1217"/>
      <c r="AI458" s="692" t="s">
        <v>615</v>
      </c>
      <c r="AJ458" s="50"/>
      <c r="AK458" s="50"/>
      <c r="AP458" s="387" t="str">
        <f t="shared" si="552"/>
        <v>1</v>
      </c>
    </row>
    <row r="459" spans="1:42">
      <c r="B459" s="693">
        <f>VLOOKUP(A457,InputSheet!$C$8:$E$37,2,FALSE)</f>
        <v>731</v>
      </c>
      <c r="C459" s="694">
        <f>VLOOKUP(A457,InputSheet!$C$8:$E$37,3,FALSE)</f>
        <v>1096</v>
      </c>
      <c r="E459" s="695">
        <f t="shared" ref="E459:R459" si="663">E447</f>
        <v>2009</v>
      </c>
      <c r="F459" s="695">
        <f t="shared" si="663"/>
        <v>2010</v>
      </c>
      <c r="G459" s="695">
        <f t="shared" si="663"/>
        <v>2011</v>
      </c>
      <c r="H459" s="695">
        <f t="shared" si="663"/>
        <v>2012</v>
      </c>
      <c r="I459" s="695">
        <f t="shared" si="663"/>
        <v>2013</v>
      </c>
      <c r="J459" s="695">
        <f t="shared" si="663"/>
        <v>2014</v>
      </c>
      <c r="K459" s="695">
        <f t="shared" si="663"/>
        <v>2015</v>
      </c>
      <c r="L459" s="695">
        <f t="shared" si="663"/>
        <v>2016</v>
      </c>
      <c r="M459" s="695">
        <f t="shared" si="663"/>
        <v>2017</v>
      </c>
      <c r="N459" s="695">
        <f t="shared" si="663"/>
        <v>2018</v>
      </c>
      <c r="O459" s="695">
        <f t="shared" si="663"/>
        <v>2019</v>
      </c>
      <c r="P459" s="695">
        <f t="shared" si="663"/>
        <v>2020</v>
      </c>
      <c r="Q459" s="695">
        <f t="shared" si="663"/>
        <v>2021</v>
      </c>
      <c r="R459" s="695">
        <f t="shared" si="663"/>
        <v>2022</v>
      </c>
      <c r="S459" s="680"/>
      <c r="T459" s="695">
        <f t="shared" ref="T459:AG459" si="664">T447</f>
        <v>2009</v>
      </c>
      <c r="U459" s="695">
        <f t="shared" si="664"/>
        <v>2010</v>
      </c>
      <c r="V459" s="695">
        <f t="shared" si="664"/>
        <v>2011</v>
      </c>
      <c r="W459" s="695">
        <f t="shared" si="664"/>
        <v>2012</v>
      </c>
      <c r="X459" s="695">
        <f t="shared" si="664"/>
        <v>2013</v>
      </c>
      <c r="Y459" s="695">
        <f t="shared" si="664"/>
        <v>2014</v>
      </c>
      <c r="Z459" s="695">
        <f t="shared" si="664"/>
        <v>2015</v>
      </c>
      <c r="AA459" s="695">
        <f t="shared" si="664"/>
        <v>2016</v>
      </c>
      <c r="AB459" s="695">
        <f t="shared" si="664"/>
        <v>2017</v>
      </c>
      <c r="AC459" s="695">
        <f t="shared" si="664"/>
        <v>2018</v>
      </c>
      <c r="AD459" s="695">
        <f t="shared" si="664"/>
        <v>2019</v>
      </c>
      <c r="AE459" s="695">
        <f t="shared" si="664"/>
        <v>2020</v>
      </c>
      <c r="AF459" s="695">
        <f t="shared" si="664"/>
        <v>2021</v>
      </c>
      <c r="AG459" s="695">
        <f t="shared" si="664"/>
        <v>2022</v>
      </c>
      <c r="AI459" s="696" t="str">
        <f>B457</f>
        <v>Option Year 7</v>
      </c>
      <c r="AJ459" s="28"/>
      <c r="AK459" s="28"/>
      <c r="AP459" s="387" t="str">
        <f t="shared" si="552"/>
        <v>1</v>
      </c>
    </row>
    <row r="460" spans="1:42">
      <c r="A460" s="6" t="str">
        <f>A457</f>
        <v>Option Year 7</v>
      </c>
      <c r="B460" s="6" t="str">
        <f t="shared" ref="B460:B467" si="665">B448</f>
        <v>PRB</v>
      </c>
      <c r="E460" s="698">
        <f>IF(E459="",0,INDEX(Input_Range,MATCH((C371&amp;B460),Input_Call,0),MATCH(E459,Input_Header,0)))</f>
        <v>0</v>
      </c>
      <c r="F460" s="698">
        <f>IF(F459="",0,INDEX(Input_Range,MATCH((C371&amp;B460),Input_Call,0),MATCH(F459,Input_Header,0)))</f>
        <v>0</v>
      </c>
      <c r="G460" s="698">
        <f>IF(G459="",0,INDEX(Input_Range,MATCH((C371&amp;B460),Input_Call,0),MATCH(G459,Input_Header,0)))</f>
        <v>0</v>
      </c>
      <c r="H460" s="698">
        <f>IF(H459="",0,INDEX(Input_Range,MATCH((C371&amp;B460),Input_Call,0),MATCH(H459,Input_Header,0)))</f>
        <v>0</v>
      </c>
      <c r="I460" s="698">
        <f>IF(I459="",0,INDEX(Input_Range,MATCH((C371&amp;B460),Input_Call,0),MATCH(I459,Input_Header,0)))</f>
        <v>0</v>
      </c>
      <c r="J460" s="698">
        <f>IF(J459="",0,INDEX(Input_Range,MATCH((C371&amp;B460),Input_Call,0),MATCH(J459,Input_Header,0)))</f>
        <v>0</v>
      </c>
      <c r="K460" s="698">
        <f>IF(K459="",0,INDEX(Input_Range,MATCH((C371&amp;B460),Input_Call,0),MATCH(K459,Input_Header,0)))</f>
        <v>0</v>
      </c>
      <c r="L460" s="698">
        <f>IF(L459="",0,INDEX(Input_Range,MATCH((C371&amp;B460),Input_Call,0),MATCH(L459,Input_Header,0)))</f>
        <v>0</v>
      </c>
      <c r="M460" s="698">
        <f>IF(M459="",0,INDEX(Input_Range,MATCH((C371&amp;B460),Input_Call,0),MATCH(M459,Input_Header,0)))</f>
        <v>0</v>
      </c>
      <c r="N460" s="698">
        <f>IF(N459="",0,INDEX(Input_Range,MATCH((C371&amp;B460),Input_Call,0),MATCH(N459,Input_Header,0)))</f>
        <v>0</v>
      </c>
      <c r="O460" s="698">
        <f>IF(O459="",0,INDEX(Input_Range,MATCH((C371&amp;B460),Input_Call,0),MATCH(O459,Input_Header,0)))</f>
        <v>0</v>
      </c>
      <c r="P460" s="698">
        <f>IF(P459="",0,INDEX(Input_Range,MATCH((C371&amp;B460),Input_Call,0),MATCH(P459,Input_Header,0)))</f>
        <v>0</v>
      </c>
      <c r="Q460" s="698">
        <f>IF(Q459="",0,INDEX(Input_Range,MATCH((C371&amp;B460),Input_Call,0),MATCH(Q459,Input_Header,0)))</f>
        <v>0</v>
      </c>
      <c r="R460" s="698">
        <f>Q460</f>
        <v>0</v>
      </c>
      <c r="T460" s="699">
        <f t="shared" ref="T460:AG460" si="666">ROUND((MAX(0,(MIN($C459,DATE(T459,12,31))-MAX($B459,DATE(T459,1,1))+1)))/30.41667,0)</f>
        <v>0</v>
      </c>
      <c r="U460" s="699">
        <f t="shared" si="666"/>
        <v>0</v>
      </c>
      <c r="V460" s="699">
        <f t="shared" si="666"/>
        <v>0</v>
      </c>
      <c r="W460" s="699">
        <f t="shared" si="666"/>
        <v>0</v>
      </c>
      <c r="X460" s="699">
        <f t="shared" si="666"/>
        <v>0</v>
      </c>
      <c r="Y460" s="699">
        <f t="shared" si="666"/>
        <v>0</v>
      </c>
      <c r="Z460" s="699">
        <f t="shared" si="666"/>
        <v>0</v>
      </c>
      <c r="AA460" s="699">
        <f t="shared" si="666"/>
        <v>0</v>
      </c>
      <c r="AB460" s="699">
        <f t="shared" si="666"/>
        <v>0</v>
      </c>
      <c r="AC460" s="699">
        <f t="shared" si="666"/>
        <v>0</v>
      </c>
      <c r="AD460" s="699">
        <f t="shared" si="666"/>
        <v>0</v>
      </c>
      <c r="AE460" s="699">
        <f t="shared" si="666"/>
        <v>0</v>
      </c>
      <c r="AF460" s="699">
        <f t="shared" si="666"/>
        <v>0</v>
      </c>
      <c r="AG460" s="699">
        <f t="shared" si="666"/>
        <v>0</v>
      </c>
      <c r="AI460" s="698" t="e">
        <f t="shared" ref="AI460:AI467" si="667">ROUND(SUMPRODUCT(E460:R460,T460:AG460)/SUM(T460:AG460),4)</f>
        <v>#DIV/0!</v>
      </c>
      <c r="AJ460" s="698"/>
      <c r="AK460" s="698"/>
      <c r="AL460" s="4" t="str">
        <f>$A460&amp;$C371&amp;InputSheet!C$41&amp;InputSheet!D$41</f>
        <v>Option Year 7ESDPRBContr/Govt</v>
      </c>
      <c r="AM460" s="700" t="e">
        <f t="shared" ref="AM460:AM467" si="668">AI460</f>
        <v>#DIV/0!</v>
      </c>
      <c r="AP460" s="387" t="e">
        <f t="shared" ref="AP460:AP523" si="669">IF(AM460="","1",(IF((VLOOKUP(B460,$AO$2:$AP$9,2,FALSE))="","0","1")))</f>
        <v>#DIV/0!</v>
      </c>
    </row>
    <row r="461" spans="1:42">
      <c r="A461" s="6" t="str">
        <f t="shared" ref="A461:A467" si="670">A460</f>
        <v>Option Year 7</v>
      </c>
      <c r="B461" s="6" t="str">
        <f t="shared" si="665"/>
        <v>Overhead - Offsite</v>
      </c>
      <c r="E461" s="698">
        <f>IF(E459="",0,INDEX(Input_Range,MATCH((C371&amp;B461),Input_Call,0),MATCH(E459,Input_Header,0)))</f>
        <v>0</v>
      </c>
      <c r="F461" s="698">
        <f>IF(F459="",0,INDEX(Input_Range,MATCH((C371&amp;B461),Input_Call,0),MATCH(F459,Input_Header,0)))</f>
        <v>0</v>
      </c>
      <c r="G461" s="698">
        <f>IF(G459="",0,INDEX(Input_Range,MATCH((C371&amp;B461),Input_Call,0),MATCH(G459,Input_Header,0)))</f>
        <v>0</v>
      </c>
      <c r="H461" s="698">
        <f>IF(H459="",0,INDEX(Input_Range,MATCH((C371&amp;B461),Input_Call,0),MATCH(H459,Input_Header,0)))</f>
        <v>0</v>
      </c>
      <c r="I461" s="698">
        <f>IF(I459="",0,INDEX(Input_Range,MATCH((C371&amp;B461),Input_Call,0),MATCH(I459,Input_Header,0)))</f>
        <v>0</v>
      </c>
      <c r="J461" s="698">
        <f>IF(J459="",0,INDEX(Input_Range,MATCH((C371&amp;B461),Input_Call,0),MATCH(J459,Input_Header,0)))</f>
        <v>0</v>
      </c>
      <c r="K461" s="698">
        <f>IF(K459="",0,INDEX(Input_Range,MATCH((C371&amp;B461),Input_Call,0),MATCH(K459,Input_Header,0)))</f>
        <v>0</v>
      </c>
      <c r="L461" s="698">
        <f>IF(L459="",0,INDEX(Input_Range,MATCH((C371&amp;B461),Input_Call,0),MATCH(L459,Input_Header,0)))</f>
        <v>0</v>
      </c>
      <c r="M461" s="698">
        <f>IF(M459="",0,INDEX(Input_Range,MATCH((C371&amp;B461),Input_Call,0),MATCH(M459,Input_Header,0)))</f>
        <v>0</v>
      </c>
      <c r="N461" s="698">
        <f>IF(N459="",0,INDEX(Input_Range,MATCH((C371&amp;B461),Input_Call,0),MATCH(N459,Input_Header,0)))</f>
        <v>0</v>
      </c>
      <c r="O461" s="698">
        <f>IF(O459="",0,INDEX(Input_Range,MATCH((C371&amp;B461),Input_Call,0),MATCH(O459,Input_Header,0)))</f>
        <v>0</v>
      </c>
      <c r="P461" s="698">
        <f>IF(P459="",0,INDEX(Input_Range,MATCH((C371&amp;B461),Input_Call,0),MATCH(P459,Input_Header,0)))</f>
        <v>0</v>
      </c>
      <c r="Q461" s="698">
        <f>IF(Q459="",0,INDEX(Input_Range,MATCH((C371&amp;B461),Input_Call,0),MATCH(Q459,Input_Header,0)))</f>
        <v>0</v>
      </c>
      <c r="R461" s="698">
        <f t="shared" ref="R461:R467" si="671">Q461</f>
        <v>0</v>
      </c>
      <c r="T461" s="699">
        <f t="shared" ref="T461:T467" si="672">T460</f>
        <v>0</v>
      </c>
      <c r="U461" s="699">
        <f t="shared" ref="U461:U467" si="673">U460</f>
        <v>0</v>
      </c>
      <c r="V461" s="699">
        <f t="shared" ref="V461:V467" si="674">V460</f>
        <v>0</v>
      </c>
      <c r="W461" s="699">
        <f t="shared" ref="W461:W467" si="675">W460</f>
        <v>0</v>
      </c>
      <c r="X461" s="699">
        <f t="shared" ref="X461:X467" si="676">X460</f>
        <v>0</v>
      </c>
      <c r="Y461" s="699">
        <f t="shared" ref="Y461:Y467" si="677">Y460</f>
        <v>0</v>
      </c>
      <c r="Z461" s="699">
        <f t="shared" ref="Z461:Z467" si="678">Z460</f>
        <v>0</v>
      </c>
      <c r="AA461" s="699">
        <f t="shared" ref="AA461:AA467" si="679">AA460</f>
        <v>0</v>
      </c>
      <c r="AB461" s="699">
        <f t="shared" ref="AB461:AB467" si="680">AB460</f>
        <v>0</v>
      </c>
      <c r="AC461" s="699">
        <f t="shared" ref="AC461:AC467" si="681">AC460</f>
        <v>0</v>
      </c>
      <c r="AD461" s="699">
        <f t="shared" ref="AD461:AD467" si="682">AD460</f>
        <v>0</v>
      </c>
      <c r="AE461" s="699">
        <f t="shared" ref="AE461:AE467" si="683">AE460</f>
        <v>0</v>
      </c>
      <c r="AF461" s="699">
        <f t="shared" ref="AF461:AF467" si="684">AF460</f>
        <v>0</v>
      </c>
      <c r="AG461" s="699">
        <f t="shared" ref="AG461:AG467" si="685">AG460</f>
        <v>0</v>
      </c>
      <c r="AI461" s="698" t="e">
        <f t="shared" si="667"/>
        <v>#DIV/0!</v>
      </c>
      <c r="AJ461" s="698"/>
      <c r="AK461" s="698"/>
      <c r="AL461" s="4" t="str">
        <f>$A461&amp;$C371&amp;InputSheet!C$42&amp;InputSheet!D$42</f>
        <v>Option Year 7ESDOverheadContr</v>
      </c>
      <c r="AM461" s="700" t="e">
        <f t="shared" si="668"/>
        <v>#DIV/0!</v>
      </c>
      <c r="AP461" s="387" t="e">
        <f t="shared" si="669"/>
        <v>#DIV/0!</v>
      </c>
    </row>
    <row r="462" spans="1:42">
      <c r="A462" s="6" t="str">
        <f t="shared" si="670"/>
        <v>Option Year 7</v>
      </c>
      <c r="B462" s="6" t="str">
        <f t="shared" si="665"/>
        <v>Overhead - Onsite</v>
      </c>
      <c r="E462" s="698">
        <f>IF(E459="",0,INDEX(Input_Range,MATCH((C371&amp;B462),Input_Call,0),MATCH(E459,Input_Header,0)))</f>
        <v>0</v>
      </c>
      <c r="F462" s="698">
        <f>IF(F459="",0,INDEX(Input_Range,MATCH((C371&amp;B462),Input_Call,0),MATCH(F459,Input_Header,0)))</f>
        <v>0</v>
      </c>
      <c r="G462" s="698">
        <f>IF(G459="",0,INDEX(Input_Range,MATCH((C371&amp;B462),Input_Call,0),MATCH(G459,Input_Header,0)))</f>
        <v>0</v>
      </c>
      <c r="H462" s="698">
        <f>IF(H459="",0,INDEX(Input_Range,MATCH((C371&amp;B462),Input_Call,0),MATCH(H459,Input_Header,0)))</f>
        <v>0</v>
      </c>
      <c r="I462" s="698">
        <f>IF(I459="",0,INDEX(Input_Range,MATCH((C371&amp;B462),Input_Call,0),MATCH(I459,Input_Header,0)))</f>
        <v>0</v>
      </c>
      <c r="J462" s="698">
        <f>IF(J459="",0,INDEX(Input_Range,MATCH((C371&amp;B462),Input_Call,0),MATCH(J459,Input_Header,0)))</f>
        <v>0</v>
      </c>
      <c r="K462" s="698">
        <f>IF(K459="",0,INDEX(Input_Range,MATCH((C371&amp;B462),Input_Call,0),MATCH(K459,Input_Header,0)))</f>
        <v>0</v>
      </c>
      <c r="L462" s="698">
        <f>IF(L459="",0,INDEX(Input_Range,MATCH((C371&amp;B462),Input_Call,0),MATCH(L459,Input_Header,0)))</f>
        <v>0</v>
      </c>
      <c r="M462" s="698">
        <f>IF(M459="",0,INDEX(Input_Range,MATCH((C371&amp;B462),Input_Call,0),MATCH(M459,Input_Header,0)))</f>
        <v>0</v>
      </c>
      <c r="N462" s="698">
        <f>IF(N459="",0,INDEX(Input_Range,MATCH((C371&amp;B462),Input_Call,0),MATCH(N459,Input_Header,0)))</f>
        <v>0</v>
      </c>
      <c r="O462" s="698">
        <f>IF(O459="",0,INDEX(Input_Range,MATCH((C371&amp;B462),Input_Call,0),MATCH(O459,Input_Header,0)))</f>
        <v>0</v>
      </c>
      <c r="P462" s="698">
        <f>IF(P459="",0,INDEX(Input_Range,MATCH((C371&amp;B462),Input_Call,0),MATCH(P459,Input_Header,0)))</f>
        <v>0</v>
      </c>
      <c r="Q462" s="698">
        <f>IF(Q459="",0,INDEX(Input_Range,MATCH((C371&amp;B462),Input_Call,0),MATCH(Q459,Input_Header,0)))</f>
        <v>0</v>
      </c>
      <c r="R462" s="698">
        <f t="shared" si="671"/>
        <v>0</v>
      </c>
      <c r="T462" s="699">
        <f t="shared" si="672"/>
        <v>0</v>
      </c>
      <c r="U462" s="699">
        <f t="shared" si="673"/>
        <v>0</v>
      </c>
      <c r="V462" s="699">
        <f t="shared" si="674"/>
        <v>0</v>
      </c>
      <c r="W462" s="699">
        <f t="shared" si="675"/>
        <v>0</v>
      </c>
      <c r="X462" s="699">
        <f t="shared" si="676"/>
        <v>0</v>
      </c>
      <c r="Y462" s="699">
        <f t="shared" si="677"/>
        <v>0</v>
      </c>
      <c r="Z462" s="699">
        <f t="shared" si="678"/>
        <v>0</v>
      </c>
      <c r="AA462" s="699">
        <f t="shared" si="679"/>
        <v>0</v>
      </c>
      <c r="AB462" s="699">
        <f t="shared" si="680"/>
        <v>0</v>
      </c>
      <c r="AC462" s="699">
        <f t="shared" si="681"/>
        <v>0</v>
      </c>
      <c r="AD462" s="699">
        <f t="shared" si="682"/>
        <v>0</v>
      </c>
      <c r="AE462" s="699">
        <f t="shared" si="683"/>
        <v>0</v>
      </c>
      <c r="AF462" s="699">
        <f t="shared" si="684"/>
        <v>0</v>
      </c>
      <c r="AG462" s="699">
        <f t="shared" si="685"/>
        <v>0</v>
      </c>
      <c r="AI462" s="698" t="e">
        <f t="shared" si="667"/>
        <v>#DIV/0!</v>
      </c>
      <c r="AJ462" s="698"/>
      <c r="AK462" s="698"/>
      <c r="AL462" s="4" t="str">
        <f>$A462&amp;$C371&amp;InputSheet!C$43&amp;InputSheet!D$43</f>
        <v>Option Year 7ESDOverheadGovt</v>
      </c>
      <c r="AM462" s="700" t="e">
        <f t="shared" si="668"/>
        <v>#DIV/0!</v>
      </c>
      <c r="AP462" s="387" t="e">
        <f t="shared" si="669"/>
        <v>#DIV/0!</v>
      </c>
    </row>
    <row r="463" spans="1:42">
      <c r="A463" s="6" t="str">
        <f t="shared" si="670"/>
        <v>Option Year 7</v>
      </c>
      <c r="B463" s="6" t="str">
        <f t="shared" si="665"/>
        <v>Material Handling</v>
      </c>
      <c r="E463" s="698">
        <f>IF(E459="",0,INDEX(Input_Range,MATCH((C371&amp;B463),Input_Call,0),MATCH(E459,Input_Header,0)))</f>
        <v>0</v>
      </c>
      <c r="F463" s="698">
        <f>IF(F459="",0,INDEX(Input_Range,MATCH((C371&amp;B463),Input_Call,0),MATCH(F459,Input_Header,0)))</f>
        <v>0</v>
      </c>
      <c r="G463" s="698">
        <f>IF(G459="",0,INDEX(Input_Range,MATCH((C371&amp;B463),Input_Call,0),MATCH(G459,Input_Header,0)))</f>
        <v>0</v>
      </c>
      <c r="H463" s="698">
        <f>IF(H459="",0,INDEX(Input_Range,MATCH((C371&amp;B463),Input_Call,0),MATCH(H459,Input_Header,0)))</f>
        <v>0</v>
      </c>
      <c r="I463" s="698">
        <f>IF(I459="",0,INDEX(Input_Range,MATCH((C371&amp;B463),Input_Call,0),MATCH(I459,Input_Header,0)))</f>
        <v>0</v>
      </c>
      <c r="J463" s="698">
        <f>IF(J459="",0,INDEX(Input_Range,MATCH((C371&amp;B463),Input_Call,0),MATCH(J459,Input_Header,0)))</f>
        <v>0</v>
      </c>
      <c r="K463" s="698">
        <f>IF(K459="",0,INDEX(Input_Range,MATCH((C371&amp;B463),Input_Call,0),MATCH(K459,Input_Header,0)))</f>
        <v>0</v>
      </c>
      <c r="L463" s="698">
        <f>IF(L459="",0,INDEX(Input_Range,MATCH((C371&amp;B463),Input_Call,0),MATCH(L459,Input_Header,0)))</f>
        <v>0</v>
      </c>
      <c r="M463" s="698">
        <f>IF(M459="",0,INDEX(Input_Range,MATCH((C371&amp;B463),Input_Call,0),MATCH(M459,Input_Header,0)))</f>
        <v>0</v>
      </c>
      <c r="N463" s="698">
        <f>IF(N459="",0,INDEX(Input_Range,MATCH((C371&amp;B463),Input_Call,0),MATCH(N459,Input_Header,0)))</f>
        <v>0</v>
      </c>
      <c r="O463" s="698">
        <f>IF(O459="",0,INDEX(Input_Range,MATCH((C371&amp;B463),Input_Call,0),MATCH(O459,Input_Header,0)))</f>
        <v>0</v>
      </c>
      <c r="P463" s="698">
        <f>IF(P459="",0,INDEX(Input_Range,MATCH((C371&amp;B463),Input_Call,0),MATCH(P459,Input_Header,0)))</f>
        <v>0</v>
      </c>
      <c r="Q463" s="698">
        <f>IF(Q459="",0,INDEX(Input_Range,MATCH((C371&amp;B463),Input_Call,0),MATCH(Q459,Input_Header,0)))</f>
        <v>0</v>
      </c>
      <c r="R463" s="698">
        <f t="shared" si="671"/>
        <v>0</v>
      </c>
      <c r="T463" s="699">
        <f t="shared" si="672"/>
        <v>0</v>
      </c>
      <c r="U463" s="699">
        <f t="shared" si="673"/>
        <v>0</v>
      </c>
      <c r="V463" s="699">
        <f t="shared" si="674"/>
        <v>0</v>
      </c>
      <c r="W463" s="699">
        <f t="shared" si="675"/>
        <v>0</v>
      </c>
      <c r="X463" s="699">
        <f t="shared" si="676"/>
        <v>0</v>
      </c>
      <c r="Y463" s="699">
        <f t="shared" si="677"/>
        <v>0</v>
      </c>
      <c r="Z463" s="699">
        <f t="shared" si="678"/>
        <v>0</v>
      </c>
      <c r="AA463" s="699">
        <f t="shared" si="679"/>
        <v>0</v>
      </c>
      <c r="AB463" s="699">
        <f t="shared" si="680"/>
        <v>0</v>
      </c>
      <c r="AC463" s="699">
        <f t="shared" si="681"/>
        <v>0</v>
      </c>
      <c r="AD463" s="699">
        <f t="shared" si="682"/>
        <v>0</v>
      </c>
      <c r="AE463" s="699">
        <f t="shared" si="683"/>
        <v>0</v>
      </c>
      <c r="AF463" s="699">
        <f t="shared" si="684"/>
        <v>0</v>
      </c>
      <c r="AG463" s="699">
        <f t="shared" si="685"/>
        <v>0</v>
      </c>
      <c r="AI463" s="698" t="e">
        <f t="shared" si="667"/>
        <v>#DIV/0!</v>
      </c>
      <c r="AJ463" s="698"/>
      <c r="AK463" s="698"/>
      <c r="AL463" s="4" t="str">
        <f>$A463&amp;$C371&amp;InputSheet!C$44&amp;InputSheet!D$44</f>
        <v>Option Year 7ESDMHContr/Govt</v>
      </c>
      <c r="AM463" s="700" t="e">
        <f t="shared" si="668"/>
        <v>#DIV/0!</v>
      </c>
      <c r="AP463" s="387" t="e">
        <f t="shared" si="669"/>
        <v>#DIV/0!</v>
      </c>
    </row>
    <row r="464" spans="1:42">
      <c r="A464" s="6" t="str">
        <f t="shared" si="670"/>
        <v>Option Year 7</v>
      </c>
      <c r="B464" s="6" t="str">
        <f t="shared" si="665"/>
        <v>G&amp;A</v>
      </c>
      <c r="E464" s="698">
        <f>IF(E459="",0,INDEX(Input_Range,MATCH((C371&amp;B464),Input_Call,0),MATCH(E459,Input_Header,0)))</f>
        <v>0</v>
      </c>
      <c r="F464" s="698">
        <f>IF(F459="",0,INDEX(Input_Range,MATCH((C371&amp;B464),Input_Call,0),MATCH(F459,Input_Header,0)))</f>
        <v>0</v>
      </c>
      <c r="G464" s="698">
        <f>IF(G459="",0,INDEX(Input_Range,MATCH((C371&amp;B464),Input_Call,0),MATCH(G459,Input_Header,0)))</f>
        <v>0</v>
      </c>
      <c r="H464" s="698">
        <f>IF(H459="",0,INDEX(Input_Range,MATCH((C371&amp;B464),Input_Call,0),MATCH(H459,Input_Header,0)))</f>
        <v>0</v>
      </c>
      <c r="I464" s="698">
        <f>IF(I459="",0,INDEX(Input_Range,MATCH((C371&amp;B464),Input_Call,0),MATCH(I459,Input_Header,0)))</f>
        <v>0</v>
      </c>
      <c r="J464" s="698">
        <f>IF(J459="",0,INDEX(Input_Range,MATCH((C371&amp;B464),Input_Call,0),MATCH(J459,Input_Header,0)))</f>
        <v>0</v>
      </c>
      <c r="K464" s="698">
        <f>IF(K459="",0,INDEX(Input_Range,MATCH((C371&amp;B464),Input_Call,0),MATCH(K459,Input_Header,0)))</f>
        <v>0</v>
      </c>
      <c r="L464" s="698">
        <f>IF(L459="",0,INDEX(Input_Range,MATCH((C371&amp;B464),Input_Call,0),MATCH(L459,Input_Header,0)))</f>
        <v>0</v>
      </c>
      <c r="M464" s="698">
        <f>IF(M459="",0,INDEX(Input_Range,MATCH((C371&amp;B464),Input_Call,0),MATCH(M459,Input_Header,0)))</f>
        <v>0</v>
      </c>
      <c r="N464" s="698">
        <f>IF(N459="",0,INDEX(Input_Range,MATCH((C371&amp;B464),Input_Call,0),MATCH(N459,Input_Header,0)))</f>
        <v>0</v>
      </c>
      <c r="O464" s="698">
        <f>IF(O459="",0,INDEX(Input_Range,MATCH((C371&amp;B464),Input_Call,0),MATCH(O459,Input_Header,0)))</f>
        <v>0</v>
      </c>
      <c r="P464" s="698">
        <f>IF(P459="",0,INDEX(Input_Range,MATCH((C371&amp;B464),Input_Call,0),MATCH(P459,Input_Header,0)))</f>
        <v>0</v>
      </c>
      <c r="Q464" s="698">
        <f>IF(Q459="",0,INDEX(Input_Range,MATCH((C371&amp;B464),Input_Call,0),MATCH(Q459,Input_Header,0)))</f>
        <v>0</v>
      </c>
      <c r="R464" s="698">
        <f t="shared" si="671"/>
        <v>0</v>
      </c>
      <c r="T464" s="699">
        <f t="shared" si="672"/>
        <v>0</v>
      </c>
      <c r="U464" s="699">
        <f t="shared" si="673"/>
        <v>0</v>
      </c>
      <c r="V464" s="699">
        <f t="shared" si="674"/>
        <v>0</v>
      </c>
      <c r="W464" s="699">
        <f t="shared" si="675"/>
        <v>0</v>
      </c>
      <c r="X464" s="699">
        <f t="shared" si="676"/>
        <v>0</v>
      </c>
      <c r="Y464" s="699">
        <f t="shared" si="677"/>
        <v>0</v>
      </c>
      <c r="Z464" s="699">
        <f t="shared" si="678"/>
        <v>0</v>
      </c>
      <c r="AA464" s="699">
        <f t="shared" si="679"/>
        <v>0</v>
      </c>
      <c r="AB464" s="699">
        <f t="shared" si="680"/>
        <v>0</v>
      </c>
      <c r="AC464" s="699">
        <f t="shared" si="681"/>
        <v>0</v>
      </c>
      <c r="AD464" s="699">
        <f t="shared" si="682"/>
        <v>0</v>
      </c>
      <c r="AE464" s="699">
        <f t="shared" si="683"/>
        <v>0</v>
      </c>
      <c r="AF464" s="699">
        <f t="shared" si="684"/>
        <v>0</v>
      </c>
      <c r="AG464" s="699">
        <f t="shared" si="685"/>
        <v>0</v>
      </c>
      <c r="AI464" s="698" t="e">
        <f t="shared" si="667"/>
        <v>#DIV/0!</v>
      </c>
      <c r="AJ464" s="698"/>
      <c r="AK464" s="698"/>
      <c r="AL464" s="4" t="str">
        <f>$A464&amp;$C371&amp;InputSheet!C$45&amp;InputSheet!D$45</f>
        <v>Option Year 7ESDG&amp;AContr/Govt</v>
      </c>
      <c r="AM464" s="700" t="e">
        <f t="shared" si="668"/>
        <v>#DIV/0!</v>
      </c>
      <c r="AP464" s="387" t="e">
        <f t="shared" si="669"/>
        <v>#DIV/0!</v>
      </c>
    </row>
    <row r="465" spans="1:42" outlineLevel="1">
      <c r="A465" s="6" t="str">
        <f t="shared" si="670"/>
        <v>Option Year 7</v>
      </c>
      <c r="B465" s="6" t="str">
        <f t="shared" si="665"/>
        <v>TBD1</v>
      </c>
      <c r="E465" s="21">
        <f>IF(E459="",0,INDEX(Input_Range,MATCH((C371&amp;B465),Input_Call,0),MATCH(E459,Input_Header,0)))</f>
        <v>0</v>
      </c>
      <c r="F465" s="21">
        <f>IF(F459="",0,INDEX(Input_Range,MATCH((C371&amp;B465),Input_Call,0),MATCH(F459,Input_Header,0)))</f>
        <v>0</v>
      </c>
      <c r="G465" s="21">
        <f>IF(G459="",0,INDEX(Input_Range,MATCH((C371&amp;B465),Input_Call,0),MATCH(G459,Input_Header,0)))</f>
        <v>0</v>
      </c>
      <c r="H465" s="21">
        <f>IF(H459="",0,INDEX(Input_Range,MATCH((C371&amp;B465),Input_Call,0),MATCH(H459,Input_Header,0)))</f>
        <v>0</v>
      </c>
      <c r="I465" s="21">
        <f>IF(I459="",0,INDEX(Input_Range,MATCH((C371&amp;B465),Input_Call,0),MATCH(I459,Input_Header,0)))</f>
        <v>0</v>
      </c>
      <c r="J465" s="21">
        <f>IF(J459="",0,INDEX(Input_Range,MATCH((C371&amp;B465),Input_Call,0),MATCH(J459,Input_Header,0)))</f>
        <v>0</v>
      </c>
      <c r="K465" s="21">
        <f>IF(K459="",0,INDEX(Input_Range,MATCH((C371&amp;B465),Input_Call,0),MATCH(K459,Input_Header,0)))</f>
        <v>0</v>
      </c>
      <c r="L465" s="21">
        <f>IF(L459="",0,INDEX(Input_Range,MATCH((C371&amp;B465),Input_Call,0),MATCH(L459,Input_Header,0)))</f>
        <v>0</v>
      </c>
      <c r="M465" s="21">
        <f>IF(M459="",0,INDEX(Input_Range,MATCH((C371&amp;B465),Input_Call,0),MATCH(M459,Input_Header,0)))</f>
        <v>0</v>
      </c>
      <c r="N465" s="21">
        <f>IF(N459="",0,INDEX(Input_Range,MATCH((C371&amp;B465),Input_Call,0),MATCH(N459,Input_Header,0)))</f>
        <v>0</v>
      </c>
      <c r="O465" s="21">
        <f>IF(O459="",0,INDEX(Input_Range,MATCH((C371&amp;B465),Input_Call,0),MATCH(O459,Input_Header,0)))</f>
        <v>0</v>
      </c>
      <c r="P465" s="21">
        <f>IF(P459="",0,INDEX(Input_Range,MATCH((C371&amp;B465),Input_Call,0),MATCH(P459,Input_Header,0)))</f>
        <v>0</v>
      </c>
      <c r="Q465" s="21">
        <f>IF(Q459="",0,INDEX(Input_Range,MATCH((C371&amp;B465),Input_Call,0),MATCH(Q459,Input_Header,0)))</f>
        <v>0</v>
      </c>
      <c r="R465" s="698">
        <f t="shared" si="671"/>
        <v>0</v>
      </c>
      <c r="T465" s="699">
        <f t="shared" si="672"/>
        <v>0</v>
      </c>
      <c r="U465" s="699">
        <f t="shared" si="673"/>
        <v>0</v>
      </c>
      <c r="V465" s="699">
        <f t="shared" si="674"/>
        <v>0</v>
      </c>
      <c r="W465" s="699">
        <f t="shared" si="675"/>
        <v>0</v>
      </c>
      <c r="X465" s="699">
        <f t="shared" si="676"/>
        <v>0</v>
      </c>
      <c r="Y465" s="699">
        <f t="shared" si="677"/>
        <v>0</v>
      </c>
      <c r="Z465" s="699">
        <f t="shared" si="678"/>
        <v>0</v>
      </c>
      <c r="AA465" s="699">
        <f t="shared" si="679"/>
        <v>0</v>
      </c>
      <c r="AB465" s="699">
        <f t="shared" si="680"/>
        <v>0</v>
      </c>
      <c r="AC465" s="699">
        <f t="shared" si="681"/>
        <v>0</v>
      </c>
      <c r="AD465" s="699">
        <f t="shared" si="682"/>
        <v>0</v>
      </c>
      <c r="AE465" s="699">
        <f t="shared" si="683"/>
        <v>0</v>
      </c>
      <c r="AF465" s="699">
        <f t="shared" si="684"/>
        <v>0</v>
      </c>
      <c r="AG465" s="699">
        <f t="shared" si="685"/>
        <v>0</v>
      </c>
      <c r="AI465" s="698" t="e">
        <f t="shared" si="667"/>
        <v>#DIV/0!</v>
      </c>
      <c r="AJ465" s="21"/>
      <c r="AK465" s="21"/>
      <c r="AL465" s="4" t="str">
        <f>$A465&amp;$C371&amp;InputSheet!C$46&amp;InputSheet!D$46</f>
        <v>Option Year 7ESDTBD1Contr/Govt</v>
      </c>
      <c r="AM465" s="700" t="e">
        <f t="shared" si="668"/>
        <v>#DIV/0!</v>
      </c>
      <c r="AP465" s="387" t="e">
        <f t="shared" si="669"/>
        <v>#DIV/0!</v>
      </c>
    </row>
    <row r="466" spans="1:42" outlineLevel="1">
      <c r="A466" s="6" t="str">
        <f t="shared" si="670"/>
        <v>Option Year 7</v>
      </c>
      <c r="B466" s="6" t="str">
        <f t="shared" si="665"/>
        <v>TBD2</v>
      </c>
      <c r="E466" s="21">
        <f>IF(E459="",0,INDEX(Input_Range,MATCH((C371&amp;B466),Input_Call,0),MATCH(E459,Input_Header,0)))</f>
        <v>0</v>
      </c>
      <c r="F466" s="21">
        <f>IF(F459="",0,INDEX(Input_Range,MATCH((C371&amp;B466),Input_Call,0),MATCH(F459,Input_Header,0)))</f>
        <v>0</v>
      </c>
      <c r="G466" s="21">
        <f>IF(G459="",0,INDEX(Input_Range,MATCH((C371&amp;B466),Input_Call,0),MATCH(G459,Input_Header,0)))</f>
        <v>0</v>
      </c>
      <c r="H466" s="21">
        <f>IF(H459="",0,INDEX(Input_Range,MATCH((C371&amp;B466),Input_Call,0),MATCH(H459,Input_Header,0)))</f>
        <v>0</v>
      </c>
      <c r="I466" s="21">
        <f>IF(I459="",0,INDEX(Input_Range,MATCH((C371&amp;B466),Input_Call,0),MATCH(I459,Input_Header,0)))</f>
        <v>0</v>
      </c>
      <c r="J466" s="21">
        <f>IF(J459="",0,INDEX(Input_Range,MATCH((C371&amp;B466),Input_Call,0),MATCH(J459,Input_Header,0)))</f>
        <v>0</v>
      </c>
      <c r="K466" s="21">
        <f>IF(K459="",0,INDEX(Input_Range,MATCH((C371&amp;B466),Input_Call,0),MATCH(K459,Input_Header,0)))</f>
        <v>0</v>
      </c>
      <c r="L466" s="21">
        <f>IF(L459="",0,INDEX(Input_Range,MATCH((C371&amp;B466),Input_Call,0),MATCH(L459,Input_Header,0)))</f>
        <v>0</v>
      </c>
      <c r="M466" s="21">
        <f>IF(M459="",0,INDEX(Input_Range,MATCH((C371&amp;B466),Input_Call,0),MATCH(M459,Input_Header,0)))</f>
        <v>0</v>
      </c>
      <c r="N466" s="21">
        <f>IF(N459="",0,INDEX(Input_Range,MATCH((C371&amp;B466),Input_Call,0),MATCH(N459,Input_Header,0)))</f>
        <v>0</v>
      </c>
      <c r="O466" s="21">
        <f>IF(O459="",0,INDEX(Input_Range,MATCH((C371&amp;B466),Input_Call,0),MATCH(O459,Input_Header,0)))</f>
        <v>0</v>
      </c>
      <c r="P466" s="21">
        <f>IF(P459="",0,INDEX(Input_Range,MATCH((C371&amp;B466),Input_Call,0),MATCH(P459,Input_Header,0)))</f>
        <v>0</v>
      </c>
      <c r="Q466" s="21">
        <f>IF(Q459="",0,INDEX(Input_Range,MATCH((C371&amp;B466),Input_Call,0),MATCH(Q459,Input_Header,0)))</f>
        <v>0</v>
      </c>
      <c r="R466" s="698">
        <f t="shared" si="671"/>
        <v>0</v>
      </c>
      <c r="T466" s="699">
        <f t="shared" si="672"/>
        <v>0</v>
      </c>
      <c r="U466" s="699">
        <f t="shared" si="673"/>
        <v>0</v>
      </c>
      <c r="V466" s="699">
        <f t="shared" si="674"/>
        <v>0</v>
      </c>
      <c r="W466" s="699">
        <f t="shared" si="675"/>
        <v>0</v>
      </c>
      <c r="X466" s="699">
        <f t="shared" si="676"/>
        <v>0</v>
      </c>
      <c r="Y466" s="699">
        <f t="shared" si="677"/>
        <v>0</v>
      </c>
      <c r="Z466" s="699">
        <f t="shared" si="678"/>
        <v>0</v>
      </c>
      <c r="AA466" s="699">
        <f t="shared" si="679"/>
        <v>0</v>
      </c>
      <c r="AB466" s="699">
        <f t="shared" si="680"/>
        <v>0</v>
      </c>
      <c r="AC466" s="699">
        <f t="shared" si="681"/>
        <v>0</v>
      </c>
      <c r="AD466" s="699">
        <f t="shared" si="682"/>
        <v>0</v>
      </c>
      <c r="AE466" s="699">
        <f t="shared" si="683"/>
        <v>0</v>
      </c>
      <c r="AF466" s="699">
        <f t="shared" si="684"/>
        <v>0</v>
      </c>
      <c r="AG466" s="699">
        <f t="shared" si="685"/>
        <v>0</v>
      </c>
      <c r="AI466" s="698" t="e">
        <f t="shared" si="667"/>
        <v>#DIV/0!</v>
      </c>
      <c r="AJ466" s="21"/>
      <c r="AK466" s="21"/>
      <c r="AL466" s="4" t="str">
        <f>$A466&amp;$C371&amp;InputSheet!C$47&amp;InputSheet!D$47</f>
        <v>Option Year 7ESDTBD2Contr/Govt</v>
      </c>
      <c r="AM466" s="700" t="e">
        <f t="shared" si="668"/>
        <v>#DIV/0!</v>
      </c>
      <c r="AP466" s="387" t="e">
        <f t="shared" si="669"/>
        <v>#DIV/0!</v>
      </c>
    </row>
    <row r="467" spans="1:42" outlineLevel="1">
      <c r="A467" s="6" t="str">
        <f t="shared" si="670"/>
        <v>Option Year 7</v>
      </c>
      <c r="B467" s="6" t="str">
        <f t="shared" si="665"/>
        <v>TBD3</v>
      </c>
      <c r="E467" s="21">
        <f>IF(E459="",0,INDEX(Input_Range,MATCH((C371&amp;B467),Input_Call,0),MATCH(E459,Input_Header,0)))</f>
        <v>0</v>
      </c>
      <c r="F467" s="21">
        <f>IF(F459="",0,INDEX(Input_Range,MATCH((C371&amp;B467),Input_Call,0),MATCH(F459,Input_Header,0)))</f>
        <v>0</v>
      </c>
      <c r="G467" s="21">
        <f>IF(G459="",0,INDEX(Input_Range,MATCH((C371&amp;B467),Input_Call,0),MATCH(G459,Input_Header,0)))</f>
        <v>0</v>
      </c>
      <c r="H467" s="21">
        <f>IF(H459="",0,INDEX(Input_Range,MATCH((C371&amp;B467),Input_Call,0),MATCH(H459,Input_Header,0)))</f>
        <v>0</v>
      </c>
      <c r="I467" s="21">
        <f>IF(I459="",0,INDEX(Input_Range,MATCH((C371&amp;B467),Input_Call,0),MATCH(I459,Input_Header,0)))</f>
        <v>0</v>
      </c>
      <c r="J467" s="21">
        <f>IF(J459="",0,INDEX(Input_Range,MATCH((C371&amp;B467),Input_Call,0),MATCH(J459,Input_Header,0)))</f>
        <v>0</v>
      </c>
      <c r="K467" s="21">
        <f>IF(K459="",0,INDEX(Input_Range,MATCH((C371&amp;B467),Input_Call,0),MATCH(K459,Input_Header,0)))</f>
        <v>0</v>
      </c>
      <c r="L467" s="21">
        <f>IF(L459="",0,INDEX(Input_Range,MATCH((C371&amp;B467),Input_Call,0),MATCH(L459,Input_Header,0)))</f>
        <v>0</v>
      </c>
      <c r="M467" s="21">
        <f>IF(M459="",0,INDEX(Input_Range,MATCH((C371&amp;B467),Input_Call,0),MATCH(M459,Input_Header,0)))</f>
        <v>0</v>
      </c>
      <c r="N467" s="21">
        <f>IF(N459="",0,INDEX(Input_Range,MATCH((C371&amp;B467),Input_Call,0),MATCH(N459,Input_Header,0)))</f>
        <v>0</v>
      </c>
      <c r="O467" s="21">
        <f>IF(O459="",0,INDEX(Input_Range,MATCH((C371&amp;B467),Input_Call,0),MATCH(O459,Input_Header,0)))</f>
        <v>0</v>
      </c>
      <c r="P467" s="21">
        <f>IF(P459="",0,INDEX(Input_Range,MATCH((C371&amp;B467),Input_Call,0),MATCH(P459,Input_Header,0)))</f>
        <v>0</v>
      </c>
      <c r="Q467" s="21">
        <f>IF(Q459="",0,INDEX(Input_Range,MATCH((C371&amp;B467),Input_Call,0),MATCH(Q459,Input_Header,0)))</f>
        <v>0</v>
      </c>
      <c r="R467" s="698">
        <f t="shared" si="671"/>
        <v>0</v>
      </c>
      <c r="T467" s="699">
        <f t="shared" si="672"/>
        <v>0</v>
      </c>
      <c r="U467" s="699">
        <f t="shared" si="673"/>
        <v>0</v>
      </c>
      <c r="V467" s="699">
        <f t="shared" si="674"/>
        <v>0</v>
      </c>
      <c r="W467" s="699">
        <f t="shared" si="675"/>
        <v>0</v>
      </c>
      <c r="X467" s="699">
        <f t="shared" si="676"/>
        <v>0</v>
      </c>
      <c r="Y467" s="699">
        <f t="shared" si="677"/>
        <v>0</v>
      </c>
      <c r="Z467" s="699">
        <f t="shared" si="678"/>
        <v>0</v>
      </c>
      <c r="AA467" s="699">
        <f t="shared" si="679"/>
        <v>0</v>
      </c>
      <c r="AB467" s="699">
        <f t="shared" si="680"/>
        <v>0</v>
      </c>
      <c r="AC467" s="699">
        <f t="shared" si="681"/>
        <v>0</v>
      </c>
      <c r="AD467" s="699">
        <f t="shared" si="682"/>
        <v>0</v>
      </c>
      <c r="AE467" s="699">
        <f t="shared" si="683"/>
        <v>0</v>
      </c>
      <c r="AF467" s="699">
        <f t="shared" si="684"/>
        <v>0</v>
      </c>
      <c r="AG467" s="699">
        <f t="shared" si="685"/>
        <v>0</v>
      </c>
      <c r="AI467" s="698" t="e">
        <f t="shared" si="667"/>
        <v>#DIV/0!</v>
      </c>
      <c r="AJ467" s="21"/>
      <c r="AK467" s="21"/>
      <c r="AL467" s="4" t="str">
        <f>$A467&amp;$C371&amp;InputSheet!C$48&amp;InputSheet!D$48</f>
        <v>Option Year 7ESDTBD3Contr/Govt</v>
      </c>
      <c r="AM467" s="700" t="e">
        <f t="shared" si="668"/>
        <v>#DIV/0!</v>
      </c>
      <c r="AP467" s="387" t="e">
        <f t="shared" si="669"/>
        <v>#DIV/0!</v>
      </c>
    </row>
    <row r="468" spans="1:42">
      <c r="E468" s="698"/>
      <c r="F468" s="698"/>
      <c r="G468" s="698"/>
      <c r="H468" s="698"/>
      <c r="I468" s="698"/>
      <c r="J468" s="698"/>
      <c r="K468" s="698"/>
      <c r="L468" s="698"/>
      <c r="M468" s="698"/>
      <c r="N468" s="698"/>
      <c r="O468" s="698"/>
      <c r="P468" s="698"/>
      <c r="Q468" s="698"/>
      <c r="R468" s="698"/>
      <c r="AI468" s="21"/>
      <c r="AJ468" s="21"/>
      <c r="AK468" s="21"/>
      <c r="AP468" s="387" t="str">
        <f t="shared" si="669"/>
        <v>1</v>
      </c>
    </row>
    <row r="469" spans="1:42">
      <c r="A469" s="530" t="str">
        <f>B469</f>
        <v>Option Year 8</v>
      </c>
      <c r="B469" s="691" t="str">
        <f>InputSheet!$C$30</f>
        <v>Option Year 8</v>
      </c>
      <c r="AP469" s="387" t="str">
        <f t="shared" si="669"/>
        <v>1</v>
      </c>
    </row>
    <row r="470" spans="1:42">
      <c r="B470" s="314" t="s">
        <v>587</v>
      </c>
      <c r="C470" s="692" t="s">
        <v>588</v>
      </c>
      <c r="E470" s="1216" t="str">
        <f>"Indirect Rates - "&amp;C$371</f>
        <v>Indirect Rates - ESD</v>
      </c>
      <c r="F470" s="1216"/>
      <c r="G470" s="1216"/>
      <c r="H470" s="1216"/>
      <c r="I470" s="1216"/>
      <c r="J470" s="1216"/>
      <c r="K470" s="1216"/>
      <c r="L470" s="1216"/>
      <c r="M470" s="1216"/>
      <c r="N470" s="1216"/>
      <c r="O470" s="1216"/>
      <c r="P470" s="1216"/>
      <c r="Q470" s="1216"/>
      <c r="R470" s="1216"/>
      <c r="S470" s="844"/>
      <c r="T470" s="1217" t="s">
        <v>794</v>
      </c>
      <c r="U470" s="1217"/>
      <c r="V470" s="1217"/>
      <c r="W470" s="1217"/>
      <c r="X470" s="1217"/>
      <c r="Y470" s="1217"/>
      <c r="Z470" s="1217"/>
      <c r="AA470" s="1217"/>
      <c r="AB470" s="1217"/>
      <c r="AC470" s="1217"/>
      <c r="AD470" s="1217"/>
      <c r="AE470" s="1217"/>
      <c r="AF470" s="1217"/>
      <c r="AG470" s="1217"/>
      <c r="AI470" s="692" t="s">
        <v>615</v>
      </c>
      <c r="AJ470" s="50"/>
      <c r="AK470" s="50"/>
      <c r="AP470" s="387" t="str">
        <f t="shared" si="669"/>
        <v>1</v>
      </c>
    </row>
    <row r="471" spans="1:42">
      <c r="B471" s="693">
        <f>VLOOKUP(A469,InputSheet!$C$8:$E$37,2,FALSE)</f>
        <v>1097</v>
      </c>
      <c r="C471" s="694">
        <f>VLOOKUP(A469,InputSheet!$C$8:$E$37,3,FALSE)</f>
        <v>1461</v>
      </c>
      <c r="E471" s="695">
        <f t="shared" ref="E471:R471" si="686">E459</f>
        <v>2009</v>
      </c>
      <c r="F471" s="695">
        <f t="shared" si="686"/>
        <v>2010</v>
      </c>
      <c r="G471" s="695">
        <f t="shared" si="686"/>
        <v>2011</v>
      </c>
      <c r="H471" s="695">
        <f t="shared" si="686"/>
        <v>2012</v>
      </c>
      <c r="I471" s="695">
        <f t="shared" si="686"/>
        <v>2013</v>
      </c>
      <c r="J471" s="695">
        <f t="shared" si="686"/>
        <v>2014</v>
      </c>
      <c r="K471" s="695">
        <f t="shared" si="686"/>
        <v>2015</v>
      </c>
      <c r="L471" s="695">
        <f t="shared" si="686"/>
        <v>2016</v>
      </c>
      <c r="M471" s="695">
        <f t="shared" si="686"/>
        <v>2017</v>
      </c>
      <c r="N471" s="695">
        <f t="shared" si="686"/>
        <v>2018</v>
      </c>
      <c r="O471" s="695">
        <f t="shared" si="686"/>
        <v>2019</v>
      </c>
      <c r="P471" s="695">
        <f t="shared" si="686"/>
        <v>2020</v>
      </c>
      <c r="Q471" s="695">
        <f t="shared" si="686"/>
        <v>2021</v>
      </c>
      <c r="R471" s="695">
        <f t="shared" si="686"/>
        <v>2022</v>
      </c>
      <c r="S471" s="680"/>
      <c r="T471" s="695">
        <f t="shared" ref="T471:AG471" si="687">T459</f>
        <v>2009</v>
      </c>
      <c r="U471" s="695">
        <f t="shared" si="687"/>
        <v>2010</v>
      </c>
      <c r="V471" s="695">
        <f t="shared" si="687"/>
        <v>2011</v>
      </c>
      <c r="W471" s="695">
        <f t="shared" si="687"/>
        <v>2012</v>
      </c>
      <c r="X471" s="695">
        <f t="shared" si="687"/>
        <v>2013</v>
      </c>
      <c r="Y471" s="695">
        <f t="shared" si="687"/>
        <v>2014</v>
      </c>
      <c r="Z471" s="695">
        <f t="shared" si="687"/>
        <v>2015</v>
      </c>
      <c r="AA471" s="695">
        <f t="shared" si="687"/>
        <v>2016</v>
      </c>
      <c r="AB471" s="695">
        <f t="shared" si="687"/>
        <v>2017</v>
      </c>
      <c r="AC471" s="695">
        <f t="shared" si="687"/>
        <v>2018</v>
      </c>
      <c r="AD471" s="695">
        <f t="shared" si="687"/>
        <v>2019</v>
      </c>
      <c r="AE471" s="695">
        <f t="shared" si="687"/>
        <v>2020</v>
      </c>
      <c r="AF471" s="695">
        <f t="shared" si="687"/>
        <v>2021</v>
      </c>
      <c r="AG471" s="695">
        <f t="shared" si="687"/>
        <v>2022</v>
      </c>
      <c r="AI471" s="696" t="str">
        <f>B469</f>
        <v>Option Year 8</v>
      </c>
      <c r="AJ471" s="28"/>
      <c r="AK471" s="28"/>
      <c r="AP471" s="387" t="str">
        <f t="shared" si="669"/>
        <v>1</v>
      </c>
    </row>
    <row r="472" spans="1:42">
      <c r="A472" s="6" t="str">
        <f>A469</f>
        <v>Option Year 8</v>
      </c>
      <c r="B472" s="6" t="str">
        <f t="shared" ref="B472:B479" si="688">B460</f>
        <v>PRB</v>
      </c>
      <c r="E472" s="698">
        <f>IF(E471="",0,INDEX(Input_Range,MATCH((C371&amp;B472),Input_Call,0),MATCH(E471,Input_Header,0)))</f>
        <v>0</v>
      </c>
      <c r="F472" s="698">
        <f>IF(F471="",0,INDEX(Input_Range,MATCH((C371&amp;B472),Input_Call,0),MATCH(F471,Input_Header,0)))</f>
        <v>0</v>
      </c>
      <c r="G472" s="698">
        <f>IF(G471="",0,INDEX(Input_Range,MATCH((C371&amp;B472),Input_Call,0),MATCH(G471,Input_Header,0)))</f>
        <v>0</v>
      </c>
      <c r="H472" s="698">
        <f>IF(H471="",0,INDEX(Input_Range,MATCH((C371&amp;B472),Input_Call,0),MATCH(H471,Input_Header,0)))</f>
        <v>0</v>
      </c>
      <c r="I472" s="698">
        <f>IF(I471="",0,INDEX(Input_Range,MATCH((C371&amp;B472),Input_Call,0),MATCH(I471,Input_Header,0)))</f>
        <v>0</v>
      </c>
      <c r="J472" s="698">
        <f>IF(J471="",0,INDEX(Input_Range,MATCH((C371&amp;B472),Input_Call,0),MATCH(J471,Input_Header,0)))</f>
        <v>0</v>
      </c>
      <c r="K472" s="698">
        <f>IF(K471="",0,INDEX(Input_Range,MATCH((C371&amp;B472),Input_Call,0),MATCH(K471,Input_Header,0)))</f>
        <v>0</v>
      </c>
      <c r="L472" s="698">
        <f>IF(L471="",0,INDEX(Input_Range,MATCH((C371&amp;B472),Input_Call,0),MATCH(L471,Input_Header,0)))</f>
        <v>0</v>
      </c>
      <c r="M472" s="698">
        <f>IF(M471="",0,INDEX(Input_Range,MATCH((C371&amp;B472),Input_Call,0),MATCH(M471,Input_Header,0)))</f>
        <v>0</v>
      </c>
      <c r="N472" s="698">
        <f>IF(N471="",0,INDEX(Input_Range,MATCH((C371&amp;B472),Input_Call,0),MATCH(N471,Input_Header,0)))</f>
        <v>0</v>
      </c>
      <c r="O472" s="698">
        <f>IF(O471="",0,INDEX(Input_Range,MATCH((C371&amp;B472),Input_Call,0),MATCH(O471,Input_Header,0)))</f>
        <v>0</v>
      </c>
      <c r="P472" s="698">
        <f>IF(P471="",0,INDEX(Input_Range,MATCH((C371&amp;B472),Input_Call,0),MATCH(P471,Input_Header,0)))</f>
        <v>0</v>
      </c>
      <c r="Q472" s="698">
        <f>IF(Q471="",0,INDEX(Input_Range,MATCH((C371&amp;B472),Input_Call,0),MATCH(Q471,Input_Header,0)))</f>
        <v>0</v>
      </c>
      <c r="R472" s="698">
        <f>Q472</f>
        <v>0</v>
      </c>
      <c r="T472" s="699">
        <f t="shared" ref="T472:AG472" si="689">ROUND((MAX(0,(MIN($C471,DATE(T471,12,31))-MAX($B471,DATE(T471,1,1))+1)))/30.41667,0)</f>
        <v>0</v>
      </c>
      <c r="U472" s="699">
        <f t="shared" si="689"/>
        <v>0</v>
      </c>
      <c r="V472" s="699">
        <f t="shared" si="689"/>
        <v>0</v>
      </c>
      <c r="W472" s="699">
        <f t="shared" si="689"/>
        <v>0</v>
      </c>
      <c r="X472" s="699">
        <f t="shared" si="689"/>
        <v>0</v>
      </c>
      <c r="Y472" s="699">
        <f t="shared" si="689"/>
        <v>0</v>
      </c>
      <c r="Z472" s="699">
        <f t="shared" si="689"/>
        <v>0</v>
      </c>
      <c r="AA472" s="699">
        <f t="shared" si="689"/>
        <v>0</v>
      </c>
      <c r="AB472" s="699">
        <f t="shared" si="689"/>
        <v>0</v>
      </c>
      <c r="AC472" s="699">
        <f t="shared" si="689"/>
        <v>0</v>
      </c>
      <c r="AD472" s="699">
        <f t="shared" si="689"/>
        <v>0</v>
      </c>
      <c r="AE472" s="699">
        <f t="shared" si="689"/>
        <v>0</v>
      </c>
      <c r="AF472" s="699">
        <f t="shared" si="689"/>
        <v>0</v>
      </c>
      <c r="AG472" s="699">
        <f t="shared" si="689"/>
        <v>0</v>
      </c>
      <c r="AI472" s="698" t="e">
        <f t="shared" ref="AI472:AI479" si="690">ROUND(SUMPRODUCT(E472:R472,T472:AG472)/SUM(T472:AG472),4)</f>
        <v>#DIV/0!</v>
      </c>
      <c r="AJ472" s="698"/>
      <c r="AK472" s="698"/>
      <c r="AL472" s="4" t="str">
        <f>$A472&amp;$C371&amp;InputSheet!C$41&amp;InputSheet!D$41</f>
        <v>Option Year 8ESDPRBContr/Govt</v>
      </c>
      <c r="AM472" s="700" t="e">
        <f t="shared" ref="AM472:AM479" si="691">AI472</f>
        <v>#DIV/0!</v>
      </c>
      <c r="AP472" s="387" t="e">
        <f t="shared" si="669"/>
        <v>#DIV/0!</v>
      </c>
    </row>
    <row r="473" spans="1:42">
      <c r="A473" s="6" t="str">
        <f t="shared" ref="A473:A479" si="692">A472</f>
        <v>Option Year 8</v>
      </c>
      <c r="B473" s="6" t="str">
        <f t="shared" si="688"/>
        <v>Overhead - Offsite</v>
      </c>
      <c r="E473" s="698">
        <f>IF(E471="",0,INDEX(Input_Range,MATCH((C371&amp;B473),Input_Call,0),MATCH(E471,Input_Header,0)))</f>
        <v>0</v>
      </c>
      <c r="F473" s="698">
        <f>IF(F471="",0,INDEX(Input_Range,MATCH((C371&amp;B473),Input_Call,0),MATCH(F471,Input_Header,0)))</f>
        <v>0</v>
      </c>
      <c r="G473" s="698">
        <f>IF(G471="",0,INDEX(Input_Range,MATCH((C371&amp;B473),Input_Call,0),MATCH(G471,Input_Header,0)))</f>
        <v>0</v>
      </c>
      <c r="H473" s="698">
        <f>IF(H471="",0,INDEX(Input_Range,MATCH((C371&amp;B473),Input_Call,0),MATCH(H471,Input_Header,0)))</f>
        <v>0</v>
      </c>
      <c r="I473" s="698">
        <f>IF(I471="",0,INDEX(Input_Range,MATCH((C371&amp;B473),Input_Call,0),MATCH(I471,Input_Header,0)))</f>
        <v>0</v>
      </c>
      <c r="J473" s="698">
        <f>IF(J471="",0,INDEX(Input_Range,MATCH((C371&amp;B473),Input_Call,0),MATCH(J471,Input_Header,0)))</f>
        <v>0</v>
      </c>
      <c r="K473" s="698">
        <f>IF(K471="",0,INDEX(Input_Range,MATCH((C371&amp;B473),Input_Call,0),MATCH(K471,Input_Header,0)))</f>
        <v>0</v>
      </c>
      <c r="L473" s="698">
        <f>IF(L471="",0,INDEX(Input_Range,MATCH((C371&amp;B473),Input_Call,0),MATCH(L471,Input_Header,0)))</f>
        <v>0</v>
      </c>
      <c r="M473" s="698">
        <f>IF(M471="",0,INDEX(Input_Range,MATCH((C371&amp;B473),Input_Call,0),MATCH(M471,Input_Header,0)))</f>
        <v>0</v>
      </c>
      <c r="N473" s="698">
        <f>IF(N471="",0,INDEX(Input_Range,MATCH((C371&amp;B473),Input_Call,0),MATCH(N471,Input_Header,0)))</f>
        <v>0</v>
      </c>
      <c r="O473" s="698">
        <f>IF(O471="",0,INDEX(Input_Range,MATCH((C371&amp;B473),Input_Call,0),MATCH(O471,Input_Header,0)))</f>
        <v>0</v>
      </c>
      <c r="P473" s="698">
        <f>IF(P471="",0,INDEX(Input_Range,MATCH((C371&amp;B473),Input_Call,0),MATCH(P471,Input_Header,0)))</f>
        <v>0</v>
      </c>
      <c r="Q473" s="698">
        <f>IF(Q471="",0,INDEX(Input_Range,MATCH((C371&amp;B473),Input_Call,0),MATCH(Q471,Input_Header,0)))</f>
        <v>0</v>
      </c>
      <c r="R473" s="698">
        <f t="shared" ref="R473:R479" si="693">Q473</f>
        <v>0</v>
      </c>
      <c r="T473" s="699">
        <f t="shared" ref="T473:T479" si="694">T472</f>
        <v>0</v>
      </c>
      <c r="U473" s="699">
        <f t="shared" ref="U473:U479" si="695">U472</f>
        <v>0</v>
      </c>
      <c r="V473" s="699">
        <f t="shared" ref="V473:V479" si="696">V472</f>
        <v>0</v>
      </c>
      <c r="W473" s="699">
        <f t="shared" ref="W473:W479" si="697">W472</f>
        <v>0</v>
      </c>
      <c r="X473" s="699">
        <f t="shared" ref="X473:X479" si="698">X472</f>
        <v>0</v>
      </c>
      <c r="Y473" s="699">
        <f t="shared" ref="Y473:Y479" si="699">Y472</f>
        <v>0</v>
      </c>
      <c r="Z473" s="699">
        <f t="shared" ref="Z473:Z479" si="700">Z472</f>
        <v>0</v>
      </c>
      <c r="AA473" s="699">
        <f t="shared" ref="AA473:AA479" si="701">AA472</f>
        <v>0</v>
      </c>
      <c r="AB473" s="699">
        <f t="shared" ref="AB473:AB479" si="702">AB472</f>
        <v>0</v>
      </c>
      <c r="AC473" s="699">
        <f t="shared" ref="AC473:AC479" si="703">AC472</f>
        <v>0</v>
      </c>
      <c r="AD473" s="699">
        <f t="shared" ref="AD473:AD479" si="704">AD472</f>
        <v>0</v>
      </c>
      <c r="AE473" s="699">
        <f t="shared" ref="AE473:AE479" si="705">AE472</f>
        <v>0</v>
      </c>
      <c r="AF473" s="699">
        <f t="shared" ref="AF473:AF479" si="706">AF472</f>
        <v>0</v>
      </c>
      <c r="AG473" s="699">
        <f t="shared" ref="AG473:AG479" si="707">AG472</f>
        <v>0</v>
      </c>
      <c r="AI473" s="698" t="e">
        <f t="shared" si="690"/>
        <v>#DIV/0!</v>
      </c>
      <c r="AJ473" s="698"/>
      <c r="AK473" s="698"/>
      <c r="AL473" s="4" t="str">
        <f>$A473&amp;$C371&amp;InputSheet!C$42&amp;InputSheet!D$42</f>
        <v>Option Year 8ESDOverheadContr</v>
      </c>
      <c r="AM473" s="700" t="e">
        <f t="shared" si="691"/>
        <v>#DIV/0!</v>
      </c>
      <c r="AP473" s="387" t="e">
        <f t="shared" si="669"/>
        <v>#DIV/0!</v>
      </c>
    </row>
    <row r="474" spans="1:42">
      <c r="A474" s="6" t="str">
        <f t="shared" si="692"/>
        <v>Option Year 8</v>
      </c>
      <c r="B474" s="6" t="str">
        <f t="shared" si="688"/>
        <v>Overhead - Onsite</v>
      </c>
      <c r="E474" s="698">
        <f>IF(E471="",0,INDEX(Input_Range,MATCH((C371&amp;B474),Input_Call,0),MATCH(E471,Input_Header,0)))</f>
        <v>0</v>
      </c>
      <c r="F474" s="698">
        <f>IF(F471="",0,INDEX(Input_Range,MATCH((C371&amp;B474),Input_Call,0),MATCH(F471,Input_Header,0)))</f>
        <v>0</v>
      </c>
      <c r="G474" s="698">
        <f>IF(G471="",0,INDEX(Input_Range,MATCH((C371&amp;B474),Input_Call,0),MATCH(G471,Input_Header,0)))</f>
        <v>0</v>
      </c>
      <c r="H474" s="698">
        <f>IF(H471="",0,INDEX(Input_Range,MATCH((C371&amp;B474),Input_Call,0),MATCH(H471,Input_Header,0)))</f>
        <v>0</v>
      </c>
      <c r="I474" s="698">
        <f>IF(I471="",0,INDEX(Input_Range,MATCH((C371&amp;B474),Input_Call,0),MATCH(I471,Input_Header,0)))</f>
        <v>0</v>
      </c>
      <c r="J474" s="698">
        <f>IF(J471="",0,INDEX(Input_Range,MATCH((C371&amp;B474),Input_Call,0),MATCH(J471,Input_Header,0)))</f>
        <v>0</v>
      </c>
      <c r="K474" s="698">
        <f>IF(K471="",0,INDEX(Input_Range,MATCH((C371&amp;B474),Input_Call,0),MATCH(K471,Input_Header,0)))</f>
        <v>0</v>
      </c>
      <c r="L474" s="698">
        <f>IF(L471="",0,INDEX(Input_Range,MATCH((C371&amp;B474),Input_Call,0),MATCH(L471,Input_Header,0)))</f>
        <v>0</v>
      </c>
      <c r="M474" s="698">
        <f>IF(M471="",0,INDEX(Input_Range,MATCH((C371&amp;B474),Input_Call,0),MATCH(M471,Input_Header,0)))</f>
        <v>0</v>
      </c>
      <c r="N474" s="698">
        <f>IF(N471="",0,INDEX(Input_Range,MATCH((C371&amp;B474),Input_Call,0),MATCH(N471,Input_Header,0)))</f>
        <v>0</v>
      </c>
      <c r="O474" s="698">
        <f>IF(O471="",0,INDEX(Input_Range,MATCH((C371&amp;B474),Input_Call,0),MATCH(O471,Input_Header,0)))</f>
        <v>0</v>
      </c>
      <c r="P474" s="698">
        <f>IF(P471="",0,INDEX(Input_Range,MATCH((C371&amp;B474),Input_Call,0),MATCH(P471,Input_Header,0)))</f>
        <v>0</v>
      </c>
      <c r="Q474" s="698">
        <f>IF(Q471="",0,INDEX(Input_Range,MATCH((C371&amp;B474),Input_Call,0),MATCH(Q471,Input_Header,0)))</f>
        <v>0</v>
      </c>
      <c r="R474" s="698">
        <f t="shared" si="693"/>
        <v>0</v>
      </c>
      <c r="T474" s="699">
        <f t="shared" si="694"/>
        <v>0</v>
      </c>
      <c r="U474" s="699">
        <f t="shared" si="695"/>
        <v>0</v>
      </c>
      <c r="V474" s="699">
        <f t="shared" si="696"/>
        <v>0</v>
      </c>
      <c r="W474" s="699">
        <f t="shared" si="697"/>
        <v>0</v>
      </c>
      <c r="X474" s="699">
        <f t="shared" si="698"/>
        <v>0</v>
      </c>
      <c r="Y474" s="699">
        <f t="shared" si="699"/>
        <v>0</v>
      </c>
      <c r="Z474" s="699">
        <f t="shared" si="700"/>
        <v>0</v>
      </c>
      <c r="AA474" s="699">
        <f t="shared" si="701"/>
        <v>0</v>
      </c>
      <c r="AB474" s="699">
        <f t="shared" si="702"/>
        <v>0</v>
      </c>
      <c r="AC474" s="699">
        <f t="shared" si="703"/>
        <v>0</v>
      </c>
      <c r="AD474" s="699">
        <f t="shared" si="704"/>
        <v>0</v>
      </c>
      <c r="AE474" s="699">
        <f t="shared" si="705"/>
        <v>0</v>
      </c>
      <c r="AF474" s="699">
        <f t="shared" si="706"/>
        <v>0</v>
      </c>
      <c r="AG474" s="699">
        <f t="shared" si="707"/>
        <v>0</v>
      </c>
      <c r="AI474" s="698" t="e">
        <f t="shared" si="690"/>
        <v>#DIV/0!</v>
      </c>
      <c r="AJ474" s="698"/>
      <c r="AK474" s="698"/>
      <c r="AL474" s="4" t="str">
        <f>$A474&amp;$C371&amp;InputSheet!C$43&amp;InputSheet!D$43</f>
        <v>Option Year 8ESDOverheadGovt</v>
      </c>
      <c r="AM474" s="700" t="e">
        <f t="shared" si="691"/>
        <v>#DIV/0!</v>
      </c>
      <c r="AP474" s="387" t="e">
        <f t="shared" si="669"/>
        <v>#DIV/0!</v>
      </c>
    </row>
    <row r="475" spans="1:42">
      <c r="A475" s="6" t="str">
        <f t="shared" si="692"/>
        <v>Option Year 8</v>
      </c>
      <c r="B475" s="6" t="str">
        <f t="shared" si="688"/>
        <v>Material Handling</v>
      </c>
      <c r="E475" s="698">
        <f>IF(E471="",0,INDEX(Input_Range,MATCH((C371&amp;B475),Input_Call,0),MATCH(E471,Input_Header,0)))</f>
        <v>0</v>
      </c>
      <c r="F475" s="698">
        <f>IF(F471="",0,INDEX(Input_Range,MATCH((C371&amp;B475),Input_Call,0),MATCH(F471,Input_Header,0)))</f>
        <v>0</v>
      </c>
      <c r="G475" s="698">
        <f>IF(G471="",0,INDEX(Input_Range,MATCH((C371&amp;B475),Input_Call,0),MATCH(G471,Input_Header,0)))</f>
        <v>0</v>
      </c>
      <c r="H475" s="698">
        <f>IF(H471="",0,INDEX(Input_Range,MATCH((C371&amp;B475),Input_Call,0),MATCH(H471,Input_Header,0)))</f>
        <v>0</v>
      </c>
      <c r="I475" s="698">
        <f>IF(I471="",0,INDEX(Input_Range,MATCH((C371&amp;B475),Input_Call,0),MATCH(I471,Input_Header,0)))</f>
        <v>0</v>
      </c>
      <c r="J475" s="698">
        <f>IF(J471="",0,INDEX(Input_Range,MATCH((C371&amp;B475),Input_Call,0),MATCH(J471,Input_Header,0)))</f>
        <v>0</v>
      </c>
      <c r="K475" s="698">
        <f>IF(K471="",0,INDEX(Input_Range,MATCH((C371&amp;B475),Input_Call,0),MATCH(K471,Input_Header,0)))</f>
        <v>0</v>
      </c>
      <c r="L475" s="698">
        <f>IF(L471="",0,INDEX(Input_Range,MATCH((C371&amp;B475),Input_Call,0),MATCH(L471,Input_Header,0)))</f>
        <v>0</v>
      </c>
      <c r="M475" s="698">
        <f>IF(M471="",0,INDEX(Input_Range,MATCH((C371&amp;B475),Input_Call,0),MATCH(M471,Input_Header,0)))</f>
        <v>0</v>
      </c>
      <c r="N475" s="698">
        <f>IF(N471="",0,INDEX(Input_Range,MATCH((C371&amp;B475),Input_Call,0),MATCH(N471,Input_Header,0)))</f>
        <v>0</v>
      </c>
      <c r="O475" s="698">
        <f>IF(O471="",0,INDEX(Input_Range,MATCH((C371&amp;B475),Input_Call,0),MATCH(O471,Input_Header,0)))</f>
        <v>0</v>
      </c>
      <c r="P475" s="698">
        <f>IF(P471="",0,INDEX(Input_Range,MATCH((C371&amp;B475),Input_Call,0),MATCH(P471,Input_Header,0)))</f>
        <v>0</v>
      </c>
      <c r="Q475" s="698">
        <f>IF(Q471="",0,INDEX(Input_Range,MATCH((C371&amp;B475),Input_Call,0),MATCH(Q471,Input_Header,0)))</f>
        <v>0</v>
      </c>
      <c r="R475" s="698">
        <f t="shared" si="693"/>
        <v>0</v>
      </c>
      <c r="T475" s="699">
        <f t="shared" si="694"/>
        <v>0</v>
      </c>
      <c r="U475" s="699">
        <f t="shared" si="695"/>
        <v>0</v>
      </c>
      <c r="V475" s="699">
        <f t="shared" si="696"/>
        <v>0</v>
      </c>
      <c r="W475" s="699">
        <f t="shared" si="697"/>
        <v>0</v>
      </c>
      <c r="X475" s="699">
        <f t="shared" si="698"/>
        <v>0</v>
      </c>
      <c r="Y475" s="699">
        <f t="shared" si="699"/>
        <v>0</v>
      </c>
      <c r="Z475" s="699">
        <f t="shared" si="700"/>
        <v>0</v>
      </c>
      <c r="AA475" s="699">
        <f t="shared" si="701"/>
        <v>0</v>
      </c>
      <c r="AB475" s="699">
        <f t="shared" si="702"/>
        <v>0</v>
      </c>
      <c r="AC475" s="699">
        <f t="shared" si="703"/>
        <v>0</v>
      </c>
      <c r="AD475" s="699">
        <f t="shared" si="704"/>
        <v>0</v>
      </c>
      <c r="AE475" s="699">
        <f t="shared" si="705"/>
        <v>0</v>
      </c>
      <c r="AF475" s="699">
        <f t="shared" si="706"/>
        <v>0</v>
      </c>
      <c r="AG475" s="699">
        <f t="shared" si="707"/>
        <v>0</v>
      </c>
      <c r="AI475" s="698" t="e">
        <f t="shared" si="690"/>
        <v>#DIV/0!</v>
      </c>
      <c r="AJ475" s="698"/>
      <c r="AK475" s="698"/>
      <c r="AL475" s="4" t="str">
        <f>$A475&amp;$C371&amp;InputSheet!C$44&amp;InputSheet!D$44</f>
        <v>Option Year 8ESDMHContr/Govt</v>
      </c>
      <c r="AM475" s="700" t="e">
        <f t="shared" si="691"/>
        <v>#DIV/0!</v>
      </c>
      <c r="AP475" s="387" t="e">
        <f t="shared" si="669"/>
        <v>#DIV/0!</v>
      </c>
    </row>
    <row r="476" spans="1:42">
      <c r="A476" s="6" t="str">
        <f t="shared" si="692"/>
        <v>Option Year 8</v>
      </c>
      <c r="B476" s="6" t="str">
        <f t="shared" si="688"/>
        <v>G&amp;A</v>
      </c>
      <c r="E476" s="698">
        <f>IF(E471="",0,INDEX(Input_Range,MATCH((C371&amp;B476),Input_Call,0),MATCH(E471,Input_Header,0)))</f>
        <v>0</v>
      </c>
      <c r="F476" s="698">
        <f>IF(F471="",0,INDEX(Input_Range,MATCH((C371&amp;B476),Input_Call,0),MATCH(F471,Input_Header,0)))</f>
        <v>0</v>
      </c>
      <c r="G476" s="698">
        <f>IF(G471="",0,INDEX(Input_Range,MATCH((C371&amp;B476),Input_Call,0),MATCH(G471,Input_Header,0)))</f>
        <v>0</v>
      </c>
      <c r="H476" s="698">
        <f>IF(H471="",0,INDEX(Input_Range,MATCH((C371&amp;B476),Input_Call,0),MATCH(H471,Input_Header,0)))</f>
        <v>0</v>
      </c>
      <c r="I476" s="698">
        <f>IF(I471="",0,INDEX(Input_Range,MATCH((C371&amp;B476),Input_Call,0),MATCH(I471,Input_Header,0)))</f>
        <v>0</v>
      </c>
      <c r="J476" s="698">
        <f>IF(J471="",0,INDEX(Input_Range,MATCH((C371&amp;B476),Input_Call,0),MATCH(J471,Input_Header,0)))</f>
        <v>0</v>
      </c>
      <c r="K476" s="698">
        <f>IF(K471="",0,INDEX(Input_Range,MATCH((C371&amp;B476),Input_Call,0),MATCH(K471,Input_Header,0)))</f>
        <v>0</v>
      </c>
      <c r="L476" s="698">
        <f>IF(L471="",0,INDEX(Input_Range,MATCH((C371&amp;B476),Input_Call,0),MATCH(L471,Input_Header,0)))</f>
        <v>0</v>
      </c>
      <c r="M476" s="698">
        <f>IF(M471="",0,INDEX(Input_Range,MATCH((C371&amp;B476),Input_Call,0),MATCH(M471,Input_Header,0)))</f>
        <v>0</v>
      </c>
      <c r="N476" s="698">
        <f>IF(N471="",0,INDEX(Input_Range,MATCH((C371&amp;B476),Input_Call,0),MATCH(N471,Input_Header,0)))</f>
        <v>0</v>
      </c>
      <c r="O476" s="698">
        <f>IF(O471="",0,INDEX(Input_Range,MATCH((C371&amp;B476),Input_Call,0),MATCH(O471,Input_Header,0)))</f>
        <v>0</v>
      </c>
      <c r="P476" s="698">
        <f>IF(P471="",0,INDEX(Input_Range,MATCH((C371&amp;B476),Input_Call,0),MATCH(P471,Input_Header,0)))</f>
        <v>0</v>
      </c>
      <c r="Q476" s="698">
        <f>IF(Q471="",0,INDEX(Input_Range,MATCH((C371&amp;B476),Input_Call,0),MATCH(Q471,Input_Header,0)))</f>
        <v>0</v>
      </c>
      <c r="R476" s="698">
        <f t="shared" si="693"/>
        <v>0</v>
      </c>
      <c r="T476" s="699">
        <f t="shared" si="694"/>
        <v>0</v>
      </c>
      <c r="U476" s="699">
        <f t="shared" si="695"/>
        <v>0</v>
      </c>
      <c r="V476" s="699">
        <f t="shared" si="696"/>
        <v>0</v>
      </c>
      <c r="W476" s="699">
        <f t="shared" si="697"/>
        <v>0</v>
      </c>
      <c r="X476" s="699">
        <f t="shared" si="698"/>
        <v>0</v>
      </c>
      <c r="Y476" s="699">
        <f t="shared" si="699"/>
        <v>0</v>
      </c>
      <c r="Z476" s="699">
        <f t="shared" si="700"/>
        <v>0</v>
      </c>
      <c r="AA476" s="699">
        <f t="shared" si="701"/>
        <v>0</v>
      </c>
      <c r="AB476" s="699">
        <f t="shared" si="702"/>
        <v>0</v>
      </c>
      <c r="AC476" s="699">
        <f t="shared" si="703"/>
        <v>0</v>
      </c>
      <c r="AD476" s="699">
        <f t="shared" si="704"/>
        <v>0</v>
      </c>
      <c r="AE476" s="699">
        <f t="shared" si="705"/>
        <v>0</v>
      </c>
      <c r="AF476" s="699">
        <f t="shared" si="706"/>
        <v>0</v>
      </c>
      <c r="AG476" s="699">
        <f t="shared" si="707"/>
        <v>0</v>
      </c>
      <c r="AI476" s="698" t="e">
        <f t="shared" si="690"/>
        <v>#DIV/0!</v>
      </c>
      <c r="AJ476" s="698"/>
      <c r="AK476" s="698"/>
      <c r="AL476" s="4" t="str">
        <f>$A476&amp;$C371&amp;InputSheet!C$45&amp;InputSheet!D$45</f>
        <v>Option Year 8ESDG&amp;AContr/Govt</v>
      </c>
      <c r="AM476" s="700" t="e">
        <f t="shared" si="691"/>
        <v>#DIV/0!</v>
      </c>
      <c r="AP476" s="387" t="e">
        <f t="shared" si="669"/>
        <v>#DIV/0!</v>
      </c>
    </row>
    <row r="477" spans="1:42" outlineLevel="1">
      <c r="A477" s="6" t="str">
        <f t="shared" si="692"/>
        <v>Option Year 8</v>
      </c>
      <c r="B477" s="6" t="str">
        <f t="shared" si="688"/>
        <v>TBD1</v>
      </c>
      <c r="E477" s="21">
        <f>IF(E471="",0,INDEX(Input_Range,MATCH((C371&amp;B477),Input_Call,0),MATCH(E471,Input_Header,0)))</f>
        <v>0</v>
      </c>
      <c r="F477" s="21">
        <f>IF(F471="",0,INDEX(Input_Range,MATCH((C371&amp;B477),Input_Call,0),MATCH(F471,Input_Header,0)))</f>
        <v>0</v>
      </c>
      <c r="G477" s="21">
        <f>IF(G471="",0,INDEX(Input_Range,MATCH((C371&amp;B477),Input_Call,0),MATCH(G471,Input_Header,0)))</f>
        <v>0</v>
      </c>
      <c r="H477" s="21">
        <f>IF(H471="",0,INDEX(Input_Range,MATCH((C371&amp;B477),Input_Call,0),MATCH(H471,Input_Header,0)))</f>
        <v>0</v>
      </c>
      <c r="I477" s="21">
        <f>IF(I471="",0,INDEX(Input_Range,MATCH((C371&amp;B477),Input_Call,0),MATCH(I471,Input_Header,0)))</f>
        <v>0</v>
      </c>
      <c r="J477" s="21">
        <f>IF(J471="",0,INDEX(Input_Range,MATCH((C371&amp;B477),Input_Call,0),MATCH(J471,Input_Header,0)))</f>
        <v>0</v>
      </c>
      <c r="K477" s="21">
        <f>IF(K471="",0,INDEX(Input_Range,MATCH((C371&amp;B477),Input_Call,0),MATCH(K471,Input_Header,0)))</f>
        <v>0</v>
      </c>
      <c r="L477" s="21">
        <f>IF(L471="",0,INDEX(Input_Range,MATCH((C371&amp;B477),Input_Call,0),MATCH(L471,Input_Header,0)))</f>
        <v>0</v>
      </c>
      <c r="M477" s="21">
        <f>IF(M471="",0,INDEX(Input_Range,MATCH((C371&amp;B477),Input_Call,0),MATCH(M471,Input_Header,0)))</f>
        <v>0</v>
      </c>
      <c r="N477" s="21">
        <f>IF(N471="",0,INDEX(Input_Range,MATCH((C371&amp;B477),Input_Call,0),MATCH(N471,Input_Header,0)))</f>
        <v>0</v>
      </c>
      <c r="O477" s="21">
        <f>IF(O471="",0,INDEX(Input_Range,MATCH((C371&amp;B477),Input_Call,0),MATCH(O471,Input_Header,0)))</f>
        <v>0</v>
      </c>
      <c r="P477" s="21">
        <f>IF(P471="",0,INDEX(Input_Range,MATCH((C371&amp;B477),Input_Call,0),MATCH(P471,Input_Header,0)))</f>
        <v>0</v>
      </c>
      <c r="Q477" s="21">
        <f>IF(Q471="",0,INDEX(Input_Range,MATCH((C371&amp;B477),Input_Call,0),MATCH(Q471,Input_Header,0)))</f>
        <v>0</v>
      </c>
      <c r="R477" s="698">
        <f t="shared" si="693"/>
        <v>0</v>
      </c>
      <c r="T477" s="699">
        <f t="shared" si="694"/>
        <v>0</v>
      </c>
      <c r="U477" s="699">
        <f t="shared" si="695"/>
        <v>0</v>
      </c>
      <c r="V477" s="699">
        <f t="shared" si="696"/>
        <v>0</v>
      </c>
      <c r="W477" s="699">
        <f t="shared" si="697"/>
        <v>0</v>
      </c>
      <c r="X477" s="699">
        <f t="shared" si="698"/>
        <v>0</v>
      </c>
      <c r="Y477" s="699">
        <f t="shared" si="699"/>
        <v>0</v>
      </c>
      <c r="Z477" s="699">
        <f t="shared" si="700"/>
        <v>0</v>
      </c>
      <c r="AA477" s="699">
        <f t="shared" si="701"/>
        <v>0</v>
      </c>
      <c r="AB477" s="699">
        <f t="shared" si="702"/>
        <v>0</v>
      </c>
      <c r="AC477" s="699">
        <f t="shared" si="703"/>
        <v>0</v>
      </c>
      <c r="AD477" s="699">
        <f t="shared" si="704"/>
        <v>0</v>
      </c>
      <c r="AE477" s="699">
        <f t="shared" si="705"/>
        <v>0</v>
      </c>
      <c r="AF477" s="699">
        <f t="shared" si="706"/>
        <v>0</v>
      </c>
      <c r="AG477" s="699">
        <f t="shared" si="707"/>
        <v>0</v>
      </c>
      <c r="AI477" s="698" t="e">
        <f t="shared" si="690"/>
        <v>#DIV/0!</v>
      </c>
      <c r="AJ477" s="21"/>
      <c r="AK477" s="21"/>
      <c r="AL477" s="4" t="str">
        <f>$A477&amp;$C371&amp;InputSheet!C$46&amp;InputSheet!D$46</f>
        <v>Option Year 8ESDTBD1Contr/Govt</v>
      </c>
      <c r="AM477" s="700" t="e">
        <f t="shared" si="691"/>
        <v>#DIV/0!</v>
      </c>
      <c r="AP477" s="387" t="e">
        <f t="shared" si="669"/>
        <v>#DIV/0!</v>
      </c>
    </row>
    <row r="478" spans="1:42" outlineLevel="1">
      <c r="A478" s="6" t="str">
        <f t="shared" si="692"/>
        <v>Option Year 8</v>
      </c>
      <c r="B478" s="6" t="str">
        <f t="shared" si="688"/>
        <v>TBD2</v>
      </c>
      <c r="E478" s="21">
        <f>IF(E471="",0,INDEX(Input_Range,MATCH((C371&amp;B478),Input_Call,0),MATCH(E471,Input_Header,0)))</f>
        <v>0</v>
      </c>
      <c r="F478" s="21">
        <f>IF(F471="",0,INDEX(Input_Range,MATCH((C371&amp;B478),Input_Call,0),MATCH(F471,Input_Header,0)))</f>
        <v>0</v>
      </c>
      <c r="G478" s="21">
        <f>IF(G471="",0,INDEX(Input_Range,MATCH((C371&amp;B478),Input_Call,0),MATCH(G471,Input_Header,0)))</f>
        <v>0</v>
      </c>
      <c r="H478" s="21">
        <f>IF(H471="",0,INDEX(Input_Range,MATCH((C371&amp;B478),Input_Call,0),MATCH(H471,Input_Header,0)))</f>
        <v>0</v>
      </c>
      <c r="I478" s="21">
        <f>IF(I471="",0,INDEX(Input_Range,MATCH((C371&amp;B478),Input_Call,0),MATCH(I471,Input_Header,0)))</f>
        <v>0</v>
      </c>
      <c r="J478" s="21">
        <f>IF(J471="",0,INDEX(Input_Range,MATCH((C371&amp;B478),Input_Call,0),MATCH(J471,Input_Header,0)))</f>
        <v>0</v>
      </c>
      <c r="K478" s="21">
        <f>IF(K471="",0,INDEX(Input_Range,MATCH((C371&amp;B478),Input_Call,0),MATCH(K471,Input_Header,0)))</f>
        <v>0</v>
      </c>
      <c r="L478" s="21">
        <f>IF(L471="",0,INDEX(Input_Range,MATCH((C371&amp;B478),Input_Call,0),MATCH(L471,Input_Header,0)))</f>
        <v>0</v>
      </c>
      <c r="M478" s="21">
        <f>IF(M471="",0,INDEX(Input_Range,MATCH((C371&amp;B478),Input_Call,0),MATCH(M471,Input_Header,0)))</f>
        <v>0</v>
      </c>
      <c r="N478" s="21">
        <f>IF(N471="",0,INDEX(Input_Range,MATCH((C371&amp;B478),Input_Call,0),MATCH(N471,Input_Header,0)))</f>
        <v>0</v>
      </c>
      <c r="O478" s="21">
        <f>IF(O471="",0,INDEX(Input_Range,MATCH((C371&amp;B478),Input_Call,0),MATCH(O471,Input_Header,0)))</f>
        <v>0</v>
      </c>
      <c r="P478" s="21">
        <f>IF(P471="",0,INDEX(Input_Range,MATCH((C371&amp;B478),Input_Call,0),MATCH(P471,Input_Header,0)))</f>
        <v>0</v>
      </c>
      <c r="Q478" s="21">
        <f>IF(Q471="",0,INDEX(Input_Range,MATCH((C371&amp;B478),Input_Call,0),MATCH(Q471,Input_Header,0)))</f>
        <v>0</v>
      </c>
      <c r="R478" s="698">
        <f t="shared" si="693"/>
        <v>0</v>
      </c>
      <c r="T478" s="699">
        <f t="shared" si="694"/>
        <v>0</v>
      </c>
      <c r="U478" s="699">
        <f t="shared" si="695"/>
        <v>0</v>
      </c>
      <c r="V478" s="699">
        <f t="shared" si="696"/>
        <v>0</v>
      </c>
      <c r="W478" s="699">
        <f t="shared" si="697"/>
        <v>0</v>
      </c>
      <c r="X478" s="699">
        <f t="shared" si="698"/>
        <v>0</v>
      </c>
      <c r="Y478" s="699">
        <f t="shared" si="699"/>
        <v>0</v>
      </c>
      <c r="Z478" s="699">
        <f t="shared" si="700"/>
        <v>0</v>
      </c>
      <c r="AA478" s="699">
        <f t="shared" si="701"/>
        <v>0</v>
      </c>
      <c r="AB478" s="699">
        <f t="shared" si="702"/>
        <v>0</v>
      </c>
      <c r="AC478" s="699">
        <f t="shared" si="703"/>
        <v>0</v>
      </c>
      <c r="AD478" s="699">
        <f t="shared" si="704"/>
        <v>0</v>
      </c>
      <c r="AE478" s="699">
        <f t="shared" si="705"/>
        <v>0</v>
      </c>
      <c r="AF478" s="699">
        <f t="shared" si="706"/>
        <v>0</v>
      </c>
      <c r="AG478" s="699">
        <f t="shared" si="707"/>
        <v>0</v>
      </c>
      <c r="AI478" s="698" t="e">
        <f t="shared" si="690"/>
        <v>#DIV/0!</v>
      </c>
      <c r="AJ478" s="21"/>
      <c r="AK478" s="21"/>
      <c r="AL478" s="4" t="str">
        <f>$A478&amp;$C371&amp;InputSheet!C$47&amp;InputSheet!D$47</f>
        <v>Option Year 8ESDTBD2Contr/Govt</v>
      </c>
      <c r="AM478" s="700" t="e">
        <f t="shared" si="691"/>
        <v>#DIV/0!</v>
      </c>
      <c r="AP478" s="387" t="e">
        <f t="shared" si="669"/>
        <v>#DIV/0!</v>
      </c>
    </row>
    <row r="479" spans="1:42" outlineLevel="1">
      <c r="A479" s="6" t="str">
        <f t="shared" si="692"/>
        <v>Option Year 8</v>
      </c>
      <c r="B479" s="6" t="str">
        <f t="shared" si="688"/>
        <v>TBD3</v>
      </c>
      <c r="E479" s="21">
        <f>IF(E471="",0,INDEX(Input_Range,MATCH((C371&amp;B479),Input_Call,0),MATCH(E471,Input_Header,0)))</f>
        <v>0</v>
      </c>
      <c r="F479" s="21">
        <f>IF(F471="",0,INDEX(Input_Range,MATCH((C371&amp;B479),Input_Call,0),MATCH(F471,Input_Header,0)))</f>
        <v>0</v>
      </c>
      <c r="G479" s="21">
        <f>IF(G471="",0,INDEX(Input_Range,MATCH((C371&amp;B479),Input_Call,0),MATCH(G471,Input_Header,0)))</f>
        <v>0</v>
      </c>
      <c r="H479" s="21">
        <f>IF(H471="",0,INDEX(Input_Range,MATCH((C371&amp;B479),Input_Call,0),MATCH(H471,Input_Header,0)))</f>
        <v>0</v>
      </c>
      <c r="I479" s="21">
        <f>IF(I471="",0,INDEX(Input_Range,MATCH((C371&amp;B479),Input_Call,0),MATCH(I471,Input_Header,0)))</f>
        <v>0</v>
      </c>
      <c r="J479" s="21">
        <f>IF(J471="",0,INDEX(Input_Range,MATCH((C371&amp;B479),Input_Call,0),MATCH(J471,Input_Header,0)))</f>
        <v>0</v>
      </c>
      <c r="K479" s="21">
        <f>IF(K471="",0,INDEX(Input_Range,MATCH((C371&amp;B479),Input_Call,0),MATCH(K471,Input_Header,0)))</f>
        <v>0</v>
      </c>
      <c r="L479" s="21">
        <f>IF(L471="",0,INDEX(Input_Range,MATCH((C371&amp;B479),Input_Call,0),MATCH(L471,Input_Header,0)))</f>
        <v>0</v>
      </c>
      <c r="M479" s="21">
        <f>IF(M471="",0,INDEX(Input_Range,MATCH((C371&amp;B479),Input_Call,0),MATCH(M471,Input_Header,0)))</f>
        <v>0</v>
      </c>
      <c r="N479" s="21">
        <f>IF(N471="",0,INDEX(Input_Range,MATCH((C371&amp;B479),Input_Call,0),MATCH(N471,Input_Header,0)))</f>
        <v>0</v>
      </c>
      <c r="O479" s="21">
        <f>IF(O471="",0,INDEX(Input_Range,MATCH((C371&amp;B479),Input_Call,0),MATCH(O471,Input_Header,0)))</f>
        <v>0</v>
      </c>
      <c r="P479" s="21">
        <f>IF(P471="",0,INDEX(Input_Range,MATCH((C371&amp;B479),Input_Call,0),MATCH(P471,Input_Header,0)))</f>
        <v>0</v>
      </c>
      <c r="Q479" s="21">
        <f>IF(Q471="",0,INDEX(Input_Range,MATCH((C371&amp;B479),Input_Call,0),MATCH(Q471,Input_Header,0)))</f>
        <v>0</v>
      </c>
      <c r="R479" s="698">
        <f t="shared" si="693"/>
        <v>0</v>
      </c>
      <c r="T479" s="699">
        <f t="shared" si="694"/>
        <v>0</v>
      </c>
      <c r="U479" s="699">
        <f t="shared" si="695"/>
        <v>0</v>
      </c>
      <c r="V479" s="699">
        <f t="shared" si="696"/>
        <v>0</v>
      </c>
      <c r="W479" s="699">
        <f t="shared" si="697"/>
        <v>0</v>
      </c>
      <c r="X479" s="699">
        <f t="shared" si="698"/>
        <v>0</v>
      </c>
      <c r="Y479" s="699">
        <f t="shared" si="699"/>
        <v>0</v>
      </c>
      <c r="Z479" s="699">
        <f t="shared" si="700"/>
        <v>0</v>
      </c>
      <c r="AA479" s="699">
        <f t="shared" si="701"/>
        <v>0</v>
      </c>
      <c r="AB479" s="699">
        <f t="shared" si="702"/>
        <v>0</v>
      </c>
      <c r="AC479" s="699">
        <f t="shared" si="703"/>
        <v>0</v>
      </c>
      <c r="AD479" s="699">
        <f t="shared" si="704"/>
        <v>0</v>
      </c>
      <c r="AE479" s="699">
        <f t="shared" si="705"/>
        <v>0</v>
      </c>
      <c r="AF479" s="699">
        <f t="shared" si="706"/>
        <v>0</v>
      </c>
      <c r="AG479" s="699">
        <f t="shared" si="707"/>
        <v>0</v>
      </c>
      <c r="AI479" s="698" t="e">
        <f t="shared" si="690"/>
        <v>#DIV/0!</v>
      </c>
      <c r="AJ479" s="21"/>
      <c r="AK479" s="21"/>
      <c r="AL479" s="4" t="str">
        <f>$A479&amp;$C371&amp;InputSheet!C$48&amp;InputSheet!D$48</f>
        <v>Option Year 8ESDTBD3Contr/Govt</v>
      </c>
      <c r="AM479" s="700" t="e">
        <f t="shared" si="691"/>
        <v>#DIV/0!</v>
      </c>
      <c r="AP479" s="387" t="e">
        <f t="shared" si="669"/>
        <v>#DIV/0!</v>
      </c>
    </row>
    <row r="480" spans="1:42">
      <c r="E480" s="698"/>
      <c r="F480" s="698"/>
      <c r="G480" s="698"/>
      <c r="H480" s="698"/>
      <c r="I480" s="698"/>
      <c r="J480" s="698"/>
      <c r="K480" s="698"/>
      <c r="L480" s="698"/>
      <c r="M480" s="698"/>
      <c r="N480" s="698"/>
      <c r="O480" s="698"/>
      <c r="P480" s="698"/>
      <c r="Q480" s="698"/>
      <c r="R480" s="698"/>
      <c r="AI480" s="21"/>
      <c r="AJ480" s="21"/>
      <c r="AK480" s="21"/>
      <c r="AP480" s="387" t="str">
        <f t="shared" si="669"/>
        <v>1</v>
      </c>
    </row>
    <row r="481" spans="1:42">
      <c r="A481" s="530" t="str">
        <f>B481</f>
        <v>Option Year 9</v>
      </c>
      <c r="B481" s="691" t="str">
        <f>InputSheet!$C$31</f>
        <v>Option Year 9</v>
      </c>
      <c r="AP481" s="387" t="str">
        <f t="shared" si="669"/>
        <v>1</v>
      </c>
    </row>
    <row r="482" spans="1:42">
      <c r="B482" s="314" t="s">
        <v>587</v>
      </c>
      <c r="C482" s="692" t="s">
        <v>588</v>
      </c>
      <c r="E482" s="1216" t="str">
        <f>"Indirect Rates - "&amp;C$371</f>
        <v>Indirect Rates - ESD</v>
      </c>
      <c r="F482" s="1216"/>
      <c r="G482" s="1216"/>
      <c r="H482" s="1216"/>
      <c r="I482" s="1216"/>
      <c r="J482" s="1216"/>
      <c r="K482" s="1216"/>
      <c r="L482" s="1216"/>
      <c r="M482" s="1216"/>
      <c r="N482" s="1216"/>
      <c r="O482" s="1216"/>
      <c r="P482" s="1216"/>
      <c r="Q482" s="1216"/>
      <c r="R482" s="1216"/>
      <c r="S482" s="844"/>
      <c r="T482" s="1217" t="s">
        <v>794</v>
      </c>
      <c r="U482" s="1217"/>
      <c r="V482" s="1217"/>
      <c r="W482" s="1217"/>
      <c r="X482" s="1217"/>
      <c r="Y482" s="1217"/>
      <c r="Z482" s="1217"/>
      <c r="AA482" s="1217"/>
      <c r="AB482" s="1217"/>
      <c r="AC482" s="1217"/>
      <c r="AD482" s="1217"/>
      <c r="AE482" s="1217"/>
      <c r="AF482" s="1217"/>
      <c r="AG482" s="1217"/>
      <c r="AI482" s="692" t="s">
        <v>615</v>
      </c>
      <c r="AJ482" s="50"/>
      <c r="AK482" s="50"/>
      <c r="AP482" s="387" t="str">
        <f t="shared" si="669"/>
        <v>1</v>
      </c>
    </row>
    <row r="483" spans="1:42">
      <c r="B483" s="693">
        <f>VLOOKUP(A481,InputSheet!$C$8:$E$37,2,FALSE)</f>
        <v>1462</v>
      </c>
      <c r="C483" s="694">
        <f>VLOOKUP(A481,InputSheet!$C$8:$E$37,3,FALSE)</f>
        <v>1826</v>
      </c>
      <c r="E483" s="695">
        <f t="shared" ref="E483:R483" si="708">E471</f>
        <v>2009</v>
      </c>
      <c r="F483" s="695">
        <f t="shared" si="708"/>
        <v>2010</v>
      </c>
      <c r="G483" s="695">
        <f t="shared" si="708"/>
        <v>2011</v>
      </c>
      <c r="H483" s="695">
        <f t="shared" si="708"/>
        <v>2012</v>
      </c>
      <c r="I483" s="695">
        <f t="shared" si="708"/>
        <v>2013</v>
      </c>
      <c r="J483" s="695">
        <f t="shared" si="708"/>
        <v>2014</v>
      </c>
      <c r="K483" s="695">
        <f t="shared" si="708"/>
        <v>2015</v>
      </c>
      <c r="L483" s="695">
        <f t="shared" si="708"/>
        <v>2016</v>
      </c>
      <c r="M483" s="695">
        <f t="shared" si="708"/>
        <v>2017</v>
      </c>
      <c r="N483" s="695">
        <f t="shared" si="708"/>
        <v>2018</v>
      </c>
      <c r="O483" s="695">
        <f t="shared" si="708"/>
        <v>2019</v>
      </c>
      <c r="P483" s="695">
        <f t="shared" si="708"/>
        <v>2020</v>
      </c>
      <c r="Q483" s="695">
        <f t="shared" si="708"/>
        <v>2021</v>
      </c>
      <c r="R483" s="695">
        <f t="shared" si="708"/>
        <v>2022</v>
      </c>
      <c r="S483" s="680"/>
      <c r="T483" s="695">
        <f t="shared" ref="T483:AG483" si="709">T471</f>
        <v>2009</v>
      </c>
      <c r="U483" s="695">
        <f t="shared" si="709"/>
        <v>2010</v>
      </c>
      <c r="V483" s="695">
        <f t="shared" si="709"/>
        <v>2011</v>
      </c>
      <c r="W483" s="695">
        <f t="shared" si="709"/>
        <v>2012</v>
      </c>
      <c r="X483" s="695">
        <f t="shared" si="709"/>
        <v>2013</v>
      </c>
      <c r="Y483" s="695">
        <f t="shared" si="709"/>
        <v>2014</v>
      </c>
      <c r="Z483" s="695">
        <f t="shared" si="709"/>
        <v>2015</v>
      </c>
      <c r="AA483" s="695">
        <f t="shared" si="709"/>
        <v>2016</v>
      </c>
      <c r="AB483" s="695">
        <f t="shared" si="709"/>
        <v>2017</v>
      </c>
      <c r="AC483" s="695">
        <f t="shared" si="709"/>
        <v>2018</v>
      </c>
      <c r="AD483" s="695">
        <f t="shared" si="709"/>
        <v>2019</v>
      </c>
      <c r="AE483" s="695">
        <f t="shared" si="709"/>
        <v>2020</v>
      </c>
      <c r="AF483" s="695">
        <f t="shared" si="709"/>
        <v>2021</v>
      </c>
      <c r="AG483" s="695">
        <f t="shared" si="709"/>
        <v>2022</v>
      </c>
      <c r="AI483" s="696" t="str">
        <f>B481</f>
        <v>Option Year 9</v>
      </c>
      <c r="AJ483" s="28"/>
      <c r="AK483" s="28"/>
      <c r="AP483" s="387" t="str">
        <f t="shared" si="669"/>
        <v>1</v>
      </c>
    </row>
    <row r="484" spans="1:42">
      <c r="A484" s="6" t="str">
        <f>A481</f>
        <v>Option Year 9</v>
      </c>
      <c r="B484" s="6" t="str">
        <f t="shared" ref="B484:B491" si="710">B472</f>
        <v>PRB</v>
      </c>
      <c r="E484" s="698">
        <f>IF(E483="",0,INDEX(Input_Range,MATCH((C371&amp;B484),Input_Call,0),MATCH(E483,Input_Header,0)))</f>
        <v>0</v>
      </c>
      <c r="F484" s="698">
        <f>IF(F483="",0,INDEX(Input_Range,MATCH((C371&amp;B484),Input_Call,0),MATCH(F483,Input_Header,0)))</f>
        <v>0</v>
      </c>
      <c r="G484" s="698">
        <f>IF(G483="",0,INDEX(Input_Range,MATCH((C371&amp;B484),Input_Call,0),MATCH(G483,Input_Header,0)))</f>
        <v>0</v>
      </c>
      <c r="H484" s="698">
        <f>IF(H483="",0,INDEX(Input_Range,MATCH((C371&amp;B484),Input_Call,0),MATCH(H483,Input_Header,0)))</f>
        <v>0</v>
      </c>
      <c r="I484" s="698">
        <f>IF(I483="",0,INDEX(Input_Range,MATCH((C371&amp;B484),Input_Call,0),MATCH(I483,Input_Header,0)))</f>
        <v>0</v>
      </c>
      <c r="J484" s="698">
        <f>IF(J483="",0,INDEX(Input_Range,MATCH((C371&amp;B484),Input_Call,0),MATCH(J483,Input_Header,0)))</f>
        <v>0</v>
      </c>
      <c r="K484" s="698">
        <f>IF(K483="",0,INDEX(Input_Range,MATCH((C371&amp;B484),Input_Call,0),MATCH(K483,Input_Header,0)))</f>
        <v>0</v>
      </c>
      <c r="L484" s="698">
        <f>IF(L483="",0,INDEX(Input_Range,MATCH((C371&amp;B484),Input_Call,0),MATCH(L483,Input_Header,0)))</f>
        <v>0</v>
      </c>
      <c r="M484" s="698">
        <f>IF(M483="",0,INDEX(Input_Range,MATCH((C371&amp;B484),Input_Call,0),MATCH(M483,Input_Header,0)))</f>
        <v>0</v>
      </c>
      <c r="N484" s="698">
        <f>IF(N483="",0,INDEX(Input_Range,MATCH((C371&amp;B484),Input_Call,0),MATCH(N483,Input_Header,0)))</f>
        <v>0</v>
      </c>
      <c r="O484" s="698">
        <f>IF(O483="",0,INDEX(Input_Range,MATCH((C371&amp;B484),Input_Call,0),MATCH(O483,Input_Header,0)))</f>
        <v>0</v>
      </c>
      <c r="P484" s="698">
        <f>IF(P483="",0,INDEX(Input_Range,MATCH((C371&amp;B484),Input_Call,0),MATCH(P483,Input_Header,0)))</f>
        <v>0</v>
      </c>
      <c r="Q484" s="698">
        <f>IF(Q483="",0,INDEX(Input_Range,MATCH((C371&amp;B484),Input_Call,0),MATCH(Q483,Input_Header,0)))</f>
        <v>0</v>
      </c>
      <c r="R484" s="698">
        <f>Q484</f>
        <v>0</v>
      </c>
      <c r="T484" s="699">
        <f t="shared" ref="T484:AG484" si="711">ROUND((MAX(0,(MIN($C483,DATE(T483,12,31))-MAX($B483,DATE(T483,1,1))+1)))/30.41667,0)</f>
        <v>0</v>
      </c>
      <c r="U484" s="699">
        <f t="shared" si="711"/>
        <v>0</v>
      </c>
      <c r="V484" s="699">
        <f t="shared" si="711"/>
        <v>0</v>
      </c>
      <c r="W484" s="699">
        <f t="shared" si="711"/>
        <v>0</v>
      </c>
      <c r="X484" s="699">
        <f t="shared" si="711"/>
        <v>0</v>
      </c>
      <c r="Y484" s="699">
        <f t="shared" si="711"/>
        <v>0</v>
      </c>
      <c r="Z484" s="699">
        <f t="shared" si="711"/>
        <v>0</v>
      </c>
      <c r="AA484" s="699">
        <f t="shared" si="711"/>
        <v>0</v>
      </c>
      <c r="AB484" s="699">
        <f t="shared" si="711"/>
        <v>0</v>
      </c>
      <c r="AC484" s="699">
        <f t="shared" si="711"/>
        <v>0</v>
      </c>
      <c r="AD484" s="699">
        <f t="shared" si="711"/>
        <v>0</v>
      </c>
      <c r="AE484" s="699">
        <f t="shared" si="711"/>
        <v>0</v>
      </c>
      <c r="AF484" s="699">
        <f t="shared" si="711"/>
        <v>0</v>
      </c>
      <c r="AG484" s="699">
        <f t="shared" si="711"/>
        <v>0</v>
      </c>
      <c r="AI484" s="698" t="e">
        <f t="shared" ref="AI484:AI491" si="712">ROUND(SUMPRODUCT(E484:R484,T484:AG484)/SUM(T484:AG484),4)</f>
        <v>#DIV/0!</v>
      </c>
      <c r="AJ484" s="698"/>
      <c r="AK484" s="698"/>
      <c r="AL484" s="4" t="str">
        <f>$A484&amp;$C371&amp;InputSheet!C$41&amp;InputSheet!D$41</f>
        <v>Option Year 9ESDPRBContr/Govt</v>
      </c>
      <c r="AM484" s="700" t="e">
        <f t="shared" ref="AM484:AM491" si="713">AI484</f>
        <v>#DIV/0!</v>
      </c>
      <c r="AP484" s="387" t="e">
        <f t="shared" si="669"/>
        <v>#DIV/0!</v>
      </c>
    </row>
    <row r="485" spans="1:42">
      <c r="A485" s="6" t="str">
        <f t="shared" ref="A485:A491" si="714">A484</f>
        <v>Option Year 9</v>
      </c>
      <c r="B485" s="6" t="str">
        <f t="shared" si="710"/>
        <v>Overhead - Offsite</v>
      </c>
      <c r="E485" s="698">
        <f>IF(E483="",0,INDEX(Input_Range,MATCH((C371&amp;B485),Input_Call,0),MATCH(E483,Input_Header,0)))</f>
        <v>0</v>
      </c>
      <c r="F485" s="698">
        <f>IF(F483="",0,INDEX(Input_Range,MATCH((C371&amp;B485),Input_Call,0),MATCH(F483,Input_Header,0)))</f>
        <v>0</v>
      </c>
      <c r="G485" s="698">
        <f>IF(G483="",0,INDEX(Input_Range,MATCH((C371&amp;B485),Input_Call,0),MATCH(G483,Input_Header,0)))</f>
        <v>0</v>
      </c>
      <c r="H485" s="698">
        <f>IF(H483="",0,INDEX(Input_Range,MATCH((C371&amp;B485),Input_Call,0),MATCH(H483,Input_Header,0)))</f>
        <v>0</v>
      </c>
      <c r="I485" s="698">
        <f>IF(I483="",0,INDEX(Input_Range,MATCH((C371&amp;B485),Input_Call,0),MATCH(I483,Input_Header,0)))</f>
        <v>0</v>
      </c>
      <c r="J485" s="698">
        <f>IF(J483="",0,INDEX(Input_Range,MATCH((C371&amp;B485),Input_Call,0),MATCH(J483,Input_Header,0)))</f>
        <v>0</v>
      </c>
      <c r="K485" s="698">
        <f>IF(K483="",0,INDEX(Input_Range,MATCH((C371&amp;B485),Input_Call,0),MATCH(K483,Input_Header,0)))</f>
        <v>0</v>
      </c>
      <c r="L485" s="698">
        <f>IF(L483="",0,INDEX(Input_Range,MATCH((C371&amp;B485),Input_Call,0),MATCH(L483,Input_Header,0)))</f>
        <v>0</v>
      </c>
      <c r="M485" s="698">
        <f>IF(M483="",0,INDEX(Input_Range,MATCH((C371&amp;B485),Input_Call,0),MATCH(M483,Input_Header,0)))</f>
        <v>0</v>
      </c>
      <c r="N485" s="698">
        <f>IF(N483="",0,INDEX(Input_Range,MATCH((C371&amp;B485),Input_Call,0),MATCH(N483,Input_Header,0)))</f>
        <v>0</v>
      </c>
      <c r="O485" s="698">
        <f>IF(O483="",0,INDEX(Input_Range,MATCH((C371&amp;B485),Input_Call,0),MATCH(O483,Input_Header,0)))</f>
        <v>0</v>
      </c>
      <c r="P485" s="698">
        <f>IF(P483="",0,INDEX(Input_Range,MATCH((C371&amp;B485),Input_Call,0),MATCH(P483,Input_Header,0)))</f>
        <v>0</v>
      </c>
      <c r="Q485" s="698">
        <f>IF(Q483="",0,INDEX(Input_Range,MATCH((C371&amp;B485),Input_Call,0),MATCH(Q483,Input_Header,0)))</f>
        <v>0</v>
      </c>
      <c r="R485" s="698">
        <f t="shared" ref="R485:R491" si="715">Q485</f>
        <v>0</v>
      </c>
      <c r="T485" s="699">
        <f t="shared" ref="T485:T491" si="716">T484</f>
        <v>0</v>
      </c>
      <c r="U485" s="699">
        <f t="shared" ref="U485:U491" si="717">U484</f>
        <v>0</v>
      </c>
      <c r="V485" s="699">
        <f t="shared" ref="V485:V491" si="718">V484</f>
        <v>0</v>
      </c>
      <c r="W485" s="699">
        <f t="shared" ref="W485:W491" si="719">W484</f>
        <v>0</v>
      </c>
      <c r="X485" s="699">
        <f t="shared" ref="X485:X491" si="720">X484</f>
        <v>0</v>
      </c>
      <c r="Y485" s="699">
        <f t="shared" ref="Y485:Y491" si="721">Y484</f>
        <v>0</v>
      </c>
      <c r="Z485" s="699">
        <f t="shared" ref="Z485:Z491" si="722">Z484</f>
        <v>0</v>
      </c>
      <c r="AA485" s="699">
        <f t="shared" ref="AA485:AA491" si="723">AA484</f>
        <v>0</v>
      </c>
      <c r="AB485" s="699">
        <f t="shared" ref="AB485:AB491" si="724">AB484</f>
        <v>0</v>
      </c>
      <c r="AC485" s="699">
        <f t="shared" ref="AC485:AC491" si="725">AC484</f>
        <v>0</v>
      </c>
      <c r="AD485" s="699">
        <f t="shared" ref="AD485:AD491" si="726">AD484</f>
        <v>0</v>
      </c>
      <c r="AE485" s="699">
        <f t="shared" ref="AE485:AE491" si="727">AE484</f>
        <v>0</v>
      </c>
      <c r="AF485" s="699">
        <f t="shared" ref="AF485:AF491" si="728">AF484</f>
        <v>0</v>
      </c>
      <c r="AG485" s="699">
        <f t="shared" ref="AG485:AG491" si="729">AG484</f>
        <v>0</v>
      </c>
      <c r="AI485" s="698" t="e">
        <f t="shared" si="712"/>
        <v>#DIV/0!</v>
      </c>
      <c r="AJ485" s="698"/>
      <c r="AK485" s="698"/>
      <c r="AL485" s="4" t="str">
        <f>$A485&amp;$C371&amp;InputSheet!C$42&amp;InputSheet!D$42</f>
        <v>Option Year 9ESDOverheadContr</v>
      </c>
      <c r="AM485" s="700" t="e">
        <f t="shared" si="713"/>
        <v>#DIV/0!</v>
      </c>
      <c r="AP485" s="387" t="e">
        <f t="shared" si="669"/>
        <v>#DIV/0!</v>
      </c>
    </row>
    <row r="486" spans="1:42">
      <c r="A486" s="6" t="str">
        <f t="shared" si="714"/>
        <v>Option Year 9</v>
      </c>
      <c r="B486" s="6" t="str">
        <f t="shared" si="710"/>
        <v>Overhead - Onsite</v>
      </c>
      <c r="E486" s="698">
        <f>IF(E483="",0,INDEX(Input_Range,MATCH((C371&amp;B486),Input_Call,0),MATCH(E483,Input_Header,0)))</f>
        <v>0</v>
      </c>
      <c r="F486" s="698">
        <f>IF(F483="",0,INDEX(Input_Range,MATCH((C371&amp;B486),Input_Call,0),MATCH(F483,Input_Header,0)))</f>
        <v>0</v>
      </c>
      <c r="G486" s="698">
        <f>IF(G483="",0,INDEX(Input_Range,MATCH((C371&amp;B486),Input_Call,0),MATCH(G483,Input_Header,0)))</f>
        <v>0</v>
      </c>
      <c r="H486" s="698">
        <f>IF(H483="",0,INDEX(Input_Range,MATCH((C371&amp;B486),Input_Call,0),MATCH(H483,Input_Header,0)))</f>
        <v>0</v>
      </c>
      <c r="I486" s="698">
        <f>IF(I483="",0,INDEX(Input_Range,MATCH((C371&amp;B486),Input_Call,0),MATCH(I483,Input_Header,0)))</f>
        <v>0</v>
      </c>
      <c r="J486" s="698">
        <f>IF(J483="",0,INDEX(Input_Range,MATCH((C371&amp;B486),Input_Call,0),MATCH(J483,Input_Header,0)))</f>
        <v>0</v>
      </c>
      <c r="K486" s="698">
        <f>IF(K483="",0,INDEX(Input_Range,MATCH((C371&amp;B486),Input_Call,0),MATCH(K483,Input_Header,0)))</f>
        <v>0</v>
      </c>
      <c r="L486" s="698">
        <f>IF(L483="",0,INDEX(Input_Range,MATCH((C371&amp;B486),Input_Call,0),MATCH(L483,Input_Header,0)))</f>
        <v>0</v>
      </c>
      <c r="M486" s="698">
        <f>IF(M483="",0,INDEX(Input_Range,MATCH((C371&amp;B486),Input_Call,0),MATCH(M483,Input_Header,0)))</f>
        <v>0</v>
      </c>
      <c r="N486" s="698">
        <f>IF(N483="",0,INDEX(Input_Range,MATCH((C371&amp;B486),Input_Call,0),MATCH(N483,Input_Header,0)))</f>
        <v>0</v>
      </c>
      <c r="O486" s="698">
        <f>IF(O483="",0,INDEX(Input_Range,MATCH((C371&amp;B486),Input_Call,0),MATCH(O483,Input_Header,0)))</f>
        <v>0</v>
      </c>
      <c r="P486" s="698">
        <f>IF(P483="",0,INDEX(Input_Range,MATCH((C371&amp;B486),Input_Call,0),MATCH(P483,Input_Header,0)))</f>
        <v>0</v>
      </c>
      <c r="Q486" s="698">
        <f>IF(Q483="",0,INDEX(Input_Range,MATCH((C371&amp;B486),Input_Call,0),MATCH(Q483,Input_Header,0)))</f>
        <v>0</v>
      </c>
      <c r="R486" s="698">
        <f t="shared" si="715"/>
        <v>0</v>
      </c>
      <c r="T486" s="699">
        <f t="shared" si="716"/>
        <v>0</v>
      </c>
      <c r="U486" s="699">
        <f t="shared" si="717"/>
        <v>0</v>
      </c>
      <c r="V486" s="699">
        <f t="shared" si="718"/>
        <v>0</v>
      </c>
      <c r="W486" s="699">
        <f t="shared" si="719"/>
        <v>0</v>
      </c>
      <c r="X486" s="699">
        <f t="shared" si="720"/>
        <v>0</v>
      </c>
      <c r="Y486" s="699">
        <f t="shared" si="721"/>
        <v>0</v>
      </c>
      <c r="Z486" s="699">
        <f t="shared" si="722"/>
        <v>0</v>
      </c>
      <c r="AA486" s="699">
        <f t="shared" si="723"/>
        <v>0</v>
      </c>
      <c r="AB486" s="699">
        <f t="shared" si="724"/>
        <v>0</v>
      </c>
      <c r="AC486" s="699">
        <f t="shared" si="725"/>
        <v>0</v>
      </c>
      <c r="AD486" s="699">
        <f t="shared" si="726"/>
        <v>0</v>
      </c>
      <c r="AE486" s="699">
        <f t="shared" si="727"/>
        <v>0</v>
      </c>
      <c r="AF486" s="699">
        <f t="shared" si="728"/>
        <v>0</v>
      </c>
      <c r="AG486" s="699">
        <f t="shared" si="729"/>
        <v>0</v>
      </c>
      <c r="AI486" s="698" t="e">
        <f t="shared" si="712"/>
        <v>#DIV/0!</v>
      </c>
      <c r="AJ486" s="698"/>
      <c r="AK486" s="698"/>
      <c r="AL486" s="4" t="str">
        <f>$A486&amp;$C371&amp;InputSheet!C$43&amp;InputSheet!D$43</f>
        <v>Option Year 9ESDOverheadGovt</v>
      </c>
      <c r="AM486" s="700" t="e">
        <f t="shared" si="713"/>
        <v>#DIV/0!</v>
      </c>
      <c r="AP486" s="387" t="e">
        <f t="shared" si="669"/>
        <v>#DIV/0!</v>
      </c>
    </row>
    <row r="487" spans="1:42">
      <c r="A487" s="6" t="str">
        <f t="shared" si="714"/>
        <v>Option Year 9</v>
      </c>
      <c r="B487" s="6" t="str">
        <f t="shared" si="710"/>
        <v>Material Handling</v>
      </c>
      <c r="E487" s="698">
        <f>IF(E483="",0,INDEX(Input_Range,MATCH((C371&amp;B487),Input_Call,0),MATCH(E483,Input_Header,0)))</f>
        <v>0</v>
      </c>
      <c r="F487" s="698">
        <f>IF(F483="",0,INDEX(Input_Range,MATCH((C371&amp;B487),Input_Call,0),MATCH(F483,Input_Header,0)))</f>
        <v>0</v>
      </c>
      <c r="G487" s="698">
        <f>IF(G483="",0,INDEX(Input_Range,MATCH((C371&amp;B487),Input_Call,0),MATCH(G483,Input_Header,0)))</f>
        <v>0</v>
      </c>
      <c r="H487" s="698">
        <f>IF(H483="",0,INDEX(Input_Range,MATCH((C371&amp;B487),Input_Call,0),MATCH(H483,Input_Header,0)))</f>
        <v>0</v>
      </c>
      <c r="I487" s="698">
        <f>IF(I483="",0,INDEX(Input_Range,MATCH((C371&amp;B487),Input_Call,0),MATCH(I483,Input_Header,0)))</f>
        <v>0</v>
      </c>
      <c r="J487" s="698">
        <f>IF(J483="",0,INDEX(Input_Range,MATCH((C371&amp;B487),Input_Call,0),MATCH(J483,Input_Header,0)))</f>
        <v>0</v>
      </c>
      <c r="K487" s="698">
        <f>IF(K483="",0,INDEX(Input_Range,MATCH((C371&amp;B487),Input_Call,0),MATCH(K483,Input_Header,0)))</f>
        <v>0</v>
      </c>
      <c r="L487" s="698">
        <f>IF(L483="",0,INDEX(Input_Range,MATCH((C371&amp;B487),Input_Call,0),MATCH(L483,Input_Header,0)))</f>
        <v>0</v>
      </c>
      <c r="M487" s="698">
        <f>IF(M483="",0,INDEX(Input_Range,MATCH((C371&amp;B487),Input_Call,0),MATCH(M483,Input_Header,0)))</f>
        <v>0</v>
      </c>
      <c r="N487" s="698">
        <f>IF(N483="",0,INDEX(Input_Range,MATCH((C371&amp;B487),Input_Call,0),MATCH(N483,Input_Header,0)))</f>
        <v>0</v>
      </c>
      <c r="O487" s="698">
        <f>IF(O483="",0,INDEX(Input_Range,MATCH((C371&amp;B487),Input_Call,0),MATCH(O483,Input_Header,0)))</f>
        <v>0</v>
      </c>
      <c r="P487" s="698">
        <f>IF(P483="",0,INDEX(Input_Range,MATCH((C371&amp;B487),Input_Call,0),MATCH(P483,Input_Header,0)))</f>
        <v>0</v>
      </c>
      <c r="Q487" s="698">
        <f>IF(Q483="",0,INDEX(Input_Range,MATCH((C371&amp;B487),Input_Call,0),MATCH(Q483,Input_Header,0)))</f>
        <v>0</v>
      </c>
      <c r="R487" s="698">
        <f t="shared" si="715"/>
        <v>0</v>
      </c>
      <c r="T487" s="699">
        <f t="shared" si="716"/>
        <v>0</v>
      </c>
      <c r="U487" s="699">
        <f t="shared" si="717"/>
        <v>0</v>
      </c>
      <c r="V487" s="699">
        <f t="shared" si="718"/>
        <v>0</v>
      </c>
      <c r="W487" s="699">
        <f t="shared" si="719"/>
        <v>0</v>
      </c>
      <c r="X487" s="699">
        <f t="shared" si="720"/>
        <v>0</v>
      </c>
      <c r="Y487" s="699">
        <f t="shared" si="721"/>
        <v>0</v>
      </c>
      <c r="Z487" s="699">
        <f t="shared" si="722"/>
        <v>0</v>
      </c>
      <c r="AA487" s="699">
        <f t="shared" si="723"/>
        <v>0</v>
      </c>
      <c r="AB487" s="699">
        <f t="shared" si="724"/>
        <v>0</v>
      </c>
      <c r="AC487" s="699">
        <f t="shared" si="725"/>
        <v>0</v>
      </c>
      <c r="AD487" s="699">
        <f t="shared" si="726"/>
        <v>0</v>
      </c>
      <c r="AE487" s="699">
        <f t="shared" si="727"/>
        <v>0</v>
      </c>
      <c r="AF487" s="699">
        <f t="shared" si="728"/>
        <v>0</v>
      </c>
      <c r="AG487" s="699">
        <f t="shared" si="729"/>
        <v>0</v>
      </c>
      <c r="AI487" s="698" t="e">
        <f t="shared" si="712"/>
        <v>#DIV/0!</v>
      </c>
      <c r="AJ487" s="698"/>
      <c r="AK487" s="698"/>
      <c r="AL487" s="4" t="str">
        <f>$A487&amp;$C371&amp;InputSheet!C$44&amp;InputSheet!D$44</f>
        <v>Option Year 9ESDMHContr/Govt</v>
      </c>
      <c r="AM487" s="700" t="e">
        <f t="shared" si="713"/>
        <v>#DIV/0!</v>
      </c>
      <c r="AP487" s="387" t="e">
        <f t="shared" si="669"/>
        <v>#DIV/0!</v>
      </c>
    </row>
    <row r="488" spans="1:42">
      <c r="A488" s="6" t="str">
        <f t="shared" si="714"/>
        <v>Option Year 9</v>
      </c>
      <c r="B488" s="6" t="str">
        <f t="shared" si="710"/>
        <v>G&amp;A</v>
      </c>
      <c r="E488" s="698">
        <f>IF(E483="",0,INDEX(Input_Range,MATCH((C371&amp;B488),Input_Call,0),MATCH(E483,Input_Header,0)))</f>
        <v>0</v>
      </c>
      <c r="F488" s="698">
        <f>IF(F483="",0,INDEX(Input_Range,MATCH((C371&amp;B488),Input_Call,0),MATCH(F483,Input_Header,0)))</f>
        <v>0</v>
      </c>
      <c r="G488" s="698">
        <f>IF(G483="",0,INDEX(Input_Range,MATCH((C371&amp;B488),Input_Call,0),MATCH(G483,Input_Header,0)))</f>
        <v>0</v>
      </c>
      <c r="H488" s="698">
        <f>IF(H483="",0,INDEX(Input_Range,MATCH((C371&amp;B488),Input_Call,0),MATCH(H483,Input_Header,0)))</f>
        <v>0</v>
      </c>
      <c r="I488" s="698">
        <f>IF(I483="",0,INDEX(Input_Range,MATCH((C371&amp;B488),Input_Call,0),MATCH(I483,Input_Header,0)))</f>
        <v>0</v>
      </c>
      <c r="J488" s="698">
        <f>IF(J483="",0,INDEX(Input_Range,MATCH((C371&amp;B488),Input_Call,0),MATCH(J483,Input_Header,0)))</f>
        <v>0</v>
      </c>
      <c r="K488" s="698">
        <f>IF(K483="",0,INDEX(Input_Range,MATCH((C371&amp;B488),Input_Call,0),MATCH(K483,Input_Header,0)))</f>
        <v>0</v>
      </c>
      <c r="L488" s="698">
        <f>IF(L483="",0,INDEX(Input_Range,MATCH((C371&amp;B488),Input_Call,0),MATCH(L483,Input_Header,0)))</f>
        <v>0</v>
      </c>
      <c r="M488" s="698">
        <f>IF(M483="",0,INDEX(Input_Range,MATCH((C371&amp;B488),Input_Call,0),MATCH(M483,Input_Header,0)))</f>
        <v>0</v>
      </c>
      <c r="N488" s="698">
        <f>IF(N483="",0,INDEX(Input_Range,MATCH((C371&amp;B488),Input_Call,0),MATCH(N483,Input_Header,0)))</f>
        <v>0</v>
      </c>
      <c r="O488" s="698">
        <f>IF(O483="",0,INDEX(Input_Range,MATCH((C371&amp;B488),Input_Call,0),MATCH(O483,Input_Header,0)))</f>
        <v>0</v>
      </c>
      <c r="P488" s="698">
        <f>IF(P483="",0,INDEX(Input_Range,MATCH((C371&amp;B488),Input_Call,0),MATCH(P483,Input_Header,0)))</f>
        <v>0</v>
      </c>
      <c r="Q488" s="698">
        <f>IF(Q483="",0,INDEX(Input_Range,MATCH((C371&amp;B488),Input_Call,0),MATCH(Q483,Input_Header,0)))</f>
        <v>0</v>
      </c>
      <c r="R488" s="698">
        <f t="shared" si="715"/>
        <v>0</v>
      </c>
      <c r="T488" s="699">
        <f t="shared" si="716"/>
        <v>0</v>
      </c>
      <c r="U488" s="699">
        <f t="shared" si="717"/>
        <v>0</v>
      </c>
      <c r="V488" s="699">
        <f t="shared" si="718"/>
        <v>0</v>
      </c>
      <c r="W488" s="699">
        <f t="shared" si="719"/>
        <v>0</v>
      </c>
      <c r="X488" s="699">
        <f t="shared" si="720"/>
        <v>0</v>
      </c>
      <c r="Y488" s="699">
        <f t="shared" si="721"/>
        <v>0</v>
      </c>
      <c r="Z488" s="699">
        <f t="shared" si="722"/>
        <v>0</v>
      </c>
      <c r="AA488" s="699">
        <f t="shared" si="723"/>
        <v>0</v>
      </c>
      <c r="AB488" s="699">
        <f t="shared" si="724"/>
        <v>0</v>
      </c>
      <c r="AC488" s="699">
        <f t="shared" si="725"/>
        <v>0</v>
      </c>
      <c r="AD488" s="699">
        <f t="shared" si="726"/>
        <v>0</v>
      </c>
      <c r="AE488" s="699">
        <f t="shared" si="727"/>
        <v>0</v>
      </c>
      <c r="AF488" s="699">
        <f t="shared" si="728"/>
        <v>0</v>
      </c>
      <c r="AG488" s="699">
        <f t="shared" si="729"/>
        <v>0</v>
      </c>
      <c r="AI488" s="698" t="e">
        <f t="shared" si="712"/>
        <v>#DIV/0!</v>
      </c>
      <c r="AJ488" s="698"/>
      <c r="AK488" s="698"/>
      <c r="AL488" s="4" t="str">
        <f>$A488&amp;$C371&amp;InputSheet!C$45&amp;InputSheet!D$45</f>
        <v>Option Year 9ESDG&amp;AContr/Govt</v>
      </c>
      <c r="AM488" s="700" t="e">
        <f t="shared" si="713"/>
        <v>#DIV/0!</v>
      </c>
      <c r="AP488" s="387" t="e">
        <f t="shared" si="669"/>
        <v>#DIV/0!</v>
      </c>
    </row>
    <row r="489" spans="1:42" outlineLevel="1">
      <c r="A489" s="6" t="str">
        <f t="shared" si="714"/>
        <v>Option Year 9</v>
      </c>
      <c r="B489" s="6" t="str">
        <f t="shared" si="710"/>
        <v>TBD1</v>
      </c>
      <c r="E489" s="21">
        <f>IF(E483="",0,INDEX(Input_Range,MATCH((C371&amp;B489),Input_Call,0),MATCH(E483,Input_Header,0)))</f>
        <v>0</v>
      </c>
      <c r="F489" s="21">
        <f>IF(F483="",0,INDEX(Input_Range,MATCH((C371&amp;B489),Input_Call,0),MATCH(F483,Input_Header,0)))</f>
        <v>0</v>
      </c>
      <c r="G489" s="21">
        <f>IF(G483="",0,INDEX(Input_Range,MATCH((C371&amp;B489),Input_Call,0),MATCH(G483,Input_Header,0)))</f>
        <v>0</v>
      </c>
      <c r="H489" s="21">
        <f>IF(H483="",0,INDEX(Input_Range,MATCH((C371&amp;B489),Input_Call,0),MATCH(H483,Input_Header,0)))</f>
        <v>0</v>
      </c>
      <c r="I489" s="21">
        <f>IF(I483="",0,INDEX(Input_Range,MATCH((C371&amp;B489),Input_Call,0),MATCH(I483,Input_Header,0)))</f>
        <v>0</v>
      </c>
      <c r="J489" s="21">
        <f>IF(J483="",0,INDEX(Input_Range,MATCH((C371&amp;B489),Input_Call,0),MATCH(J483,Input_Header,0)))</f>
        <v>0</v>
      </c>
      <c r="K489" s="21">
        <f>IF(K483="",0,INDEX(Input_Range,MATCH((C371&amp;B489),Input_Call,0),MATCH(K483,Input_Header,0)))</f>
        <v>0</v>
      </c>
      <c r="L489" s="21">
        <f>IF(L483="",0,INDEX(Input_Range,MATCH((C371&amp;B489),Input_Call,0),MATCH(L483,Input_Header,0)))</f>
        <v>0</v>
      </c>
      <c r="M489" s="21">
        <f>IF(M483="",0,INDEX(Input_Range,MATCH((C371&amp;B489),Input_Call,0),MATCH(M483,Input_Header,0)))</f>
        <v>0</v>
      </c>
      <c r="N489" s="21">
        <f>IF(N483="",0,INDEX(Input_Range,MATCH((C371&amp;B489),Input_Call,0),MATCH(N483,Input_Header,0)))</f>
        <v>0</v>
      </c>
      <c r="O489" s="21">
        <f>IF(O483="",0,INDEX(Input_Range,MATCH((C371&amp;B489),Input_Call,0),MATCH(O483,Input_Header,0)))</f>
        <v>0</v>
      </c>
      <c r="P489" s="21">
        <f>IF(P483="",0,INDEX(Input_Range,MATCH((C371&amp;B489),Input_Call,0),MATCH(P483,Input_Header,0)))</f>
        <v>0</v>
      </c>
      <c r="Q489" s="21">
        <f>IF(Q483="",0,INDEX(Input_Range,MATCH((C371&amp;B489),Input_Call,0),MATCH(Q483,Input_Header,0)))</f>
        <v>0</v>
      </c>
      <c r="R489" s="698">
        <f t="shared" si="715"/>
        <v>0</v>
      </c>
      <c r="T489" s="699">
        <f t="shared" si="716"/>
        <v>0</v>
      </c>
      <c r="U489" s="699">
        <f t="shared" si="717"/>
        <v>0</v>
      </c>
      <c r="V489" s="699">
        <f t="shared" si="718"/>
        <v>0</v>
      </c>
      <c r="W489" s="699">
        <f t="shared" si="719"/>
        <v>0</v>
      </c>
      <c r="X489" s="699">
        <f t="shared" si="720"/>
        <v>0</v>
      </c>
      <c r="Y489" s="699">
        <f t="shared" si="721"/>
        <v>0</v>
      </c>
      <c r="Z489" s="699">
        <f t="shared" si="722"/>
        <v>0</v>
      </c>
      <c r="AA489" s="699">
        <f t="shared" si="723"/>
        <v>0</v>
      </c>
      <c r="AB489" s="699">
        <f t="shared" si="724"/>
        <v>0</v>
      </c>
      <c r="AC489" s="699">
        <f t="shared" si="725"/>
        <v>0</v>
      </c>
      <c r="AD489" s="699">
        <f t="shared" si="726"/>
        <v>0</v>
      </c>
      <c r="AE489" s="699">
        <f t="shared" si="727"/>
        <v>0</v>
      </c>
      <c r="AF489" s="699">
        <f t="shared" si="728"/>
        <v>0</v>
      </c>
      <c r="AG489" s="699">
        <f t="shared" si="729"/>
        <v>0</v>
      </c>
      <c r="AI489" s="698" t="e">
        <f t="shared" si="712"/>
        <v>#DIV/0!</v>
      </c>
      <c r="AJ489" s="21"/>
      <c r="AK489" s="21"/>
      <c r="AL489" s="4" t="str">
        <f>$A489&amp;$C371&amp;InputSheet!C$46&amp;InputSheet!D$46</f>
        <v>Option Year 9ESDTBD1Contr/Govt</v>
      </c>
      <c r="AM489" s="700" t="e">
        <f t="shared" si="713"/>
        <v>#DIV/0!</v>
      </c>
      <c r="AP489" s="387" t="e">
        <f t="shared" si="669"/>
        <v>#DIV/0!</v>
      </c>
    </row>
    <row r="490" spans="1:42" outlineLevel="1">
      <c r="A490" s="6" t="str">
        <f t="shared" si="714"/>
        <v>Option Year 9</v>
      </c>
      <c r="B490" s="6" t="str">
        <f t="shared" si="710"/>
        <v>TBD2</v>
      </c>
      <c r="E490" s="21">
        <f>IF(E483="",0,INDEX(Input_Range,MATCH((C371&amp;B490),Input_Call,0),MATCH(E483,Input_Header,0)))</f>
        <v>0</v>
      </c>
      <c r="F490" s="21">
        <f>IF(F483="",0,INDEX(Input_Range,MATCH((C371&amp;B490),Input_Call,0),MATCH(F483,Input_Header,0)))</f>
        <v>0</v>
      </c>
      <c r="G490" s="21">
        <f>IF(G483="",0,INDEX(Input_Range,MATCH((C371&amp;B490),Input_Call,0),MATCH(G483,Input_Header,0)))</f>
        <v>0</v>
      </c>
      <c r="H490" s="21">
        <f>IF(H483="",0,INDEX(Input_Range,MATCH((C371&amp;B490),Input_Call,0),MATCH(H483,Input_Header,0)))</f>
        <v>0</v>
      </c>
      <c r="I490" s="21">
        <f>IF(I483="",0,INDEX(Input_Range,MATCH((C371&amp;B490),Input_Call,0),MATCH(I483,Input_Header,0)))</f>
        <v>0</v>
      </c>
      <c r="J490" s="21">
        <f>IF(J483="",0,INDEX(Input_Range,MATCH((C371&amp;B490),Input_Call,0),MATCH(J483,Input_Header,0)))</f>
        <v>0</v>
      </c>
      <c r="K490" s="21">
        <f>IF(K483="",0,INDEX(Input_Range,MATCH((C371&amp;B490),Input_Call,0),MATCH(K483,Input_Header,0)))</f>
        <v>0</v>
      </c>
      <c r="L490" s="21">
        <f>IF(L483="",0,INDEX(Input_Range,MATCH((C371&amp;B490),Input_Call,0),MATCH(L483,Input_Header,0)))</f>
        <v>0</v>
      </c>
      <c r="M490" s="21">
        <f>IF(M483="",0,INDEX(Input_Range,MATCH((C371&amp;B490),Input_Call,0),MATCH(M483,Input_Header,0)))</f>
        <v>0</v>
      </c>
      <c r="N490" s="21">
        <f>IF(N483="",0,INDEX(Input_Range,MATCH((C371&amp;B490),Input_Call,0),MATCH(N483,Input_Header,0)))</f>
        <v>0</v>
      </c>
      <c r="O490" s="21">
        <f>IF(O483="",0,INDEX(Input_Range,MATCH((C371&amp;B490),Input_Call,0),MATCH(O483,Input_Header,0)))</f>
        <v>0</v>
      </c>
      <c r="P490" s="21">
        <f>IF(P483="",0,INDEX(Input_Range,MATCH((C371&amp;B490),Input_Call,0),MATCH(P483,Input_Header,0)))</f>
        <v>0</v>
      </c>
      <c r="Q490" s="21">
        <f>IF(Q483="",0,INDEX(Input_Range,MATCH((C371&amp;B490),Input_Call,0),MATCH(Q483,Input_Header,0)))</f>
        <v>0</v>
      </c>
      <c r="R490" s="698">
        <f t="shared" si="715"/>
        <v>0</v>
      </c>
      <c r="T490" s="699">
        <f t="shared" si="716"/>
        <v>0</v>
      </c>
      <c r="U490" s="699">
        <f t="shared" si="717"/>
        <v>0</v>
      </c>
      <c r="V490" s="699">
        <f t="shared" si="718"/>
        <v>0</v>
      </c>
      <c r="W490" s="699">
        <f t="shared" si="719"/>
        <v>0</v>
      </c>
      <c r="X490" s="699">
        <f t="shared" si="720"/>
        <v>0</v>
      </c>
      <c r="Y490" s="699">
        <f t="shared" si="721"/>
        <v>0</v>
      </c>
      <c r="Z490" s="699">
        <f t="shared" si="722"/>
        <v>0</v>
      </c>
      <c r="AA490" s="699">
        <f t="shared" si="723"/>
        <v>0</v>
      </c>
      <c r="AB490" s="699">
        <f t="shared" si="724"/>
        <v>0</v>
      </c>
      <c r="AC490" s="699">
        <f t="shared" si="725"/>
        <v>0</v>
      </c>
      <c r="AD490" s="699">
        <f t="shared" si="726"/>
        <v>0</v>
      </c>
      <c r="AE490" s="699">
        <f t="shared" si="727"/>
        <v>0</v>
      </c>
      <c r="AF490" s="699">
        <f t="shared" si="728"/>
        <v>0</v>
      </c>
      <c r="AG490" s="699">
        <f t="shared" si="729"/>
        <v>0</v>
      </c>
      <c r="AI490" s="698" t="e">
        <f t="shared" si="712"/>
        <v>#DIV/0!</v>
      </c>
      <c r="AJ490" s="21"/>
      <c r="AK490" s="21"/>
      <c r="AL490" s="4" t="str">
        <f>$A490&amp;$C371&amp;InputSheet!C$47&amp;InputSheet!D$47</f>
        <v>Option Year 9ESDTBD2Contr/Govt</v>
      </c>
      <c r="AM490" s="700" t="e">
        <f t="shared" si="713"/>
        <v>#DIV/0!</v>
      </c>
      <c r="AP490" s="387" t="e">
        <f t="shared" si="669"/>
        <v>#DIV/0!</v>
      </c>
    </row>
    <row r="491" spans="1:42" outlineLevel="1">
      <c r="A491" s="6" t="str">
        <f t="shared" si="714"/>
        <v>Option Year 9</v>
      </c>
      <c r="B491" s="6" t="str">
        <f t="shared" si="710"/>
        <v>TBD3</v>
      </c>
      <c r="E491" s="21">
        <f>IF(E483="",0,INDEX(Input_Range,MATCH((C371&amp;B491),Input_Call,0),MATCH(E483,Input_Header,0)))</f>
        <v>0</v>
      </c>
      <c r="F491" s="21">
        <f>IF(F483="",0,INDEX(Input_Range,MATCH((C371&amp;B491),Input_Call,0),MATCH(F483,Input_Header,0)))</f>
        <v>0</v>
      </c>
      <c r="G491" s="21">
        <f>IF(G483="",0,INDEX(Input_Range,MATCH((C371&amp;B491),Input_Call,0),MATCH(G483,Input_Header,0)))</f>
        <v>0</v>
      </c>
      <c r="H491" s="21">
        <f>IF(H483="",0,INDEX(Input_Range,MATCH((C371&amp;B491),Input_Call,0),MATCH(H483,Input_Header,0)))</f>
        <v>0</v>
      </c>
      <c r="I491" s="21">
        <f>IF(I483="",0,INDEX(Input_Range,MATCH((C371&amp;B491),Input_Call,0),MATCH(I483,Input_Header,0)))</f>
        <v>0</v>
      </c>
      <c r="J491" s="21">
        <f>IF(J483="",0,INDEX(Input_Range,MATCH((C371&amp;B491),Input_Call,0),MATCH(J483,Input_Header,0)))</f>
        <v>0</v>
      </c>
      <c r="K491" s="21">
        <f>IF(K483="",0,INDEX(Input_Range,MATCH((C371&amp;B491),Input_Call,0),MATCH(K483,Input_Header,0)))</f>
        <v>0</v>
      </c>
      <c r="L491" s="21">
        <f>IF(L483="",0,INDEX(Input_Range,MATCH((C371&amp;B491),Input_Call,0),MATCH(L483,Input_Header,0)))</f>
        <v>0</v>
      </c>
      <c r="M491" s="21">
        <f>IF(M483="",0,INDEX(Input_Range,MATCH((C371&amp;B491),Input_Call,0),MATCH(M483,Input_Header,0)))</f>
        <v>0</v>
      </c>
      <c r="N491" s="21">
        <f>IF(N483="",0,INDEX(Input_Range,MATCH((C371&amp;B491),Input_Call,0),MATCH(N483,Input_Header,0)))</f>
        <v>0</v>
      </c>
      <c r="O491" s="21">
        <f>IF(O483="",0,INDEX(Input_Range,MATCH((C371&amp;B491),Input_Call,0),MATCH(O483,Input_Header,0)))</f>
        <v>0</v>
      </c>
      <c r="P491" s="21">
        <f>IF(P483="",0,INDEX(Input_Range,MATCH((C371&amp;B491),Input_Call,0),MATCH(P483,Input_Header,0)))</f>
        <v>0</v>
      </c>
      <c r="Q491" s="21">
        <f>IF(Q483="",0,INDEX(Input_Range,MATCH((C371&amp;B491),Input_Call,0),MATCH(Q483,Input_Header,0)))</f>
        <v>0</v>
      </c>
      <c r="R491" s="698">
        <f t="shared" si="715"/>
        <v>0</v>
      </c>
      <c r="T491" s="699">
        <f t="shared" si="716"/>
        <v>0</v>
      </c>
      <c r="U491" s="699">
        <f t="shared" si="717"/>
        <v>0</v>
      </c>
      <c r="V491" s="699">
        <f t="shared" si="718"/>
        <v>0</v>
      </c>
      <c r="W491" s="699">
        <f t="shared" si="719"/>
        <v>0</v>
      </c>
      <c r="X491" s="699">
        <f t="shared" si="720"/>
        <v>0</v>
      </c>
      <c r="Y491" s="699">
        <f t="shared" si="721"/>
        <v>0</v>
      </c>
      <c r="Z491" s="699">
        <f t="shared" si="722"/>
        <v>0</v>
      </c>
      <c r="AA491" s="699">
        <f t="shared" si="723"/>
        <v>0</v>
      </c>
      <c r="AB491" s="699">
        <f t="shared" si="724"/>
        <v>0</v>
      </c>
      <c r="AC491" s="699">
        <f t="shared" si="725"/>
        <v>0</v>
      </c>
      <c r="AD491" s="699">
        <f t="shared" si="726"/>
        <v>0</v>
      </c>
      <c r="AE491" s="699">
        <f t="shared" si="727"/>
        <v>0</v>
      </c>
      <c r="AF491" s="699">
        <f t="shared" si="728"/>
        <v>0</v>
      </c>
      <c r="AG491" s="699">
        <f t="shared" si="729"/>
        <v>0</v>
      </c>
      <c r="AI491" s="698" t="e">
        <f t="shared" si="712"/>
        <v>#DIV/0!</v>
      </c>
      <c r="AJ491" s="21"/>
      <c r="AK491" s="21"/>
      <c r="AL491" s="4" t="str">
        <f>$A491&amp;$C371&amp;InputSheet!C$48&amp;InputSheet!D$48</f>
        <v>Option Year 9ESDTBD3Contr/Govt</v>
      </c>
      <c r="AM491" s="700" t="e">
        <f t="shared" si="713"/>
        <v>#DIV/0!</v>
      </c>
      <c r="AP491" s="387" t="e">
        <f t="shared" si="669"/>
        <v>#DIV/0!</v>
      </c>
    </row>
    <row r="492" spans="1:42">
      <c r="E492" s="698"/>
      <c r="F492" s="698"/>
      <c r="G492" s="698"/>
      <c r="H492" s="698"/>
      <c r="I492" s="698"/>
      <c r="J492" s="698"/>
      <c r="K492" s="698"/>
      <c r="L492" s="698"/>
      <c r="M492" s="698"/>
      <c r="N492" s="698"/>
      <c r="O492" s="698"/>
      <c r="P492" s="698"/>
      <c r="Q492" s="698"/>
      <c r="R492" s="698"/>
      <c r="AI492" s="21"/>
      <c r="AJ492" s="21"/>
      <c r="AK492" s="21"/>
      <c r="AP492" s="387" t="str">
        <f t="shared" si="669"/>
        <v>1</v>
      </c>
    </row>
    <row r="493" spans="1:42">
      <c r="A493" s="530" t="str">
        <f>B493</f>
        <v>Option Year 10</v>
      </c>
      <c r="B493" s="691" t="str">
        <f>InputSheet!$C$32</f>
        <v>Option Year 10</v>
      </c>
      <c r="AP493" s="387" t="str">
        <f t="shared" si="669"/>
        <v>1</v>
      </c>
    </row>
    <row r="494" spans="1:42">
      <c r="B494" s="314" t="s">
        <v>587</v>
      </c>
      <c r="C494" s="692" t="s">
        <v>588</v>
      </c>
      <c r="E494" s="1216" t="str">
        <f>"Indirect Rates - "&amp;C$371</f>
        <v>Indirect Rates - ESD</v>
      </c>
      <c r="F494" s="1216"/>
      <c r="G494" s="1216"/>
      <c r="H494" s="1216"/>
      <c r="I494" s="1216"/>
      <c r="J494" s="1216"/>
      <c r="K494" s="1216"/>
      <c r="L494" s="1216"/>
      <c r="M494" s="1216"/>
      <c r="N494" s="1216"/>
      <c r="O494" s="1216"/>
      <c r="P494" s="1216"/>
      <c r="Q494" s="1216"/>
      <c r="R494" s="1216"/>
      <c r="S494" s="844"/>
      <c r="T494" s="1217" t="s">
        <v>794</v>
      </c>
      <c r="U494" s="1217"/>
      <c r="V494" s="1217"/>
      <c r="W494" s="1217"/>
      <c r="X494" s="1217"/>
      <c r="Y494" s="1217"/>
      <c r="Z494" s="1217"/>
      <c r="AA494" s="1217"/>
      <c r="AB494" s="1217"/>
      <c r="AC494" s="1217"/>
      <c r="AD494" s="1217"/>
      <c r="AE494" s="1217"/>
      <c r="AF494" s="1217"/>
      <c r="AG494" s="1217"/>
      <c r="AI494" s="692" t="s">
        <v>615</v>
      </c>
      <c r="AJ494" s="50"/>
      <c r="AK494" s="50"/>
      <c r="AP494" s="387" t="str">
        <f t="shared" si="669"/>
        <v>1</v>
      </c>
    </row>
    <row r="495" spans="1:42">
      <c r="B495" s="693">
        <f>VLOOKUP(A493,InputSheet!$C$8:$E$37,2,FALSE)</f>
        <v>1827</v>
      </c>
      <c r="C495" s="694">
        <f>VLOOKUP(A493,InputSheet!$C$8:$E$37,3,FALSE)</f>
        <v>2191</v>
      </c>
      <c r="E495" s="695">
        <f t="shared" ref="E495:R495" si="730">E483</f>
        <v>2009</v>
      </c>
      <c r="F495" s="695">
        <f t="shared" si="730"/>
        <v>2010</v>
      </c>
      <c r="G495" s="695">
        <f t="shared" si="730"/>
        <v>2011</v>
      </c>
      <c r="H495" s="695">
        <f t="shared" si="730"/>
        <v>2012</v>
      </c>
      <c r="I495" s="695">
        <f t="shared" si="730"/>
        <v>2013</v>
      </c>
      <c r="J495" s="695">
        <f t="shared" si="730"/>
        <v>2014</v>
      </c>
      <c r="K495" s="695">
        <f t="shared" si="730"/>
        <v>2015</v>
      </c>
      <c r="L495" s="695">
        <f t="shared" si="730"/>
        <v>2016</v>
      </c>
      <c r="M495" s="695">
        <f t="shared" si="730"/>
        <v>2017</v>
      </c>
      <c r="N495" s="695">
        <f t="shared" si="730"/>
        <v>2018</v>
      </c>
      <c r="O495" s="695">
        <f t="shared" si="730"/>
        <v>2019</v>
      </c>
      <c r="P495" s="695">
        <f t="shared" si="730"/>
        <v>2020</v>
      </c>
      <c r="Q495" s="695">
        <f t="shared" si="730"/>
        <v>2021</v>
      </c>
      <c r="R495" s="695">
        <f t="shared" si="730"/>
        <v>2022</v>
      </c>
      <c r="S495" s="680"/>
      <c r="T495" s="695">
        <f t="shared" ref="T495:AG495" si="731">T483</f>
        <v>2009</v>
      </c>
      <c r="U495" s="695">
        <f t="shared" si="731"/>
        <v>2010</v>
      </c>
      <c r="V495" s="695">
        <f t="shared" si="731"/>
        <v>2011</v>
      </c>
      <c r="W495" s="695">
        <f t="shared" si="731"/>
        <v>2012</v>
      </c>
      <c r="X495" s="695">
        <f t="shared" si="731"/>
        <v>2013</v>
      </c>
      <c r="Y495" s="695">
        <f t="shared" si="731"/>
        <v>2014</v>
      </c>
      <c r="Z495" s="695">
        <f t="shared" si="731"/>
        <v>2015</v>
      </c>
      <c r="AA495" s="695">
        <f t="shared" si="731"/>
        <v>2016</v>
      </c>
      <c r="AB495" s="695">
        <f t="shared" si="731"/>
        <v>2017</v>
      </c>
      <c r="AC495" s="695">
        <f t="shared" si="731"/>
        <v>2018</v>
      </c>
      <c r="AD495" s="695">
        <f t="shared" si="731"/>
        <v>2019</v>
      </c>
      <c r="AE495" s="695">
        <f t="shared" si="731"/>
        <v>2020</v>
      </c>
      <c r="AF495" s="695">
        <f t="shared" si="731"/>
        <v>2021</v>
      </c>
      <c r="AG495" s="695">
        <f t="shared" si="731"/>
        <v>2022</v>
      </c>
      <c r="AI495" s="696" t="str">
        <f>B493</f>
        <v>Option Year 10</v>
      </c>
      <c r="AJ495" s="28"/>
      <c r="AK495" s="28"/>
      <c r="AP495" s="387" t="str">
        <f t="shared" si="669"/>
        <v>1</v>
      </c>
    </row>
    <row r="496" spans="1:42">
      <c r="A496" s="6" t="str">
        <f>A493</f>
        <v>Option Year 10</v>
      </c>
      <c r="B496" s="6" t="str">
        <f t="shared" ref="B496:B503" si="732">B484</f>
        <v>PRB</v>
      </c>
      <c r="E496" s="698">
        <f>IF(E495="",0,INDEX(Input_Range,MATCH((C371&amp;B496),Input_Call,0),MATCH(E495,Input_Header,0)))</f>
        <v>0</v>
      </c>
      <c r="F496" s="698">
        <f>IF(F495="",0,INDEX(Input_Range,MATCH((C371&amp;B496),Input_Call,0),MATCH(F495,Input_Header,0)))</f>
        <v>0</v>
      </c>
      <c r="G496" s="698">
        <f>IF(G495="",0,INDEX(Input_Range,MATCH((C371&amp;B496),Input_Call,0),MATCH(G495,Input_Header,0)))</f>
        <v>0</v>
      </c>
      <c r="H496" s="698">
        <f>IF(H495="",0,INDEX(Input_Range,MATCH((C371&amp;B496),Input_Call,0),MATCH(H495,Input_Header,0)))</f>
        <v>0</v>
      </c>
      <c r="I496" s="698">
        <f>IF(I495="",0,INDEX(Input_Range,MATCH((C371&amp;B496),Input_Call,0),MATCH(I495,Input_Header,0)))</f>
        <v>0</v>
      </c>
      <c r="J496" s="698">
        <f>IF(J495="",0,INDEX(Input_Range,MATCH((C371&amp;B496),Input_Call,0),MATCH(J495,Input_Header,0)))</f>
        <v>0</v>
      </c>
      <c r="K496" s="698">
        <f>IF(K495="",0,INDEX(Input_Range,MATCH((C371&amp;B496),Input_Call,0),MATCH(K495,Input_Header,0)))</f>
        <v>0</v>
      </c>
      <c r="L496" s="698">
        <f>IF(L495="",0,INDEX(Input_Range,MATCH((C371&amp;B496),Input_Call,0),MATCH(L495,Input_Header,0)))</f>
        <v>0</v>
      </c>
      <c r="M496" s="698">
        <f>IF(M495="",0,INDEX(Input_Range,MATCH((C371&amp;B496),Input_Call,0),MATCH(M495,Input_Header,0)))</f>
        <v>0</v>
      </c>
      <c r="N496" s="698">
        <f>IF(N495="",0,INDEX(Input_Range,MATCH((C371&amp;B496),Input_Call,0),MATCH(N495,Input_Header,0)))</f>
        <v>0</v>
      </c>
      <c r="O496" s="698">
        <f>IF(O495="",0,INDEX(Input_Range,MATCH((C371&amp;B496),Input_Call,0),MATCH(O495,Input_Header,0)))</f>
        <v>0</v>
      </c>
      <c r="P496" s="698">
        <f>IF(P495="",0,INDEX(Input_Range,MATCH((C371&amp;B496),Input_Call,0),MATCH(P495,Input_Header,0)))</f>
        <v>0</v>
      </c>
      <c r="Q496" s="698">
        <f>IF(Q495="",0,INDEX(Input_Range,MATCH((C371&amp;B496),Input_Call,0),MATCH(Q495,Input_Header,0)))</f>
        <v>0</v>
      </c>
      <c r="R496" s="698">
        <f>Q496</f>
        <v>0</v>
      </c>
      <c r="T496" s="699">
        <f t="shared" ref="T496:AG496" si="733">ROUND((MAX(0,(MIN($C495,DATE(T495,12,31))-MAX($B495,DATE(T495,1,1))+1)))/30.41667,0)</f>
        <v>0</v>
      </c>
      <c r="U496" s="699">
        <f t="shared" si="733"/>
        <v>0</v>
      </c>
      <c r="V496" s="699">
        <f t="shared" si="733"/>
        <v>0</v>
      </c>
      <c r="W496" s="699">
        <f t="shared" si="733"/>
        <v>0</v>
      </c>
      <c r="X496" s="699">
        <f t="shared" si="733"/>
        <v>0</v>
      </c>
      <c r="Y496" s="699">
        <f t="shared" si="733"/>
        <v>0</v>
      </c>
      <c r="Z496" s="699">
        <f t="shared" si="733"/>
        <v>0</v>
      </c>
      <c r="AA496" s="699">
        <f t="shared" si="733"/>
        <v>0</v>
      </c>
      <c r="AB496" s="699">
        <f t="shared" si="733"/>
        <v>0</v>
      </c>
      <c r="AC496" s="699">
        <f t="shared" si="733"/>
        <v>0</v>
      </c>
      <c r="AD496" s="699">
        <f t="shared" si="733"/>
        <v>0</v>
      </c>
      <c r="AE496" s="699">
        <f t="shared" si="733"/>
        <v>0</v>
      </c>
      <c r="AF496" s="699">
        <f t="shared" si="733"/>
        <v>0</v>
      </c>
      <c r="AG496" s="699">
        <f t="shared" si="733"/>
        <v>0</v>
      </c>
      <c r="AI496" s="698" t="e">
        <f t="shared" ref="AI496:AI503" si="734">ROUND(SUMPRODUCT(E496:R496,T496:AG496)/SUM(T496:AG496),4)</f>
        <v>#DIV/0!</v>
      </c>
      <c r="AJ496" s="698"/>
      <c r="AK496" s="698"/>
      <c r="AL496" s="4" t="str">
        <f>$A496&amp;$C371&amp;InputSheet!C$41&amp;InputSheet!D$41</f>
        <v>Option Year 10ESDPRBContr/Govt</v>
      </c>
      <c r="AM496" s="700" t="e">
        <f t="shared" ref="AM496:AM503" si="735">AI496</f>
        <v>#DIV/0!</v>
      </c>
      <c r="AP496" s="387" t="e">
        <f t="shared" si="669"/>
        <v>#DIV/0!</v>
      </c>
    </row>
    <row r="497" spans="1:42">
      <c r="A497" s="6" t="str">
        <f t="shared" ref="A497:A503" si="736">A496</f>
        <v>Option Year 10</v>
      </c>
      <c r="B497" s="6" t="str">
        <f t="shared" si="732"/>
        <v>Overhead - Offsite</v>
      </c>
      <c r="E497" s="698">
        <f>IF(E495="",0,INDEX(Input_Range,MATCH((C371&amp;B497),Input_Call,0),MATCH(E495,Input_Header,0)))</f>
        <v>0</v>
      </c>
      <c r="F497" s="698">
        <f>IF(F495="",0,INDEX(Input_Range,MATCH((C371&amp;B497),Input_Call,0),MATCH(F495,Input_Header,0)))</f>
        <v>0</v>
      </c>
      <c r="G497" s="698">
        <f>IF(G495="",0,INDEX(Input_Range,MATCH((C371&amp;B497),Input_Call,0),MATCH(G495,Input_Header,0)))</f>
        <v>0</v>
      </c>
      <c r="H497" s="698">
        <f>IF(H495="",0,INDEX(Input_Range,MATCH((C371&amp;B497),Input_Call,0),MATCH(H495,Input_Header,0)))</f>
        <v>0</v>
      </c>
      <c r="I497" s="698">
        <f>IF(I495="",0,INDEX(Input_Range,MATCH((C371&amp;B497),Input_Call,0),MATCH(I495,Input_Header,0)))</f>
        <v>0</v>
      </c>
      <c r="J497" s="698">
        <f>IF(J495="",0,INDEX(Input_Range,MATCH((C371&amp;B497),Input_Call,0),MATCH(J495,Input_Header,0)))</f>
        <v>0</v>
      </c>
      <c r="K497" s="698">
        <f>IF(K495="",0,INDEX(Input_Range,MATCH((C371&amp;B497),Input_Call,0),MATCH(K495,Input_Header,0)))</f>
        <v>0</v>
      </c>
      <c r="L497" s="698">
        <f>IF(L495="",0,INDEX(Input_Range,MATCH((C371&amp;B497),Input_Call,0),MATCH(L495,Input_Header,0)))</f>
        <v>0</v>
      </c>
      <c r="M497" s="698">
        <f>IF(M495="",0,INDEX(Input_Range,MATCH((C371&amp;B497),Input_Call,0),MATCH(M495,Input_Header,0)))</f>
        <v>0</v>
      </c>
      <c r="N497" s="698">
        <f>IF(N495="",0,INDEX(Input_Range,MATCH((C371&amp;B497),Input_Call,0),MATCH(N495,Input_Header,0)))</f>
        <v>0</v>
      </c>
      <c r="O497" s="698">
        <f>IF(O495="",0,INDEX(Input_Range,MATCH((C371&amp;B497),Input_Call,0),MATCH(O495,Input_Header,0)))</f>
        <v>0</v>
      </c>
      <c r="P497" s="698">
        <f>IF(P495="",0,INDEX(Input_Range,MATCH((C371&amp;B497),Input_Call,0),MATCH(P495,Input_Header,0)))</f>
        <v>0</v>
      </c>
      <c r="Q497" s="698">
        <f>IF(Q495="",0,INDEX(Input_Range,MATCH((C371&amp;B497),Input_Call,0),MATCH(Q495,Input_Header,0)))</f>
        <v>0</v>
      </c>
      <c r="R497" s="698">
        <f t="shared" ref="R497:R503" si="737">Q497</f>
        <v>0</v>
      </c>
      <c r="T497" s="699">
        <f t="shared" ref="T497:T503" si="738">T496</f>
        <v>0</v>
      </c>
      <c r="U497" s="699">
        <f t="shared" ref="U497:U503" si="739">U496</f>
        <v>0</v>
      </c>
      <c r="V497" s="699">
        <f t="shared" ref="V497:V503" si="740">V496</f>
        <v>0</v>
      </c>
      <c r="W497" s="699">
        <f t="shared" ref="W497:W503" si="741">W496</f>
        <v>0</v>
      </c>
      <c r="X497" s="699">
        <f t="shared" ref="X497:X503" si="742">X496</f>
        <v>0</v>
      </c>
      <c r="Y497" s="699">
        <f t="shared" ref="Y497:Y503" si="743">Y496</f>
        <v>0</v>
      </c>
      <c r="Z497" s="699">
        <f t="shared" ref="Z497:Z503" si="744">Z496</f>
        <v>0</v>
      </c>
      <c r="AA497" s="699">
        <f t="shared" ref="AA497:AA503" si="745">AA496</f>
        <v>0</v>
      </c>
      <c r="AB497" s="699">
        <f t="shared" ref="AB497:AB503" si="746">AB496</f>
        <v>0</v>
      </c>
      <c r="AC497" s="699">
        <f t="shared" ref="AC497:AC503" si="747">AC496</f>
        <v>0</v>
      </c>
      <c r="AD497" s="699">
        <f t="shared" ref="AD497:AD503" si="748">AD496</f>
        <v>0</v>
      </c>
      <c r="AE497" s="699">
        <f t="shared" ref="AE497:AE503" si="749">AE496</f>
        <v>0</v>
      </c>
      <c r="AF497" s="699">
        <f t="shared" ref="AF497:AF503" si="750">AF496</f>
        <v>0</v>
      </c>
      <c r="AG497" s="699">
        <f t="shared" ref="AG497:AG503" si="751">AG496</f>
        <v>0</v>
      </c>
      <c r="AI497" s="698" t="e">
        <f t="shared" si="734"/>
        <v>#DIV/0!</v>
      </c>
      <c r="AJ497" s="698"/>
      <c r="AK497" s="698"/>
      <c r="AL497" s="4" t="str">
        <f>$A497&amp;$C371&amp;InputSheet!C$42&amp;InputSheet!D$42</f>
        <v>Option Year 10ESDOverheadContr</v>
      </c>
      <c r="AM497" s="700" t="e">
        <f t="shared" si="735"/>
        <v>#DIV/0!</v>
      </c>
      <c r="AP497" s="387" t="e">
        <f t="shared" si="669"/>
        <v>#DIV/0!</v>
      </c>
    </row>
    <row r="498" spans="1:42">
      <c r="A498" s="6" t="str">
        <f t="shared" si="736"/>
        <v>Option Year 10</v>
      </c>
      <c r="B498" s="6" t="str">
        <f t="shared" si="732"/>
        <v>Overhead - Onsite</v>
      </c>
      <c r="E498" s="698">
        <f>IF(E495="",0,INDEX(Input_Range,MATCH((C371&amp;B498),Input_Call,0),MATCH(E495,Input_Header,0)))</f>
        <v>0</v>
      </c>
      <c r="F498" s="698">
        <f>IF(F495="",0,INDEX(Input_Range,MATCH((C371&amp;B498),Input_Call,0),MATCH(F495,Input_Header,0)))</f>
        <v>0</v>
      </c>
      <c r="G498" s="698">
        <f>IF(G495="",0,INDEX(Input_Range,MATCH((C371&amp;B498),Input_Call,0),MATCH(G495,Input_Header,0)))</f>
        <v>0</v>
      </c>
      <c r="H498" s="698">
        <f>IF(H495="",0,INDEX(Input_Range,MATCH((C371&amp;B498),Input_Call,0),MATCH(H495,Input_Header,0)))</f>
        <v>0</v>
      </c>
      <c r="I498" s="698">
        <f>IF(I495="",0,INDEX(Input_Range,MATCH((C371&amp;B498),Input_Call,0),MATCH(I495,Input_Header,0)))</f>
        <v>0</v>
      </c>
      <c r="J498" s="698">
        <f>IF(J495="",0,INDEX(Input_Range,MATCH((C371&amp;B498),Input_Call,0),MATCH(J495,Input_Header,0)))</f>
        <v>0</v>
      </c>
      <c r="K498" s="698">
        <f>IF(K495="",0,INDEX(Input_Range,MATCH((C371&amp;B498),Input_Call,0),MATCH(K495,Input_Header,0)))</f>
        <v>0</v>
      </c>
      <c r="L498" s="698">
        <f>IF(L495="",0,INDEX(Input_Range,MATCH((C371&amp;B498),Input_Call,0),MATCH(L495,Input_Header,0)))</f>
        <v>0</v>
      </c>
      <c r="M498" s="698">
        <f>IF(M495="",0,INDEX(Input_Range,MATCH((C371&amp;B498),Input_Call,0),MATCH(M495,Input_Header,0)))</f>
        <v>0</v>
      </c>
      <c r="N498" s="698">
        <f>IF(N495="",0,INDEX(Input_Range,MATCH((C371&amp;B498),Input_Call,0),MATCH(N495,Input_Header,0)))</f>
        <v>0</v>
      </c>
      <c r="O498" s="698">
        <f>IF(O495="",0,INDEX(Input_Range,MATCH((C371&amp;B498),Input_Call,0),MATCH(O495,Input_Header,0)))</f>
        <v>0</v>
      </c>
      <c r="P498" s="698">
        <f>IF(P495="",0,INDEX(Input_Range,MATCH((C371&amp;B498),Input_Call,0),MATCH(P495,Input_Header,0)))</f>
        <v>0</v>
      </c>
      <c r="Q498" s="698">
        <f>IF(Q495="",0,INDEX(Input_Range,MATCH((C371&amp;B498),Input_Call,0),MATCH(Q495,Input_Header,0)))</f>
        <v>0</v>
      </c>
      <c r="R498" s="698">
        <f t="shared" si="737"/>
        <v>0</v>
      </c>
      <c r="T498" s="699">
        <f t="shared" si="738"/>
        <v>0</v>
      </c>
      <c r="U498" s="699">
        <f t="shared" si="739"/>
        <v>0</v>
      </c>
      <c r="V498" s="699">
        <f t="shared" si="740"/>
        <v>0</v>
      </c>
      <c r="W498" s="699">
        <f t="shared" si="741"/>
        <v>0</v>
      </c>
      <c r="X498" s="699">
        <f t="shared" si="742"/>
        <v>0</v>
      </c>
      <c r="Y498" s="699">
        <f t="shared" si="743"/>
        <v>0</v>
      </c>
      <c r="Z498" s="699">
        <f t="shared" si="744"/>
        <v>0</v>
      </c>
      <c r="AA498" s="699">
        <f t="shared" si="745"/>
        <v>0</v>
      </c>
      <c r="AB498" s="699">
        <f t="shared" si="746"/>
        <v>0</v>
      </c>
      <c r="AC498" s="699">
        <f t="shared" si="747"/>
        <v>0</v>
      </c>
      <c r="AD498" s="699">
        <f t="shared" si="748"/>
        <v>0</v>
      </c>
      <c r="AE498" s="699">
        <f t="shared" si="749"/>
        <v>0</v>
      </c>
      <c r="AF498" s="699">
        <f t="shared" si="750"/>
        <v>0</v>
      </c>
      <c r="AG498" s="699">
        <f t="shared" si="751"/>
        <v>0</v>
      </c>
      <c r="AI498" s="698" t="e">
        <f t="shared" si="734"/>
        <v>#DIV/0!</v>
      </c>
      <c r="AJ498" s="698"/>
      <c r="AK498" s="698"/>
      <c r="AL498" s="4" t="str">
        <f>$A498&amp;$C371&amp;InputSheet!C$43&amp;InputSheet!D$43</f>
        <v>Option Year 10ESDOverheadGovt</v>
      </c>
      <c r="AM498" s="700" t="e">
        <f t="shared" si="735"/>
        <v>#DIV/0!</v>
      </c>
      <c r="AP498" s="387" t="e">
        <f t="shared" si="669"/>
        <v>#DIV/0!</v>
      </c>
    </row>
    <row r="499" spans="1:42">
      <c r="A499" s="6" t="str">
        <f t="shared" si="736"/>
        <v>Option Year 10</v>
      </c>
      <c r="B499" s="6" t="str">
        <f t="shared" si="732"/>
        <v>Material Handling</v>
      </c>
      <c r="E499" s="698">
        <f>IF(E495="",0,INDEX(Input_Range,MATCH((C371&amp;B499),Input_Call,0),MATCH(E495,Input_Header,0)))</f>
        <v>0</v>
      </c>
      <c r="F499" s="698">
        <f>IF(F495="",0,INDEX(Input_Range,MATCH((C371&amp;B499),Input_Call,0),MATCH(F495,Input_Header,0)))</f>
        <v>0</v>
      </c>
      <c r="G499" s="698">
        <f>IF(G495="",0,INDEX(Input_Range,MATCH((C371&amp;B499),Input_Call,0),MATCH(G495,Input_Header,0)))</f>
        <v>0</v>
      </c>
      <c r="H499" s="698">
        <f>IF(H495="",0,INDEX(Input_Range,MATCH((C371&amp;B499),Input_Call,0),MATCH(H495,Input_Header,0)))</f>
        <v>0</v>
      </c>
      <c r="I499" s="698">
        <f>IF(I495="",0,INDEX(Input_Range,MATCH((C371&amp;B499),Input_Call,0),MATCH(I495,Input_Header,0)))</f>
        <v>0</v>
      </c>
      <c r="J499" s="698">
        <f>IF(J495="",0,INDEX(Input_Range,MATCH((C371&amp;B499),Input_Call,0),MATCH(J495,Input_Header,0)))</f>
        <v>0</v>
      </c>
      <c r="K499" s="698">
        <f>IF(K495="",0,INDEX(Input_Range,MATCH((C371&amp;B499),Input_Call,0),MATCH(K495,Input_Header,0)))</f>
        <v>0</v>
      </c>
      <c r="L499" s="698">
        <f>IF(L495="",0,INDEX(Input_Range,MATCH((C371&amp;B499),Input_Call,0),MATCH(L495,Input_Header,0)))</f>
        <v>0</v>
      </c>
      <c r="M499" s="698">
        <f>IF(M495="",0,INDEX(Input_Range,MATCH((C371&amp;B499),Input_Call,0),MATCH(M495,Input_Header,0)))</f>
        <v>0</v>
      </c>
      <c r="N499" s="698">
        <f>IF(N495="",0,INDEX(Input_Range,MATCH((C371&amp;B499),Input_Call,0),MATCH(N495,Input_Header,0)))</f>
        <v>0</v>
      </c>
      <c r="O499" s="698">
        <f>IF(O495="",0,INDEX(Input_Range,MATCH((C371&amp;B499),Input_Call,0),MATCH(O495,Input_Header,0)))</f>
        <v>0</v>
      </c>
      <c r="P499" s="698">
        <f>IF(P495="",0,INDEX(Input_Range,MATCH((C371&amp;B499),Input_Call,0),MATCH(P495,Input_Header,0)))</f>
        <v>0</v>
      </c>
      <c r="Q499" s="698">
        <f>IF(Q495="",0,INDEX(Input_Range,MATCH((C371&amp;B499),Input_Call,0),MATCH(Q495,Input_Header,0)))</f>
        <v>0</v>
      </c>
      <c r="R499" s="698">
        <f t="shared" si="737"/>
        <v>0</v>
      </c>
      <c r="T499" s="699">
        <f t="shared" si="738"/>
        <v>0</v>
      </c>
      <c r="U499" s="699">
        <f t="shared" si="739"/>
        <v>0</v>
      </c>
      <c r="V499" s="699">
        <f t="shared" si="740"/>
        <v>0</v>
      </c>
      <c r="W499" s="699">
        <f t="shared" si="741"/>
        <v>0</v>
      </c>
      <c r="X499" s="699">
        <f t="shared" si="742"/>
        <v>0</v>
      </c>
      <c r="Y499" s="699">
        <f t="shared" si="743"/>
        <v>0</v>
      </c>
      <c r="Z499" s="699">
        <f t="shared" si="744"/>
        <v>0</v>
      </c>
      <c r="AA499" s="699">
        <f t="shared" si="745"/>
        <v>0</v>
      </c>
      <c r="AB499" s="699">
        <f t="shared" si="746"/>
        <v>0</v>
      </c>
      <c r="AC499" s="699">
        <f t="shared" si="747"/>
        <v>0</v>
      </c>
      <c r="AD499" s="699">
        <f t="shared" si="748"/>
        <v>0</v>
      </c>
      <c r="AE499" s="699">
        <f t="shared" si="749"/>
        <v>0</v>
      </c>
      <c r="AF499" s="699">
        <f t="shared" si="750"/>
        <v>0</v>
      </c>
      <c r="AG499" s="699">
        <f t="shared" si="751"/>
        <v>0</v>
      </c>
      <c r="AI499" s="698" t="e">
        <f t="shared" si="734"/>
        <v>#DIV/0!</v>
      </c>
      <c r="AJ499" s="698"/>
      <c r="AK499" s="698"/>
      <c r="AL499" s="4" t="str">
        <f>$A499&amp;$C371&amp;InputSheet!C$44&amp;InputSheet!D$44</f>
        <v>Option Year 10ESDMHContr/Govt</v>
      </c>
      <c r="AM499" s="700" t="e">
        <f t="shared" si="735"/>
        <v>#DIV/0!</v>
      </c>
      <c r="AP499" s="387" t="e">
        <f t="shared" si="669"/>
        <v>#DIV/0!</v>
      </c>
    </row>
    <row r="500" spans="1:42">
      <c r="A500" s="6" t="str">
        <f t="shared" si="736"/>
        <v>Option Year 10</v>
      </c>
      <c r="B500" s="6" t="str">
        <f t="shared" si="732"/>
        <v>G&amp;A</v>
      </c>
      <c r="E500" s="698">
        <f>IF(E495="",0,INDEX(Input_Range,MATCH((C371&amp;B500),Input_Call,0),MATCH(E495,Input_Header,0)))</f>
        <v>0</v>
      </c>
      <c r="F500" s="698">
        <f>IF(F495="",0,INDEX(Input_Range,MATCH((C371&amp;B500),Input_Call,0),MATCH(F495,Input_Header,0)))</f>
        <v>0</v>
      </c>
      <c r="G500" s="698">
        <f>IF(G495="",0,INDEX(Input_Range,MATCH((C371&amp;B500),Input_Call,0),MATCH(G495,Input_Header,0)))</f>
        <v>0</v>
      </c>
      <c r="H500" s="698">
        <f>IF(H495="",0,INDEX(Input_Range,MATCH((C371&amp;B500),Input_Call,0),MATCH(H495,Input_Header,0)))</f>
        <v>0</v>
      </c>
      <c r="I500" s="698">
        <f>IF(I495="",0,INDEX(Input_Range,MATCH((C371&amp;B500),Input_Call,0),MATCH(I495,Input_Header,0)))</f>
        <v>0</v>
      </c>
      <c r="J500" s="698">
        <f>IF(J495="",0,INDEX(Input_Range,MATCH((C371&amp;B500),Input_Call,0),MATCH(J495,Input_Header,0)))</f>
        <v>0</v>
      </c>
      <c r="K500" s="698">
        <f>IF(K495="",0,INDEX(Input_Range,MATCH((C371&amp;B500),Input_Call,0),MATCH(K495,Input_Header,0)))</f>
        <v>0</v>
      </c>
      <c r="L500" s="698">
        <f>IF(L495="",0,INDEX(Input_Range,MATCH((C371&amp;B500),Input_Call,0),MATCH(L495,Input_Header,0)))</f>
        <v>0</v>
      </c>
      <c r="M500" s="698">
        <f>IF(M495="",0,INDEX(Input_Range,MATCH((C371&amp;B500),Input_Call,0),MATCH(M495,Input_Header,0)))</f>
        <v>0</v>
      </c>
      <c r="N500" s="698">
        <f>IF(N495="",0,INDEX(Input_Range,MATCH((C371&amp;B500),Input_Call,0),MATCH(N495,Input_Header,0)))</f>
        <v>0</v>
      </c>
      <c r="O500" s="698">
        <f>IF(O495="",0,INDEX(Input_Range,MATCH((C371&amp;B500),Input_Call,0),MATCH(O495,Input_Header,0)))</f>
        <v>0</v>
      </c>
      <c r="P500" s="698">
        <f>IF(P495="",0,INDEX(Input_Range,MATCH((C371&amp;B500),Input_Call,0),MATCH(P495,Input_Header,0)))</f>
        <v>0</v>
      </c>
      <c r="Q500" s="698">
        <f>IF(Q495="",0,INDEX(Input_Range,MATCH((C371&amp;B500),Input_Call,0),MATCH(Q495,Input_Header,0)))</f>
        <v>0</v>
      </c>
      <c r="R500" s="698">
        <f t="shared" si="737"/>
        <v>0</v>
      </c>
      <c r="T500" s="699">
        <f t="shared" si="738"/>
        <v>0</v>
      </c>
      <c r="U500" s="699">
        <f t="shared" si="739"/>
        <v>0</v>
      </c>
      <c r="V500" s="699">
        <f t="shared" si="740"/>
        <v>0</v>
      </c>
      <c r="W500" s="699">
        <f t="shared" si="741"/>
        <v>0</v>
      </c>
      <c r="X500" s="699">
        <f t="shared" si="742"/>
        <v>0</v>
      </c>
      <c r="Y500" s="699">
        <f t="shared" si="743"/>
        <v>0</v>
      </c>
      <c r="Z500" s="699">
        <f t="shared" si="744"/>
        <v>0</v>
      </c>
      <c r="AA500" s="699">
        <f t="shared" si="745"/>
        <v>0</v>
      </c>
      <c r="AB500" s="699">
        <f t="shared" si="746"/>
        <v>0</v>
      </c>
      <c r="AC500" s="699">
        <f t="shared" si="747"/>
        <v>0</v>
      </c>
      <c r="AD500" s="699">
        <f t="shared" si="748"/>
        <v>0</v>
      </c>
      <c r="AE500" s="699">
        <f t="shared" si="749"/>
        <v>0</v>
      </c>
      <c r="AF500" s="699">
        <f t="shared" si="750"/>
        <v>0</v>
      </c>
      <c r="AG500" s="699">
        <f t="shared" si="751"/>
        <v>0</v>
      </c>
      <c r="AI500" s="698" t="e">
        <f t="shared" si="734"/>
        <v>#DIV/0!</v>
      </c>
      <c r="AJ500" s="698"/>
      <c r="AK500" s="698"/>
      <c r="AL500" s="4" t="str">
        <f>$A500&amp;$C371&amp;InputSheet!C$45&amp;InputSheet!D$45</f>
        <v>Option Year 10ESDG&amp;AContr/Govt</v>
      </c>
      <c r="AM500" s="700" t="e">
        <f t="shared" si="735"/>
        <v>#DIV/0!</v>
      </c>
      <c r="AP500" s="387" t="e">
        <f t="shared" si="669"/>
        <v>#DIV/0!</v>
      </c>
    </row>
    <row r="501" spans="1:42" outlineLevel="1">
      <c r="A501" s="6" t="str">
        <f t="shared" si="736"/>
        <v>Option Year 10</v>
      </c>
      <c r="B501" s="6" t="str">
        <f t="shared" si="732"/>
        <v>TBD1</v>
      </c>
      <c r="E501" s="21">
        <f>IF(E495="",0,INDEX(Input_Range,MATCH((C371&amp;B501),Input_Call,0),MATCH(E495,Input_Header,0)))</f>
        <v>0</v>
      </c>
      <c r="F501" s="21">
        <f>IF(F495="",0,INDEX(Input_Range,MATCH((C371&amp;B501),Input_Call,0),MATCH(F495,Input_Header,0)))</f>
        <v>0</v>
      </c>
      <c r="G501" s="21">
        <f>IF(G495="",0,INDEX(Input_Range,MATCH((C371&amp;B501),Input_Call,0),MATCH(G495,Input_Header,0)))</f>
        <v>0</v>
      </c>
      <c r="H501" s="21">
        <f>IF(H495="",0,INDEX(Input_Range,MATCH((C371&amp;B501),Input_Call,0),MATCH(H495,Input_Header,0)))</f>
        <v>0</v>
      </c>
      <c r="I501" s="21">
        <f>IF(I495="",0,INDEX(Input_Range,MATCH((C371&amp;B501),Input_Call,0),MATCH(I495,Input_Header,0)))</f>
        <v>0</v>
      </c>
      <c r="J501" s="21">
        <f>IF(J495="",0,INDEX(Input_Range,MATCH((C371&amp;B501),Input_Call,0),MATCH(J495,Input_Header,0)))</f>
        <v>0</v>
      </c>
      <c r="K501" s="21">
        <f>IF(K495="",0,INDEX(Input_Range,MATCH((C371&amp;B501),Input_Call,0),MATCH(K495,Input_Header,0)))</f>
        <v>0</v>
      </c>
      <c r="L501" s="21">
        <f>IF(L495="",0,INDEX(Input_Range,MATCH((C371&amp;B501),Input_Call,0),MATCH(L495,Input_Header,0)))</f>
        <v>0</v>
      </c>
      <c r="M501" s="21">
        <f>IF(M495="",0,INDEX(Input_Range,MATCH((C371&amp;B501),Input_Call,0),MATCH(M495,Input_Header,0)))</f>
        <v>0</v>
      </c>
      <c r="N501" s="21">
        <f>IF(N495="",0,INDEX(Input_Range,MATCH((C371&amp;B501),Input_Call,0),MATCH(N495,Input_Header,0)))</f>
        <v>0</v>
      </c>
      <c r="O501" s="21">
        <f>IF(O495="",0,INDEX(Input_Range,MATCH((C371&amp;B501),Input_Call,0),MATCH(O495,Input_Header,0)))</f>
        <v>0</v>
      </c>
      <c r="P501" s="21">
        <f>IF(P495="",0,INDEX(Input_Range,MATCH((C371&amp;B501),Input_Call,0),MATCH(P495,Input_Header,0)))</f>
        <v>0</v>
      </c>
      <c r="Q501" s="21">
        <f>IF(Q495="",0,INDEX(Input_Range,MATCH((C371&amp;B501),Input_Call,0),MATCH(Q495,Input_Header,0)))</f>
        <v>0</v>
      </c>
      <c r="R501" s="698">
        <f t="shared" si="737"/>
        <v>0</v>
      </c>
      <c r="T501" s="699">
        <f t="shared" si="738"/>
        <v>0</v>
      </c>
      <c r="U501" s="699">
        <f t="shared" si="739"/>
        <v>0</v>
      </c>
      <c r="V501" s="699">
        <f t="shared" si="740"/>
        <v>0</v>
      </c>
      <c r="W501" s="699">
        <f t="shared" si="741"/>
        <v>0</v>
      </c>
      <c r="X501" s="699">
        <f t="shared" si="742"/>
        <v>0</v>
      </c>
      <c r="Y501" s="699">
        <f t="shared" si="743"/>
        <v>0</v>
      </c>
      <c r="Z501" s="699">
        <f t="shared" si="744"/>
        <v>0</v>
      </c>
      <c r="AA501" s="699">
        <f t="shared" si="745"/>
        <v>0</v>
      </c>
      <c r="AB501" s="699">
        <f t="shared" si="746"/>
        <v>0</v>
      </c>
      <c r="AC501" s="699">
        <f t="shared" si="747"/>
        <v>0</v>
      </c>
      <c r="AD501" s="699">
        <f t="shared" si="748"/>
        <v>0</v>
      </c>
      <c r="AE501" s="699">
        <f t="shared" si="749"/>
        <v>0</v>
      </c>
      <c r="AF501" s="699">
        <f t="shared" si="750"/>
        <v>0</v>
      </c>
      <c r="AG501" s="699">
        <f t="shared" si="751"/>
        <v>0</v>
      </c>
      <c r="AI501" s="698" t="e">
        <f t="shared" si="734"/>
        <v>#DIV/0!</v>
      </c>
      <c r="AJ501" s="21"/>
      <c r="AK501" s="21"/>
      <c r="AL501" s="4" t="str">
        <f>$A501&amp;$C371&amp;InputSheet!C$46&amp;InputSheet!D$46</f>
        <v>Option Year 10ESDTBD1Contr/Govt</v>
      </c>
      <c r="AM501" s="700" t="e">
        <f t="shared" si="735"/>
        <v>#DIV/0!</v>
      </c>
      <c r="AP501" s="387" t="e">
        <f t="shared" si="669"/>
        <v>#DIV/0!</v>
      </c>
    </row>
    <row r="502" spans="1:42" outlineLevel="1">
      <c r="A502" s="6" t="str">
        <f t="shared" si="736"/>
        <v>Option Year 10</v>
      </c>
      <c r="B502" s="6" t="str">
        <f t="shared" si="732"/>
        <v>TBD2</v>
      </c>
      <c r="E502" s="21">
        <f>IF(E495="",0,INDEX(Input_Range,MATCH((C371&amp;B502),Input_Call,0),MATCH(E495,Input_Header,0)))</f>
        <v>0</v>
      </c>
      <c r="F502" s="21">
        <f>IF(F495="",0,INDEX(Input_Range,MATCH((C371&amp;B502),Input_Call,0),MATCH(F495,Input_Header,0)))</f>
        <v>0</v>
      </c>
      <c r="G502" s="21">
        <f>IF(G495="",0,INDEX(Input_Range,MATCH((C371&amp;B502),Input_Call,0),MATCH(G495,Input_Header,0)))</f>
        <v>0</v>
      </c>
      <c r="H502" s="21">
        <f>IF(H495="",0,INDEX(Input_Range,MATCH((C371&amp;B502),Input_Call,0),MATCH(H495,Input_Header,0)))</f>
        <v>0</v>
      </c>
      <c r="I502" s="21">
        <f>IF(I495="",0,INDEX(Input_Range,MATCH((C371&amp;B502),Input_Call,0),MATCH(I495,Input_Header,0)))</f>
        <v>0</v>
      </c>
      <c r="J502" s="21">
        <f>IF(J495="",0,INDEX(Input_Range,MATCH((C371&amp;B502),Input_Call,0),MATCH(J495,Input_Header,0)))</f>
        <v>0</v>
      </c>
      <c r="K502" s="21">
        <f>IF(K495="",0,INDEX(Input_Range,MATCH((C371&amp;B502),Input_Call,0),MATCH(K495,Input_Header,0)))</f>
        <v>0</v>
      </c>
      <c r="L502" s="21">
        <f>IF(L495="",0,INDEX(Input_Range,MATCH((C371&amp;B502),Input_Call,0),MATCH(L495,Input_Header,0)))</f>
        <v>0</v>
      </c>
      <c r="M502" s="21">
        <f>IF(M495="",0,INDEX(Input_Range,MATCH((C371&amp;B502),Input_Call,0),MATCH(M495,Input_Header,0)))</f>
        <v>0</v>
      </c>
      <c r="N502" s="21">
        <f>IF(N495="",0,INDEX(Input_Range,MATCH((C371&amp;B502),Input_Call,0),MATCH(N495,Input_Header,0)))</f>
        <v>0</v>
      </c>
      <c r="O502" s="21">
        <f>IF(O495="",0,INDEX(Input_Range,MATCH((C371&amp;B502),Input_Call,0),MATCH(O495,Input_Header,0)))</f>
        <v>0</v>
      </c>
      <c r="P502" s="21">
        <f>IF(P495="",0,INDEX(Input_Range,MATCH((C371&amp;B502),Input_Call,0),MATCH(P495,Input_Header,0)))</f>
        <v>0</v>
      </c>
      <c r="Q502" s="21">
        <f>IF(Q495="",0,INDEX(Input_Range,MATCH((C371&amp;B502),Input_Call,0),MATCH(Q495,Input_Header,0)))</f>
        <v>0</v>
      </c>
      <c r="R502" s="698">
        <f t="shared" si="737"/>
        <v>0</v>
      </c>
      <c r="T502" s="699">
        <f t="shared" si="738"/>
        <v>0</v>
      </c>
      <c r="U502" s="699">
        <f t="shared" si="739"/>
        <v>0</v>
      </c>
      <c r="V502" s="699">
        <f t="shared" si="740"/>
        <v>0</v>
      </c>
      <c r="W502" s="699">
        <f t="shared" si="741"/>
        <v>0</v>
      </c>
      <c r="X502" s="699">
        <f t="shared" si="742"/>
        <v>0</v>
      </c>
      <c r="Y502" s="699">
        <f t="shared" si="743"/>
        <v>0</v>
      </c>
      <c r="Z502" s="699">
        <f t="shared" si="744"/>
        <v>0</v>
      </c>
      <c r="AA502" s="699">
        <f t="shared" si="745"/>
        <v>0</v>
      </c>
      <c r="AB502" s="699">
        <f t="shared" si="746"/>
        <v>0</v>
      </c>
      <c r="AC502" s="699">
        <f t="shared" si="747"/>
        <v>0</v>
      </c>
      <c r="AD502" s="699">
        <f t="shared" si="748"/>
        <v>0</v>
      </c>
      <c r="AE502" s="699">
        <f t="shared" si="749"/>
        <v>0</v>
      </c>
      <c r="AF502" s="699">
        <f t="shared" si="750"/>
        <v>0</v>
      </c>
      <c r="AG502" s="699">
        <f t="shared" si="751"/>
        <v>0</v>
      </c>
      <c r="AI502" s="698" t="e">
        <f t="shared" si="734"/>
        <v>#DIV/0!</v>
      </c>
      <c r="AJ502" s="21"/>
      <c r="AK502" s="21"/>
      <c r="AL502" s="4" t="str">
        <f>$A502&amp;$C371&amp;InputSheet!C$47&amp;InputSheet!D$47</f>
        <v>Option Year 10ESDTBD2Contr/Govt</v>
      </c>
      <c r="AM502" s="700" t="e">
        <f t="shared" si="735"/>
        <v>#DIV/0!</v>
      </c>
      <c r="AP502" s="387" t="e">
        <f t="shared" si="669"/>
        <v>#DIV/0!</v>
      </c>
    </row>
    <row r="503" spans="1:42" outlineLevel="1">
      <c r="A503" s="6" t="str">
        <f t="shared" si="736"/>
        <v>Option Year 10</v>
      </c>
      <c r="B503" s="6" t="str">
        <f t="shared" si="732"/>
        <v>TBD3</v>
      </c>
      <c r="E503" s="21">
        <f>IF(E495="",0,INDEX(Input_Range,MATCH((C371&amp;B503),Input_Call,0),MATCH(E495,Input_Header,0)))</f>
        <v>0</v>
      </c>
      <c r="F503" s="21">
        <f>IF(F495="",0,INDEX(Input_Range,MATCH((C371&amp;B503),Input_Call,0),MATCH(F495,Input_Header,0)))</f>
        <v>0</v>
      </c>
      <c r="G503" s="21">
        <f>IF(G495="",0,INDEX(Input_Range,MATCH((C371&amp;B503),Input_Call,0),MATCH(G495,Input_Header,0)))</f>
        <v>0</v>
      </c>
      <c r="H503" s="21">
        <f>IF(H495="",0,INDEX(Input_Range,MATCH((C371&amp;B503),Input_Call,0),MATCH(H495,Input_Header,0)))</f>
        <v>0</v>
      </c>
      <c r="I503" s="21">
        <f>IF(I495="",0,INDEX(Input_Range,MATCH((C371&amp;B503),Input_Call,0),MATCH(I495,Input_Header,0)))</f>
        <v>0</v>
      </c>
      <c r="J503" s="21">
        <f>IF(J495="",0,INDEX(Input_Range,MATCH((C371&amp;B503),Input_Call,0),MATCH(J495,Input_Header,0)))</f>
        <v>0</v>
      </c>
      <c r="K503" s="21">
        <f>IF(K495="",0,INDEX(Input_Range,MATCH((C371&amp;B503),Input_Call,0),MATCH(K495,Input_Header,0)))</f>
        <v>0</v>
      </c>
      <c r="L503" s="21">
        <f>IF(L495="",0,INDEX(Input_Range,MATCH((C371&amp;B503),Input_Call,0),MATCH(L495,Input_Header,0)))</f>
        <v>0</v>
      </c>
      <c r="M503" s="21">
        <f>IF(M495="",0,INDEX(Input_Range,MATCH((C371&amp;B503),Input_Call,0),MATCH(M495,Input_Header,0)))</f>
        <v>0</v>
      </c>
      <c r="N503" s="21">
        <f>IF(N495="",0,INDEX(Input_Range,MATCH((C371&amp;B503),Input_Call,0),MATCH(N495,Input_Header,0)))</f>
        <v>0</v>
      </c>
      <c r="O503" s="21">
        <f>IF(O495="",0,INDEX(Input_Range,MATCH((C371&amp;B503),Input_Call,0),MATCH(O495,Input_Header,0)))</f>
        <v>0</v>
      </c>
      <c r="P503" s="21">
        <f>IF(P495="",0,INDEX(Input_Range,MATCH((C371&amp;B503),Input_Call,0),MATCH(P495,Input_Header,0)))</f>
        <v>0</v>
      </c>
      <c r="Q503" s="21">
        <f>IF(Q495="",0,INDEX(Input_Range,MATCH((C371&amp;B503),Input_Call,0),MATCH(Q495,Input_Header,0)))</f>
        <v>0</v>
      </c>
      <c r="R503" s="698">
        <f t="shared" si="737"/>
        <v>0</v>
      </c>
      <c r="T503" s="699">
        <f t="shared" si="738"/>
        <v>0</v>
      </c>
      <c r="U503" s="699">
        <f t="shared" si="739"/>
        <v>0</v>
      </c>
      <c r="V503" s="699">
        <f t="shared" si="740"/>
        <v>0</v>
      </c>
      <c r="W503" s="699">
        <f t="shared" si="741"/>
        <v>0</v>
      </c>
      <c r="X503" s="699">
        <f t="shared" si="742"/>
        <v>0</v>
      </c>
      <c r="Y503" s="699">
        <f t="shared" si="743"/>
        <v>0</v>
      </c>
      <c r="Z503" s="699">
        <f t="shared" si="744"/>
        <v>0</v>
      </c>
      <c r="AA503" s="699">
        <f t="shared" si="745"/>
        <v>0</v>
      </c>
      <c r="AB503" s="699">
        <f t="shared" si="746"/>
        <v>0</v>
      </c>
      <c r="AC503" s="699">
        <f t="shared" si="747"/>
        <v>0</v>
      </c>
      <c r="AD503" s="699">
        <f t="shared" si="748"/>
        <v>0</v>
      </c>
      <c r="AE503" s="699">
        <f t="shared" si="749"/>
        <v>0</v>
      </c>
      <c r="AF503" s="699">
        <f t="shared" si="750"/>
        <v>0</v>
      </c>
      <c r="AG503" s="699">
        <f t="shared" si="751"/>
        <v>0</v>
      </c>
      <c r="AI503" s="698" t="e">
        <f t="shared" si="734"/>
        <v>#DIV/0!</v>
      </c>
      <c r="AJ503" s="21"/>
      <c r="AK503" s="21"/>
      <c r="AL503" s="4" t="str">
        <f>$A503&amp;$C371&amp;InputSheet!C$48&amp;InputSheet!D$48</f>
        <v>Option Year 10ESDTBD3Contr/Govt</v>
      </c>
      <c r="AM503" s="700" t="e">
        <f t="shared" si="735"/>
        <v>#DIV/0!</v>
      </c>
      <c r="AP503" s="387" t="e">
        <f t="shared" si="669"/>
        <v>#DIV/0!</v>
      </c>
    </row>
    <row r="504" spans="1:42">
      <c r="E504" s="698"/>
      <c r="F504" s="698"/>
      <c r="G504" s="698"/>
      <c r="H504" s="698"/>
      <c r="I504" s="698"/>
      <c r="J504" s="698"/>
      <c r="K504" s="698"/>
      <c r="L504" s="698"/>
      <c r="M504" s="698"/>
      <c r="N504" s="698"/>
      <c r="O504" s="698"/>
      <c r="P504" s="698"/>
      <c r="Q504" s="698"/>
      <c r="R504" s="698"/>
      <c r="AI504" s="21"/>
      <c r="AJ504" s="21"/>
      <c r="AK504" s="21"/>
      <c r="AP504" s="387" t="str">
        <f t="shared" si="669"/>
        <v>1</v>
      </c>
    </row>
    <row r="505" spans="1:42">
      <c r="A505" s="530" t="str">
        <f>B505</f>
        <v>Option Year 11</v>
      </c>
      <c r="B505" s="691" t="str">
        <f>InputSheet!$C$33</f>
        <v>Option Year 11</v>
      </c>
      <c r="AP505" s="387" t="str">
        <f t="shared" si="669"/>
        <v>1</v>
      </c>
    </row>
    <row r="506" spans="1:42">
      <c r="B506" s="314" t="s">
        <v>587</v>
      </c>
      <c r="C506" s="692" t="s">
        <v>588</v>
      </c>
      <c r="E506" s="1216" t="str">
        <f>"Indirect Rates - "&amp;C$371</f>
        <v>Indirect Rates - ESD</v>
      </c>
      <c r="F506" s="1216"/>
      <c r="G506" s="1216"/>
      <c r="H506" s="1216"/>
      <c r="I506" s="1216"/>
      <c r="J506" s="1216"/>
      <c r="K506" s="1216"/>
      <c r="L506" s="1216"/>
      <c r="M506" s="1216"/>
      <c r="N506" s="1216"/>
      <c r="O506" s="1216"/>
      <c r="P506" s="1216"/>
      <c r="Q506" s="1216"/>
      <c r="R506" s="1216"/>
      <c r="S506" s="844"/>
      <c r="T506" s="1217" t="s">
        <v>794</v>
      </c>
      <c r="U506" s="1217"/>
      <c r="V506" s="1217"/>
      <c r="W506" s="1217"/>
      <c r="X506" s="1217"/>
      <c r="Y506" s="1217"/>
      <c r="Z506" s="1217"/>
      <c r="AA506" s="1217"/>
      <c r="AB506" s="1217"/>
      <c r="AC506" s="1217"/>
      <c r="AD506" s="1217"/>
      <c r="AE506" s="1217"/>
      <c r="AF506" s="1217"/>
      <c r="AG506" s="1217"/>
      <c r="AI506" s="692" t="s">
        <v>615</v>
      </c>
      <c r="AJ506" s="50"/>
      <c r="AK506" s="50"/>
      <c r="AP506" s="387" t="str">
        <f t="shared" si="669"/>
        <v>1</v>
      </c>
    </row>
    <row r="507" spans="1:42">
      <c r="B507" s="693">
        <f>VLOOKUP(A505,InputSheet!$C$8:$E$37,2,FALSE)</f>
        <v>2192</v>
      </c>
      <c r="C507" s="694">
        <f>VLOOKUP(A505,InputSheet!$C$8:$E$37,3,FALSE)</f>
        <v>2557</v>
      </c>
      <c r="E507" s="695">
        <f t="shared" ref="E507:R507" si="752">E495</f>
        <v>2009</v>
      </c>
      <c r="F507" s="695">
        <f t="shared" si="752"/>
        <v>2010</v>
      </c>
      <c r="G507" s="695">
        <f t="shared" si="752"/>
        <v>2011</v>
      </c>
      <c r="H507" s="695">
        <f t="shared" si="752"/>
        <v>2012</v>
      </c>
      <c r="I507" s="695">
        <f t="shared" si="752"/>
        <v>2013</v>
      </c>
      <c r="J507" s="695">
        <f t="shared" si="752"/>
        <v>2014</v>
      </c>
      <c r="K507" s="695">
        <f t="shared" si="752"/>
        <v>2015</v>
      </c>
      <c r="L507" s="695">
        <f t="shared" si="752"/>
        <v>2016</v>
      </c>
      <c r="M507" s="695">
        <f t="shared" si="752"/>
        <v>2017</v>
      </c>
      <c r="N507" s="695">
        <f t="shared" si="752"/>
        <v>2018</v>
      </c>
      <c r="O507" s="695">
        <f t="shared" si="752"/>
        <v>2019</v>
      </c>
      <c r="P507" s="695">
        <f t="shared" si="752"/>
        <v>2020</v>
      </c>
      <c r="Q507" s="695">
        <f t="shared" si="752"/>
        <v>2021</v>
      </c>
      <c r="R507" s="695">
        <f t="shared" si="752"/>
        <v>2022</v>
      </c>
      <c r="S507" s="680"/>
      <c r="T507" s="695">
        <f t="shared" ref="T507:AG507" si="753">T495</f>
        <v>2009</v>
      </c>
      <c r="U507" s="695">
        <f t="shared" si="753"/>
        <v>2010</v>
      </c>
      <c r="V507" s="695">
        <f t="shared" si="753"/>
        <v>2011</v>
      </c>
      <c r="W507" s="695">
        <f t="shared" si="753"/>
        <v>2012</v>
      </c>
      <c r="X507" s="695">
        <f t="shared" si="753"/>
        <v>2013</v>
      </c>
      <c r="Y507" s="695">
        <f t="shared" si="753"/>
        <v>2014</v>
      </c>
      <c r="Z507" s="695">
        <f t="shared" si="753"/>
        <v>2015</v>
      </c>
      <c r="AA507" s="695">
        <f t="shared" si="753"/>
        <v>2016</v>
      </c>
      <c r="AB507" s="695">
        <f t="shared" si="753"/>
        <v>2017</v>
      </c>
      <c r="AC507" s="695">
        <f t="shared" si="753"/>
        <v>2018</v>
      </c>
      <c r="AD507" s="695">
        <f t="shared" si="753"/>
        <v>2019</v>
      </c>
      <c r="AE507" s="695">
        <f t="shared" si="753"/>
        <v>2020</v>
      </c>
      <c r="AF507" s="695">
        <f t="shared" si="753"/>
        <v>2021</v>
      </c>
      <c r="AG507" s="695">
        <f t="shared" si="753"/>
        <v>2022</v>
      </c>
      <c r="AI507" s="696" t="str">
        <f>B505</f>
        <v>Option Year 11</v>
      </c>
      <c r="AJ507" s="28"/>
      <c r="AK507" s="28"/>
      <c r="AP507" s="387" t="str">
        <f t="shared" si="669"/>
        <v>1</v>
      </c>
    </row>
    <row r="508" spans="1:42">
      <c r="A508" s="6" t="str">
        <f>A505</f>
        <v>Option Year 11</v>
      </c>
      <c r="B508" s="6" t="str">
        <f t="shared" ref="B508:B515" si="754">B496</f>
        <v>PRB</v>
      </c>
      <c r="E508" s="698">
        <f>IF(E507="",0,INDEX(Input_Range,MATCH((C371&amp;B508),Input_Call,0),MATCH(E507,Input_Header,0)))</f>
        <v>0</v>
      </c>
      <c r="F508" s="698">
        <f>IF(F507="",0,INDEX(Input_Range,MATCH((C371&amp;B508),Input_Call,0),MATCH(F507,Input_Header,0)))</f>
        <v>0</v>
      </c>
      <c r="G508" s="698">
        <f>IF(G507="",0,INDEX(Input_Range,MATCH((C371&amp;B508),Input_Call,0),MATCH(G507,Input_Header,0)))</f>
        <v>0</v>
      </c>
      <c r="H508" s="698">
        <f>IF(H507="",0,INDEX(Input_Range,MATCH((C371&amp;B508),Input_Call,0),MATCH(H507,Input_Header,0)))</f>
        <v>0</v>
      </c>
      <c r="I508" s="698">
        <f>IF(I507="",0,INDEX(Input_Range,MATCH((C371&amp;B508),Input_Call,0),MATCH(I507,Input_Header,0)))</f>
        <v>0</v>
      </c>
      <c r="J508" s="698">
        <f>IF(J507="",0,INDEX(Input_Range,MATCH((C371&amp;B508),Input_Call,0),MATCH(J507,Input_Header,0)))</f>
        <v>0</v>
      </c>
      <c r="K508" s="698">
        <f>IF(K507="",0,INDEX(Input_Range,MATCH((C371&amp;B508),Input_Call,0),MATCH(K507,Input_Header,0)))</f>
        <v>0</v>
      </c>
      <c r="L508" s="698">
        <f>IF(L507="",0,INDEX(Input_Range,MATCH((C371&amp;B508),Input_Call,0),MATCH(L507,Input_Header,0)))</f>
        <v>0</v>
      </c>
      <c r="M508" s="698">
        <f>IF(M507="",0,INDEX(Input_Range,MATCH((C371&amp;B508),Input_Call,0),MATCH(M507,Input_Header,0)))</f>
        <v>0</v>
      </c>
      <c r="N508" s="698">
        <f>IF(N507="",0,INDEX(Input_Range,MATCH((C371&amp;B508),Input_Call,0),MATCH(N507,Input_Header,0)))</f>
        <v>0</v>
      </c>
      <c r="O508" s="698">
        <f>IF(O507="",0,INDEX(Input_Range,MATCH((C371&amp;B508),Input_Call,0),MATCH(O507,Input_Header,0)))</f>
        <v>0</v>
      </c>
      <c r="P508" s="698">
        <f>IF(P507="",0,INDEX(Input_Range,MATCH((C371&amp;B508),Input_Call,0),MATCH(P507,Input_Header,0)))</f>
        <v>0</v>
      </c>
      <c r="Q508" s="698">
        <f>IF(Q507="",0,INDEX(Input_Range,MATCH((C371&amp;B508),Input_Call,0),MATCH(Q507,Input_Header,0)))</f>
        <v>0</v>
      </c>
      <c r="R508" s="698">
        <f>Q508</f>
        <v>0</v>
      </c>
      <c r="T508" s="699">
        <f t="shared" ref="T508:AG508" si="755">ROUND((MAX(0,(MIN($C507,DATE(T507,12,31))-MAX($B507,DATE(T507,1,1))+1)))/30.41667,0)</f>
        <v>0</v>
      </c>
      <c r="U508" s="699">
        <f t="shared" si="755"/>
        <v>0</v>
      </c>
      <c r="V508" s="699">
        <f t="shared" si="755"/>
        <v>0</v>
      </c>
      <c r="W508" s="699">
        <f t="shared" si="755"/>
        <v>0</v>
      </c>
      <c r="X508" s="699">
        <f t="shared" si="755"/>
        <v>0</v>
      </c>
      <c r="Y508" s="699">
        <f t="shared" si="755"/>
        <v>0</v>
      </c>
      <c r="Z508" s="699">
        <f t="shared" si="755"/>
        <v>0</v>
      </c>
      <c r="AA508" s="699">
        <f t="shared" si="755"/>
        <v>0</v>
      </c>
      <c r="AB508" s="699">
        <f t="shared" si="755"/>
        <v>0</v>
      </c>
      <c r="AC508" s="699">
        <f t="shared" si="755"/>
        <v>0</v>
      </c>
      <c r="AD508" s="699">
        <f t="shared" si="755"/>
        <v>0</v>
      </c>
      <c r="AE508" s="699">
        <f t="shared" si="755"/>
        <v>0</v>
      </c>
      <c r="AF508" s="699">
        <f t="shared" si="755"/>
        <v>0</v>
      </c>
      <c r="AG508" s="699">
        <f t="shared" si="755"/>
        <v>0</v>
      </c>
      <c r="AI508" s="698" t="e">
        <f t="shared" ref="AI508:AI515" si="756">ROUND(SUMPRODUCT(E508:R508,T508:AG508)/SUM(T508:AG508),4)</f>
        <v>#DIV/0!</v>
      </c>
      <c r="AJ508" s="698"/>
      <c r="AK508" s="698"/>
      <c r="AL508" s="4" t="str">
        <f>$A508&amp;$C371&amp;InputSheet!C$41&amp;InputSheet!D$41</f>
        <v>Option Year 11ESDPRBContr/Govt</v>
      </c>
      <c r="AM508" s="700" t="e">
        <f t="shared" ref="AM508:AM515" si="757">AI508</f>
        <v>#DIV/0!</v>
      </c>
      <c r="AP508" s="387" t="e">
        <f t="shared" si="669"/>
        <v>#DIV/0!</v>
      </c>
    </row>
    <row r="509" spans="1:42">
      <c r="A509" s="6" t="str">
        <f t="shared" ref="A509:A515" si="758">A508</f>
        <v>Option Year 11</v>
      </c>
      <c r="B509" s="6" t="str">
        <f t="shared" si="754"/>
        <v>Overhead - Offsite</v>
      </c>
      <c r="E509" s="698">
        <f>IF(E507="",0,INDEX(Input_Range,MATCH((C371&amp;B509),Input_Call,0),MATCH(E507,Input_Header,0)))</f>
        <v>0</v>
      </c>
      <c r="F509" s="698">
        <f>IF(F507="",0,INDEX(Input_Range,MATCH((C371&amp;B509),Input_Call,0),MATCH(F507,Input_Header,0)))</f>
        <v>0</v>
      </c>
      <c r="G509" s="698">
        <f>IF(G507="",0,INDEX(Input_Range,MATCH((C371&amp;B509),Input_Call,0),MATCH(G507,Input_Header,0)))</f>
        <v>0</v>
      </c>
      <c r="H509" s="698">
        <f>IF(H507="",0,INDEX(Input_Range,MATCH((C371&amp;B509),Input_Call,0),MATCH(H507,Input_Header,0)))</f>
        <v>0</v>
      </c>
      <c r="I509" s="698">
        <f>IF(I507="",0,INDEX(Input_Range,MATCH((C371&amp;B509),Input_Call,0),MATCH(I507,Input_Header,0)))</f>
        <v>0</v>
      </c>
      <c r="J509" s="698">
        <f>IF(J507="",0,INDEX(Input_Range,MATCH((C371&amp;B509),Input_Call,0),MATCH(J507,Input_Header,0)))</f>
        <v>0</v>
      </c>
      <c r="K509" s="698">
        <f>IF(K507="",0,INDEX(Input_Range,MATCH((C371&amp;B509),Input_Call,0),MATCH(K507,Input_Header,0)))</f>
        <v>0</v>
      </c>
      <c r="L509" s="698">
        <f>IF(L507="",0,INDEX(Input_Range,MATCH((C371&amp;B509),Input_Call,0),MATCH(L507,Input_Header,0)))</f>
        <v>0</v>
      </c>
      <c r="M509" s="698">
        <f>IF(M507="",0,INDEX(Input_Range,MATCH((C371&amp;B509),Input_Call,0),MATCH(M507,Input_Header,0)))</f>
        <v>0</v>
      </c>
      <c r="N509" s="698">
        <f>IF(N507="",0,INDEX(Input_Range,MATCH((C371&amp;B509),Input_Call,0),MATCH(N507,Input_Header,0)))</f>
        <v>0</v>
      </c>
      <c r="O509" s="698">
        <f>IF(O507="",0,INDEX(Input_Range,MATCH((C371&amp;B509),Input_Call,0),MATCH(O507,Input_Header,0)))</f>
        <v>0</v>
      </c>
      <c r="P509" s="698">
        <f>IF(P507="",0,INDEX(Input_Range,MATCH((C371&amp;B509),Input_Call,0),MATCH(P507,Input_Header,0)))</f>
        <v>0</v>
      </c>
      <c r="Q509" s="698">
        <f>IF(Q507="",0,INDEX(Input_Range,MATCH((C371&amp;B509),Input_Call,0),MATCH(Q507,Input_Header,0)))</f>
        <v>0</v>
      </c>
      <c r="R509" s="698">
        <f t="shared" ref="R509:R515" si="759">Q509</f>
        <v>0</v>
      </c>
      <c r="T509" s="699">
        <f t="shared" ref="T509:T515" si="760">T508</f>
        <v>0</v>
      </c>
      <c r="U509" s="699">
        <f t="shared" ref="U509:U515" si="761">U508</f>
        <v>0</v>
      </c>
      <c r="V509" s="699">
        <f t="shared" ref="V509:V515" si="762">V508</f>
        <v>0</v>
      </c>
      <c r="W509" s="699">
        <f t="shared" ref="W509:W515" si="763">W508</f>
        <v>0</v>
      </c>
      <c r="X509" s="699">
        <f t="shared" ref="X509:X515" si="764">X508</f>
        <v>0</v>
      </c>
      <c r="Y509" s="699">
        <f t="shared" ref="Y509:Y515" si="765">Y508</f>
        <v>0</v>
      </c>
      <c r="Z509" s="699">
        <f t="shared" ref="Z509:Z515" si="766">Z508</f>
        <v>0</v>
      </c>
      <c r="AA509" s="699">
        <f t="shared" ref="AA509:AA515" si="767">AA508</f>
        <v>0</v>
      </c>
      <c r="AB509" s="699">
        <f t="shared" ref="AB509:AB515" si="768">AB508</f>
        <v>0</v>
      </c>
      <c r="AC509" s="699">
        <f t="shared" ref="AC509:AC515" si="769">AC508</f>
        <v>0</v>
      </c>
      <c r="AD509" s="699">
        <f t="shared" ref="AD509:AD515" si="770">AD508</f>
        <v>0</v>
      </c>
      <c r="AE509" s="699">
        <f t="shared" ref="AE509:AE515" si="771">AE508</f>
        <v>0</v>
      </c>
      <c r="AF509" s="699">
        <f t="shared" ref="AF509:AF515" si="772">AF508</f>
        <v>0</v>
      </c>
      <c r="AG509" s="699">
        <f t="shared" ref="AG509:AG515" si="773">AG508</f>
        <v>0</v>
      </c>
      <c r="AI509" s="698" t="e">
        <f t="shared" si="756"/>
        <v>#DIV/0!</v>
      </c>
      <c r="AJ509" s="698"/>
      <c r="AK509" s="698"/>
      <c r="AL509" s="4" t="str">
        <f>$A509&amp;$C371&amp;InputSheet!C$42&amp;InputSheet!D$42</f>
        <v>Option Year 11ESDOverheadContr</v>
      </c>
      <c r="AM509" s="700" t="e">
        <f t="shared" si="757"/>
        <v>#DIV/0!</v>
      </c>
      <c r="AP509" s="387" t="e">
        <f t="shared" si="669"/>
        <v>#DIV/0!</v>
      </c>
    </row>
    <row r="510" spans="1:42">
      <c r="A510" s="6" t="str">
        <f t="shared" si="758"/>
        <v>Option Year 11</v>
      </c>
      <c r="B510" s="6" t="str">
        <f t="shared" si="754"/>
        <v>Overhead - Onsite</v>
      </c>
      <c r="E510" s="698">
        <f>IF(E507="",0,INDEX(Input_Range,MATCH((C371&amp;B510),Input_Call,0),MATCH(E507,Input_Header,0)))</f>
        <v>0</v>
      </c>
      <c r="F510" s="698">
        <f>IF(F507="",0,INDEX(Input_Range,MATCH((C371&amp;B510),Input_Call,0),MATCH(F507,Input_Header,0)))</f>
        <v>0</v>
      </c>
      <c r="G510" s="698">
        <f>IF(G507="",0,INDEX(Input_Range,MATCH((C371&amp;B510),Input_Call,0),MATCH(G507,Input_Header,0)))</f>
        <v>0</v>
      </c>
      <c r="H510" s="698">
        <f>IF(H507="",0,INDEX(Input_Range,MATCH((C371&amp;B510),Input_Call,0),MATCH(H507,Input_Header,0)))</f>
        <v>0</v>
      </c>
      <c r="I510" s="698">
        <f>IF(I507="",0,INDEX(Input_Range,MATCH((C371&amp;B510),Input_Call,0),MATCH(I507,Input_Header,0)))</f>
        <v>0</v>
      </c>
      <c r="J510" s="698">
        <f>IF(J507="",0,INDEX(Input_Range,MATCH((C371&amp;B510),Input_Call,0),MATCH(J507,Input_Header,0)))</f>
        <v>0</v>
      </c>
      <c r="K510" s="698">
        <f>IF(K507="",0,INDEX(Input_Range,MATCH((C371&amp;B510),Input_Call,0),MATCH(K507,Input_Header,0)))</f>
        <v>0</v>
      </c>
      <c r="L510" s="698">
        <f>IF(L507="",0,INDEX(Input_Range,MATCH((C371&amp;B510),Input_Call,0),MATCH(L507,Input_Header,0)))</f>
        <v>0</v>
      </c>
      <c r="M510" s="698">
        <f>IF(M507="",0,INDEX(Input_Range,MATCH((C371&amp;B510),Input_Call,0),MATCH(M507,Input_Header,0)))</f>
        <v>0</v>
      </c>
      <c r="N510" s="698">
        <f>IF(N507="",0,INDEX(Input_Range,MATCH((C371&amp;B510),Input_Call,0),MATCH(N507,Input_Header,0)))</f>
        <v>0</v>
      </c>
      <c r="O510" s="698">
        <f>IF(O507="",0,INDEX(Input_Range,MATCH((C371&amp;B510),Input_Call,0),MATCH(O507,Input_Header,0)))</f>
        <v>0</v>
      </c>
      <c r="P510" s="698">
        <f>IF(P507="",0,INDEX(Input_Range,MATCH((C371&amp;B510),Input_Call,0),MATCH(P507,Input_Header,0)))</f>
        <v>0</v>
      </c>
      <c r="Q510" s="698">
        <f>IF(Q507="",0,INDEX(Input_Range,MATCH((C371&amp;B510),Input_Call,0),MATCH(Q507,Input_Header,0)))</f>
        <v>0</v>
      </c>
      <c r="R510" s="698">
        <f t="shared" si="759"/>
        <v>0</v>
      </c>
      <c r="T510" s="699">
        <f t="shared" si="760"/>
        <v>0</v>
      </c>
      <c r="U510" s="699">
        <f t="shared" si="761"/>
        <v>0</v>
      </c>
      <c r="V510" s="699">
        <f t="shared" si="762"/>
        <v>0</v>
      </c>
      <c r="W510" s="699">
        <f t="shared" si="763"/>
        <v>0</v>
      </c>
      <c r="X510" s="699">
        <f t="shared" si="764"/>
        <v>0</v>
      </c>
      <c r="Y510" s="699">
        <f t="shared" si="765"/>
        <v>0</v>
      </c>
      <c r="Z510" s="699">
        <f t="shared" si="766"/>
        <v>0</v>
      </c>
      <c r="AA510" s="699">
        <f t="shared" si="767"/>
        <v>0</v>
      </c>
      <c r="AB510" s="699">
        <f t="shared" si="768"/>
        <v>0</v>
      </c>
      <c r="AC510" s="699">
        <f t="shared" si="769"/>
        <v>0</v>
      </c>
      <c r="AD510" s="699">
        <f t="shared" si="770"/>
        <v>0</v>
      </c>
      <c r="AE510" s="699">
        <f t="shared" si="771"/>
        <v>0</v>
      </c>
      <c r="AF510" s="699">
        <f t="shared" si="772"/>
        <v>0</v>
      </c>
      <c r="AG510" s="699">
        <f t="shared" si="773"/>
        <v>0</v>
      </c>
      <c r="AI510" s="698" t="e">
        <f t="shared" si="756"/>
        <v>#DIV/0!</v>
      </c>
      <c r="AJ510" s="698"/>
      <c r="AK510" s="698"/>
      <c r="AL510" s="4" t="str">
        <f>$A510&amp;$C371&amp;InputSheet!C$43&amp;InputSheet!D$43</f>
        <v>Option Year 11ESDOverheadGovt</v>
      </c>
      <c r="AM510" s="700" t="e">
        <f t="shared" si="757"/>
        <v>#DIV/0!</v>
      </c>
      <c r="AP510" s="387" t="e">
        <f t="shared" si="669"/>
        <v>#DIV/0!</v>
      </c>
    </row>
    <row r="511" spans="1:42">
      <c r="A511" s="6" t="str">
        <f t="shared" si="758"/>
        <v>Option Year 11</v>
      </c>
      <c r="B511" s="6" t="str">
        <f t="shared" si="754"/>
        <v>Material Handling</v>
      </c>
      <c r="E511" s="698">
        <f>IF(E507="",0,INDEX(Input_Range,MATCH((C371&amp;B511),Input_Call,0),MATCH(E507,Input_Header,0)))</f>
        <v>0</v>
      </c>
      <c r="F511" s="698">
        <f>IF(F507="",0,INDEX(Input_Range,MATCH((C371&amp;B511),Input_Call,0),MATCH(F507,Input_Header,0)))</f>
        <v>0</v>
      </c>
      <c r="G511" s="698">
        <f>IF(G507="",0,INDEX(Input_Range,MATCH((C371&amp;B511),Input_Call,0),MATCH(G507,Input_Header,0)))</f>
        <v>0</v>
      </c>
      <c r="H511" s="698">
        <f>IF(H507="",0,INDEX(Input_Range,MATCH((C371&amp;B511),Input_Call,0),MATCH(H507,Input_Header,0)))</f>
        <v>0</v>
      </c>
      <c r="I511" s="698">
        <f>IF(I507="",0,INDEX(Input_Range,MATCH((C371&amp;B511),Input_Call,0),MATCH(I507,Input_Header,0)))</f>
        <v>0</v>
      </c>
      <c r="J511" s="698">
        <f>IF(J507="",0,INDEX(Input_Range,MATCH((C371&amp;B511),Input_Call,0),MATCH(J507,Input_Header,0)))</f>
        <v>0</v>
      </c>
      <c r="K511" s="698">
        <f>IF(K507="",0,INDEX(Input_Range,MATCH((C371&amp;B511),Input_Call,0),MATCH(K507,Input_Header,0)))</f>
        <v>0</v>
      </c>
      <c r="L511" s="698">
        <f>IF(L507="",0,INDEX(Input_Range,MATCH((C371&amp;B511),Input_Call,0),MATCH(L507,Input_Header,0)))</f>
        <v>0</v>
      </c>
      <c r="M511" s="698">
        <f>IF(M507="",0,INDEX(Input_Range,MATCH((C371&amp;B511),Input_Call,0),MATCH(M507,Input_Header,0)))</f>
        <v>0</v>
      </c>
      <c r="N511" s="698">
        <f>IF(N507="",0,INDEX(Input_Range,MATCH((C371&amp;B511),Input_Call,0),MATCH(N507,Input_Header,0)))</f>
        <v>0</v>
      </c>
      <c r="O511" s="698">
        <f>IF(O507="",0,INDEX(Input_Range,MATCH((C371&amp;B511),Input_Call,0),MATCH(O507,Input_Header,0)))</f>
        <v>0</v>
      </c>
      <c r="P511" s="698">
        <f>IF(P507="",0,INDEX(Input_Range,MATCH((C371&amp;B511),Input_Call,0),MATCH(P507,Input_Header,0)))</f>
        <v>0</v>
      </c>
      <c r="Q511" s="698">
        <f>IF(Q507="",0,INDEX(Input_Range,MATCH((C371&amp;B511),Input_Call,0),MATCH(Q507,Input_Header,0)))</f>
        <v>0</v>
      </c>
      <c r="R511" s="698">
        <f t="shared" si="759"/>
        <v>0</v>
      </c>
      <c r="T511" s="699">
        <f t="shared" si="760"/>
        <v>0</v>
      </c>
      <c r="U511" s="699">
        <f t="shared" si="761"/>
        <v>0</v>
      </c>
      <c r="V511" s="699">
        <f t="shared" si="762"/>
        <v>0</v>
      </c>
      <c r="W511" s="699">
        <f t="shared" si="763"/>
        <v>0</v>
      </c>
      <c r="X511" s="699">
        <f t="shared" si="764"/>
        <v>0</v>
      </c>
      <c r="Y511" s="699">
        <f t="shared" si="765"/>
        <v>0</v>
      </c>
      <c r="Z511" s="699">
        <f t="shared" si="766"/>
        <v>0</v>
      </c>
      <c r="AA511" s="699">
        <f t="shared" si="767"/>
        <v>0</v>
      </c>
      <c r="AB511" s="699">
        <f t="shared" si="768"/>
        <v>0</v>
      </c>
      <c r="AC511" s="699">
        <f t="shared" si="769"/>
        <v>0</v>
      </c>
      <c r="AD511" s="699">
        <f t="shared" si="770"/>
        <v>0</v>
      </c>
      <c r="AE511" s="699">
        <f t="shared" si="771"/>
        <v>0</v>
      </c>
      <c r="AF511" s="699">
        <f t="shared" si="772"/>
        <v>0</v>
      </c>
      <c r="AG511" s="699">
        <f t="shared" si="773"/>
        <v>0</v>
      </c>
      <c r="AI511" s="698" t="e">
        <f t="shared" si="756"/>
        <v>#DIV/0!</v>
      </c>
      <c r="AJ511" s="698"/>
      <c r="AK511" s="698"/>
      <c r="AL511" s="4" t="str">
        <f>$A511&amp;$C371&amp;InputSheet!C$44&amp;InputSheet!D$44</f>
        <v>Option Year 11ESDMHContr/Govt</v>
      </c>
      <c r="AM511" s="700" t="e">
        <f t="shared" si="757"/>
        <v>#DIV/0!</v>
      </c>
      <c r="AP511" s="387" t="e">
        <f t="shared" si="669"/>
        <v>#DIV/0!</v>
      </c>
    </row>
    <row r="512" spans="1:42">
      <c r="A512" s="6" t="str">
        <f t="shared" si="758"/>
        <v>Option Year 11</v>
      </c>
      <c r="B512" s="6" t="str">
        <f t="shared" si="754"/>
        <v>G&amp;A</v>
      </c>
      <c r="E512" s="698">
        <f>IF(E507="",0,INDEX(Input_Range,MATCH((C371&amp;B512),Input_Call,0),MATCH(E507,Input_Header,0)))</f>
        <v>0</v>
      </c>
      <c r="F512" s="698">
        <f>IF(F507="",0,INDEX(Input_Range,MATCH((C371&amp;B512),Input_Call,0),MATCH(F507,Input_Header,0)))</f>
        <v>0</v>
      </c>
      <c r="G512" s="698">
        <f>IF(G507="",0,INDEX(Input_Range,MATCH((C371&amp;B512),Input_Call,0),MATCH(G507,Input_Header,0)))</f>
        <v>0</v>
      </c>
      <c r="H512" s="698">
        <f>IF(H507="",0,INDEX(Input_Range,MATCH((C371&amp;B512),Input_Call,0),MATCH(H507,Input_Header,0)))</f>
        <v>0</v>
      </c>
      <c r="I512" s="698">
        <f>IF(I507="",0,INDEX(Input_Range,MATCH((C371&amp;B512),Input_Call,0),MATCH(I507,Input_Header,0)))</f>
        <v>0</v>
      </c>
      <c r="J512" s="698">
        <f>IF(J507="",0,INDEX(Input_Range,MATCH((C371&amp;B512),Input_Call,0),MATCH(J507,Input_Header,0)))</f>
        <v>0</v>
      </c>
      <c r="K512" s="698">
        <f>IF(K507="",0,INDEX(Input_Range,MATCH((C371&amp;B512),Input_Call,0),MATCH(K507,Input_Header,0)))</f>
        <v>0</v>
      </c>
      <c r="L512" s="698">
        <f>IF(L507="",0,INDEX(Input_Range,MATCH((C371&amp;B512),Input_Call,0),MATCH(L507,Input_Header,0)))</f>
        <v>0</v>
      </c>
      <c r="M512" s="698">
        <f>IF(M507="",0,INDEX(Input_Range,MATCH((C371&amp;B512),Input_Call,0),MATCH(M507,Input_Header,0)))</f>
        <v>0</v>
      </c>
      <c r="N512" s="698">
        <f>IF(N507="",0,INDEX(Input_Range,MATCH((C371&amp;B512),Input_Call,0),MATCH(N507,Input_Header,0)))</f>
        <v>0</v>
      </c>
      <c r="O512" s="698">
        <f>IF(O507="",0,INDEX(Input_Range,MATCH((C371&amp;B512),Input_Call,0),MATCH(O507,Input_Header,0)))</f>
        <v>0</v>
      </c>
      <c r="P512" s="698">
        <f>IF(P507="",0,INDEX(Input_Range,MATCH((C371&amp;B512),Input_Call,0),MATCH(P507,Input_Header,0)))</f>
        <v>0</v>
      </c>
      <c r="Q512" s="698">
        <f>IF(Q507="",0,INDEX(Input_Range,MATCH((C371&amp;B512),Input_Call,0),MATCH(Q507,Input_Header,0)))</f>
        <v>0</v>
      </c>
      <c r="R512" s="698">
        <f t="shared" si="759"/>
        <v>0</v>
      </c>
      <c r="T512" s="699">
        <f t="shared" si="760"/>
        <v>0</v>
      </c>
      <c r="U512" s="699">
        <f t="shared" si="761"/>
        <v>0</v>
      </c>
      <c r="V512" s="699">
        <f t="shared" si="762"/>
        <v>0</v>
      </c>
      <c r="W512" s="699">
        <f t="shared" si="763"/>
        <v>0</v>
      </c>
      <c r="X512" s="699">
        <f t="shared" si="764"/>
        <v>0</v>
      </c>
      <c r="Y512" s="699">
        <f t="shared" si="765"/>
        <v>0</v>
      </c>
      <c r="Z512" s="699">
        <f t="shared" si="766"/>
        <v>0</v>
      </c>
      <c r="AA512" s="699">
        <f t="shared" si="767"/>
        <v>0</v>
      </c>
      <c r="AB512" s="699">
        <f t="shared" si="768"/>
        <v>0</v>
      </c>
      <c r="AC512" s="699">
        <f t="shared" si="769"/>
        <v>0</v>
      </c>
      <c r="AD512" s="699">
        <f t="shared" si="770"/>
        <v>0</v>
      </c>
      <c r="AE512" s="699">
        <f t="shared" si="771"/>
        <v>0</v>
      </c>
      <c r="AF512" s="699">
        <f t="shared" si="772"/>
        <v>0</v>
      </c>
      <c r="AG512" s="699">
        <f t="shared" si="773"/>
        <v>0</v>
      </c>
      <c r="AI512" s="698" t="e">
        <f t="shared" si="756"/>
        <v>#DIV/0!</v>
      </c>
      <c r="AJ512" s="698"/>
      <c r="AK512" s="698"/>
      <c r="AL512" s="4" t="str">
        <f>$A512&amp;$C371&amp;InputSheet!C$45&amp;InputSheet!D$45</f>
        <v>Option Year 11ESDG&amp;AContr/Govt</v>
      </c>
      <c r="AM512" s="700" t="e">
        <f t="shared" si="757"/>
        <v>#DIV/0!</v>
      </c>
      <c r="AP512" s="387" t="e">
        <f t="shared" si="669"/>
        <v>#DIV/0!</v>
      </c>
    </row>
    <row r="513" spans="1:42" outlineLevel="1">
      <c r="A513" s="6" t="str">
        <f t="shared" si="758"/>
        <v>Option Year 11</v>
      </c>
      <c r="B513" s="6" t="str">
        <f t="shared" si="754"/>
        <v>TBD1</v>
      </c>
      <c r="E513" s="21">
        <f>IF(E507="",0,INDEX(Input_Range,MATCH((C371&amp;B513),Input_Call,0),MATCH(E507,Input_Header,0)))</f>
        <v>0</v>
      </c>
      <c r="F513" s="21">
        <f>IF(F507="",0,INDEX(Input_Range,MATCH((C371&amp;B513),Input_Call,0),MATCH(F507,Input_Header,0)))</f>
        <v>0</v>
      </c>
      <c r="G513" s="21">
        <f>IF(G507="",0,INDEX(Input_Range,MATCH((C371&amp;B513),Input_Call,0),MATCH(G507,Input_Header,0)))</f>
        <v>0</v>
      </c>
      <c r="H513" s="21">
        <f>IF(H507="",0,INDEX(Input_Range,MATCH((C371&amp;B513),Input_Call,0),MATCH(H507,Input_Header,0)))</f>
        <v>0</v>
      </c>
      <c r="I513" s="21">
        <f>IF(I507="",0,INDEX(Input_Range,MATCH((C371&amp;B513),Input_Call,0),MATCH(I507,Input_Header,0)))</f>
        <v>0</v>
      </c>
      <c r="J513" s="21">
        <f>IF(J507="",0,INDEX(Input_Range,MATCH((C371&amp;B513),Input_Call,0),MATCH(J507,Input_Header,0)))</f>
        <v>0</v>
      </c>
      <c r="K513" s="21">
        <f>IF(K507="",0,INDEX(Input_Range,MATCH((C371&amp;B513),Input_Call,0),MATCH(K507,Input_Header,0)))</f>
        <v>0</v>
      </c>
      <c r="L513" s="21">
        <f>IF(L507="",0,INDEX(Input_Range,MATCH((C371&amp;B513),Input_Call,0),MATCH(L507,Input_Header,0)))</f>
        <v>0</v>
      </c>
      <c r="M513" s="21">
        <f>IF(M507="",0,INDEX(Input_Range,MATCH((C371&amp;B513),Input_Call,0),MATCH(M507,Input_Header,0)))</f>
        <v>0</v>
      </c>
      <c r="N513" s="21">
        <f>IF(N507="",0,INDEX(Input_Range,MATCH((C371&amp;B513),Input_Call,0),MATCH(N507,Input_Header,0)))</f>
        <v>0</v>
      </c>
      <c r="O513" s="21">
        <f>IF(O507="",0,INDEX(Input_Range,MATCH((C371&amp;B513),Input_Call,0),MATCH(O507,Input_Header,0)))</f>
        <v>0</v>
      </c>
      <c r="P513" s="21">
        <f>IF(P507="",0,INDEX(Input_Range,MATCH((C371&amp;B513),Input_Call,0),MATCH(P507,Input_Header,0)))</f>
        <v>0</v>
      </c>
      <c r="Q513" s="21">
        <f>IF(Q507="",0,INDEX(Input_Range,MATCH((C371&amp;B513),Input_Call,0),MATCH(Q507,Input_Header,0)))</f>
        <v>0</v>
      </c>
      <c r="R513" s="698">
        <f t="shared" si="759"/>
        <v>0</v>
      </c>
      <c r="T513" s="699">
        <f t="shared" si="760"/>
        <v>0</v>
      </c>
      <c r="U513" s="699">
        <f t="shared" si="761"/>
        <v>0</v>
      </c>
      <c r="V513" s="699">
        <f t="shared" si="762"/>
        <v>0</v>
      </c>
      <c r="W513" s="699">
        <f t="shared" si="763"/>
        <v>0</v>
      </c>
      <c r="X513" s="699">
        <f t="shared" si="764"/>
        <v>0</v>
      </c>
      <c r="Y513" s="699">
        <f t="shared" si="765"/>
        <v>0</v>
      </c>
      <c r="Z513" s="699">
        <f t="shared" si="766"/>
        <v>0</v>
      </c>
      <c r="AA513" s="699">
        <f t="shared" si="767"/>
        <v>0</v>
      </c>
      <c r="AB513" s="699">
        <f t="shared" si="768"/>
        <v>0</v>
      </c>
      <c r="AC513" s="699">
        <f t="shared" si="769"/>
        <v>0</v>
      </c>
      <c r="AD513" s="699">
        <f t="shared" si="770"/>
        <v>0</v>
      </c>
      <c r="AE513" s="699">
        <f t="shared" si="771"/>
        <v>0</v>
      </c>
      <c r="AF513" s="699">
        <f t="shared" si="772"/>
        <v>0</v>
      </c>
      <c r="AG513" s="699">
        <f t="shared" si="773"/>
        <v>0</v>
      </c>
      <c r="AI513" s="698" t="e">
        <f t="shared" si="756"/>
        <v>#DIV/0!</v>
      </c>
      <c r="AJ513" s="21"/>
      <c r="AK513" s="21"/>
      <c r="AL513" s="4" t="str">
        <f>$A513&amp;$C371&amp;InputSheet!C$46&amp;InputSheet!D$46</f>
        <v>Option Year 11ESDTBD1Contr/Govt</v>
      </c>
      <c r="AM513" s="700" t="e">
        <f t="shared" si="757"/>
        <v>#DIV/0!</v>
      </c>
      <c r="AP513" s="387" t="e">
        <f t="shared" si="669"/>
        <v>#DIV/0!</v>
      </c>
    </row>
    <row r="514" spans="1:42" outlineLevel="1">
      <c r="A514" s="6" t="str">
        <f t="shared" si="758"/>
        <v>Option Year 11</v>
      </c>
      <c r="B514" s="6" t="str">
        <f t="shared" si="754"/>
        <v>TBD2</v>
      </c>
      <c r="E514" s="21">
        <f>IF(E507="",0,INDEX(Input_Range,MATCH((C371&amp;B514),Input_Call,0),MATCH(E507,Input_Header,0)))</f>
        <v>0</v>
      </c>
      <c r="F514" s="21">
        <f>IF(F507="",0,INDEX(Input_Range,MATCH((C371&amp;B514),Input_Call,0),MATCH(F507,Input_Header,0)))</f>
        <v>0</v>
      </c>
      <c r="G514" s="21">
        <f>IF(G507="",0,INDEX(Input_Range,MATCH((C371&amp;B514),Input_Call,0),MATCH(G507,Input_Header,0)))</f>
        <v>0</v>
      </c>
      <c r="H514" s="21">
        <f>IF(H507="",0,INDEX(Input_Range,MATCH((C371&amp;B514),Input_Call,0),MATCH(H507,Input_Header,0)))</f>
        <v>0</v>
      </c>
      <c r="I514" s="21">
        <f>IF(I507="",0,INDEX(Input_Range,MATCH((C371&amp;B514),Input_Call,0),MATCH(I507,Input_Header,0)))</f>
        <v>0</v>
      </c>
      <c r="J514" s="21">
        <f>IF(J507="",0,INDEX(Input_Range,MATCH((C371&amp;B514),Input_Call,0),MATCH(J507,Input_Header,0)))</f>
        <v>0</v>
      </c>
      <c r="K514" s="21">
        <f>IF(K507="",0,INDEX(Input_Range,MATCH((C371&amp;B514),Input_Call,0),MATCH(K507,Input_Header,0)))</f>
        <v>0</v>
      </c>
      <c r="L514" s="21">
        <f>IF(L507="",0,INDEX(Input_Range,MATCH((C371&amp;B514),Input_Call,0),MATCH(L507,Input_Header,0)))</f>
        <v>0</v>
      </c>
      <c r="M514" s="21">
        <f>IF(M507="",0,INDEX(Input_Range,MATCH((C371&amp;B514),Input_Call,0),MATCH(M507,Input_Header,0)))</f>
        <v>0</v>
      </c>
      <c r="N514" s="21">
        <f>IF(N507="",0,INDEX(Input_Range,MATCH((C371&amp;B514),Input_Call,0),MATCH(N507,Input_Header,0)))</f>
        <v>0</v>
      </c>
      <c r="O514" s="21">
        <f>IF(O507="",0,INDEX(Input_Range,MATCH((C371&amp;B514),Input_Call,0),MATCH(O507,Input_Header,0)))</f>
        <v>0</v>
      </c>
      <c r="P514" s="21">
        <f>IF(P507="",0,INDEX(Input_Range,MATCH((C371&amp;B514),Input_Call,0),MATCH(P507,Input_Header,0)))</f>
        <v>0</v>
      </c>
      <c r="Q514" s="21">
        <f>IF(Q507="",0,INDEX(Input_Range,MATCH((C371&amp;B514),Input_Call,0),MATCH(Q507,Input_Header,0)))</f>
        <v>0</v>
      </c>
      <c r="R514" s="698">
        <f t="shared" si="759"/>
        <v>0</v>
      </c>
      <c r="T514" s="699">
        <f t="shared" si="760"/>
        <v>0</v>
      </c>
      <c r="U514" s="699">
        <f t="shared" si="761"/>
        <v>0</v>
      </c>
      <c r="V514" s="699">
        <f t="shared" si="762"/>
        <v>0</v>
      </c>
      <c r="W514" s="699">
        <f t="shared" si="763"/>
        <v>0</v>
      </c>
      <c r="X514" s="699">
        <f t="shared" si="764"/>
        <v>0</v>
      </c>
      <c r="Y514" s="699">
        <f t="shared" si="765"/>
        <v>0</v>
      </c>
      <c r="Z514" s="699">
        <f t="shared" si="766"/>
        <v>0</v>
      </c>
      <c r="AA514" s="699">
        <f t="shared" si="767"/>
        <v>0</v>
      </c>
      <c r="AB514" s="699">
        <f t="shared" si="768"/>
        <v>0</v>
      </c>
      <c r="AC514" s="699">
        <f t="shared" si="769"/>
        <v>0</v>
      </c>
      <c r="AD514" s="699">
        <f t="shared" si="770"/>
        <v>0</v>
      </c>
      <c r="AE514" s="699">
        <f t="shared" si="771"/>
        <v>0</v>
      </c>
      <c r="AF514" s="699">
        <f t="shared" si="772"/>
        <v>0</v>
      </c>
      <c r="AG514" s="699">
        <f t="shared" si="773"/>
        <v>0</v>
      </c>
      <c r="AI514" s="698" t="e">
        <f t="shared" si="756"/>
        <v>#DIV/0!</v>
      </c>
      <c r="AJ514" s="21"/>
      <c r="AK514" s="21"/>
      <c r="AL514" s="4" t="str">
        <f>$A514&amp;$C371&amp;InputSheet!C$47&amp;InputSheet!D$47</f>
        <v>Option Year 11ESDTBD2Contr/Govt</v>
      </c>
      <c r="AM514" s="700" t="e">
        <f t="shared" si="757"/>
        <v>#DIV/0!</v>
      </c>
      <c r="AP514" s="387" t="e">
        <f t="shared" si="669"/>
        <v>#DIV/0!</v>
      </c>
    </row>
    <row r="515" spans="1:42" outlineLevel="1">
      <c r="A515" s="6" t="str">
        <f t="shared" si="758"/>
        <v>Option Year 11</v>
      </c>
      <c r="B515" s="6" t="str">
        <f t="shared" si="754"/>
        <v>TBD3</v>
      </c>
      <c r="E515" s="21">
        <f>IF(E507="",0,INDEX(Input_Range,MATCH((C371&amp;B515),Input_Call,0),MATCH(E507,Input_Header,0)))</f>
        <v>0</v>
      </c>
      <c r="F515" s="21">
        <f>IF(F507="",0,INDEX(Input_Range,MATCH((C371&amp;B515),Input_Call,0),MATCH(F507,Input_Header,0)))</f>
        <v>0</v>
      </c>
      <c r="G515" s="21">
        <f>IF(G507="",0,INDEX(Input_Range,MATCH((C371&amp;B515),Input_Call,0),MATCH(G507,Input_Header,0)))</f>
        <v>0</v>
      </c>
      <c r="H515" s="21">
        <f>IF(H507="",0,INDEX(Input_Range,MATCH((C371&amp;B515),Input_Call,0),MATCH(H507,Input_Header,0)))</f>
        <v>0</v>
      </c>
      <c r="I515" s="21">
        <f>IF(I507="",0,INDEX(Input_Range,MATCH((C371&amp;B515),Input_Call,0),MATCH(I507,Input_Header,0)))</f>
        <v>0</v>
      </c>
      <c r="J515" s="21">
        <f>IF(J507="",0,INDEX(Input_Range,MATCH((C371&amp;B515),Input_Call,0),MATCH(J507,Input_Header,0)))</f>
        <v>0</v>
      </c>
      <c r="K515" s="21">
        <f>IF(K507="",0,INDEX(Input_Range,MATCH((C371&amp;B515),Input_Call,0),MATCH(K507,Input_Header,0)))</f>
        <v>0</v>
      </c>
      <c r="L515" s="21">
        <f>IF(L507="",0,INDEX(Input_Range,MATCH((C371&amp;B515),Input_Call,0),MATCH(L507,Input_Header,0)))</f>
        <v>0</v>
      </c>
      <c r="M515" s="21">
        <f>IF(M507="",0,INDEX(Input_Range,MATCH((C371&amp;B515),Input_Call,0),MATCH(M507,Input_Header,0)))</f>
        <v>0</v>
      </c>
      <c r="N515" s="21">
        <f>IF(N507="",0,INDEX(Input_Range,MATCH((C371&amp;B515),Input_Call,0),MATCH(N507,Input_Header,0)))</f>
        <v>0</v>
      </c>
      <c r="O515" s="21">
        <f>IF(O507="",0,INDEX(Input_Range,MATCH((C371&amp;B515),Input_Call,0),MATCH(O507,Input_Header,0)))</f>
        <v>0</v>
      </c>
      <c r="P515" s="21">
        <f>IF(P507="",0,INDEX(Input_Range,MATCH((C371&amp;B515),Input_Call,0),MATCH(P507,Input_Header,0)))</f>
        <v>0</v>
      </c>
      <c r="Q515" s="21">
        <f>IF(Q507="",0,INDEX(Input_Range,MATCH((C371&amp;B515),Input_Call,0),MATCH(Q507,Input_Header,0)))</f>
        <v>0</v>
      </c>
      <c r="R515" s="698">
        <f t="shared" si="759"/>
        <v>0</v>
      </c>
      <c r="T515" s="699">
        <f t="shared" si="760"/>
        <v>0</v>
      </c>
      <c r="U515" s="699">
        <f t="shared" si="761"/>
        <v>0</v>
      </c>
      <c r="V515" s="699">
        <f t="shared" si="762"/>
        <v>0</v>
      </c>
      <c r="W515" s="699">
        <f t="shared" si="763"/>
        <v>0</v>
      </c>
      <c r="X515" s="699">
        <f t="shared" si="764"/>
        <v>0</v>
      </c>
      <c r="Y515" s="699">
        <f t="shared" si="765"/>
        <v>0</v>
      </c>
      <c r="Z515" s="699">
        <f t="shared" si="766"/>
        <v>0</v>
      </c>
      <c r="AA515" s="699">
        <f t="shared" si="767"/>
        <v>0</v>
      </c>
      <c r="AB515" s="699">
        <f t="shared" si="768"/>
        <v>0</v>
      </c>
      <c r="AC515" s="699">
        <f t="shared" si="769"/>
        <v>0</v>
      </c>
      <c r="AD515" s="699">
        <f t="shared" si="770"/>
        <v>0</v>
      </c>
      <c r="AE515" s="699">
        <f t="shared" si="771"/>
        <v>0</v>
      </c>
      <c r="AF515" s="699">
        <f t="shared" si="772"/>
        <v>0</v>
      </c>
      <c r="AG515" s="699">
        <f t="shared" si="773"/>
        <v>0</v>
      </c>
      <c r="AI515" s="698" t="e">
        <f t="shared" si="756"/>
        <v>#DIV/0!</v>
      </c>
      <c r="AJ515" s="21"/>
      <c r="AK515" s="21"/>
      <c r="AL515" s="4" t="str">
        <f>$A515&amp;$C371&amp;InputSheet!C$48&amp;InputSheet!D$48</f>
        <v>Option Year 11ESDTBD3Contr/Govt</v>
      </c>
      <c r="AM515" s="700" t="e">
        <f t="shared" si="757"/>
        <v>#DIV/0!</v>
      </c>
      <c r="AP515" s="387" t="e">
        <f t="shared" si="669"/>
        <v>#DIV/0!</v>
      </c>
    </row>
    <row r="516" spans="1:42">
      <c r="E516" s="698"/>
      <c r="F516" s="698"/>
      <c r="G516" s="698"/>
      <c r="H516" s="698"/>
      <c r="I516" s="698"/>
      <c r="J516" s="698"/>
      <c r="K516" s="698"/>
      <c r="L516" s="698"/>
      <c r="M516" s="698"/>
      <c r="N516" s="698"/>
      <c r="O516" s="698"/>
      <c r="P516" s="698"/>
      <c r="Q516" s="698"/>
      <c r="R516" s="698"/>
      <c r="AI516" s="21"/>
      <c r="AJ516" s="21"/>
      <c r="AK516" s="21"/>
      <c r="AP516" s="387" t="str">
        <f t="shared" si="669"/>
        <v>1</v>
      </c>
    </row>
    <row r="517" spans="1:42">
      <c r="A517" s="530" t="str">
        <f>B517</f>
        <v>Option Year 12</v>
      </c>
      <c r="B517" s="691" t="str">
        <f>InputSheet!$C$34</f>
        <v>Option Year 12</v>
      </c>
      <c r="AP517" s="387" t="str">
        <f t="shared" si="669"/>
        <v>1</v>
      </c>
    </row>
    <row r="518" spans="1:42">
      <c r="B518" s="314" t="s">
        <v>587</v>
      </c>
      <c r="C518" s="692" t="s">
        <v>588</v>
      </c>
      <c r="E518" s="1216" t="str">
        <f>"Indirect Rates - "&amp;C$371</f>
        <v>Indirect Rates - ESD</v>
      </c>
      <c r="F518" s="1216"/>
      <c r="G518" s="1216"/>
      <c r="H518" s="1216"/>
      <c r="I518" s="1216"/>
      <c r="J518" s="1216"/>
      <c r="K518" s="1216"/>
      <c r="L518" s="1216"/>
      <c r="M518" s="1216"/>
      <c r="N518" s="1216"/>
      <c r="O518" s="1216"/>
      <c r="P518" s="1216"/>
      <c r="Q518" s="1216"/>
      <c r="R518" s="1216"/>
      <c r="S518" s="844"/>
      <c r="T518" s="1217" t="s">
        <v>794</v>
      </c>
      <c r="U518" s="1217"/>
      <c r="V518" s="1217"/>
      <c r="W518" s="1217"/>
      <c r="X518" s="1217"/>
      <c r="Y518" s="1217"/>
      <c r="Z518" s="1217"/>
      <c r="AA518" s="1217"/>
      <c r="AB518" s="1217"/>
      <c r="AC518" s="1217"/>
      <c r="AD518" s="1217"/>
      <c r="AE518" s="1217"/>
      <c r="AF518" s="1217"/>
      <c r="AG518" s="1217"/>
      <c r="AI518" s="692" t="s">
        <v>615</v>
      </c>
      <c r="AJ518" s="50"/>
      <c r="AK518" s="50"/>
      <c r="AP518" s="387" t="str">
        <f t="shared" si="669"/>
        <v>1</v>
      </c>
    </row>
    <row r="519" spans="1:42">
      <c r="B519" s="693">
        <f>VLOOKUP(A517,InputSheet!$C$8:$E$37,2,FALSE)</f>
        <v>2558</v>
      </c>
      <c r="C519" s="694">
        <f>VLOOKUP(A517,InputSheet!$C$8:$E$37,3,FALSE)</f>
        <v>2922</v>
      </c>
      <c r="E519" s="695">
        <f t="shared" ref="E519:R519" si="774">E507</f>
        <v>2009</v>
      </c>
      <c r="F519" s="695">
        <f t="shared" si="774"/>
        <v>2010</v>
      </c>
      <c r="G519" s="695">
        <f t="shared" si="774"/>
        <v>2011</v>
      </c>
      <c r="H519" s="695">
        <f t="shared" si="774"/>
        <v>2012</v>
      </c>
      <c r="I519" s="695">
        <f t="shared" si="774"/>
        <v>2013</v>
      </c>
      <c r="J519" s="695">
        <f t="shared" si="774"/>
        <v>2014</v>
      </c>
      <c r="K519" s="695">
        <f t="shared" si="774"/>
        <v>2015</v>
      </c>
      <c r="L519" s="695">
        <f t="shared" si="774"/>
        <v>2016</v>
      </c>
      <c r="M519" s="695">
        <f t="shared" si="774"/>
        <v>2017</v>
      </c>
      <c r="N519" s="695">
        <f t="shared" si="774"/>
        <v>2018</v>
      </c>
      <c r="O519" s="695">
        <f t="shared" si="774"/>
        <v>2019</v>
      </c>
      <c r="P519" s="695">
        <f t="shared" si="774"/>
        <v>2020</v>
      </c>
      <c r="Q519" s="695">
        <f t="shared" si="774"/>
        <v>2021</v>
      </c>
      <c r="R519" s="695">
        <f t="shared" si="774"/>
        <v>2022</v>
      </c>
      <c r="S519" s="680"/>
      <c r="T519" s="695">
        <f t="shared" ref="T519:AG519" si="775">T507</f>
        <v>2009</v>
      </c>
      <c r="U519" s="695">
        <f t="shared" si="775"/>
        <v>2010</v>
      </c>
      <c r="V519" s="695">
        <f t="shared" si="775"/>
        <v>2011</v>
      </c>
      <c r="W519" s="695">
        <f t="shared" si="775"/>
        <v>2012</v>
      </c>
      <c r="X519" s="695">
        <f t="shared" si="775"/>
        <v>2013</v>
      </c>
      <c r="Y519" s="695">
        <f t="shared" si="775"/>
        <v>2014</v>
      </c>
      <c r="Z519" s="695">
        <f t="shared" si="775"/>
        <v>2015</v>
      </c>
      <c r="AA519" s="695">
        <f t="shared" si="775"/>
        <v>2016</v>
      </c>
      <c r="AB519" s="695">
        <f t="shared" si="775"/>
        <v>2017</v>
      </c>
      <c r="AC519" s="695">
        <f t="shared" si="775"/>
        <v>2018</v>
      </c>
      <c r="AD519" s="695">
        <f t="shared" si="775"/>
        <v>2019</v>
      </c>
      <c r="AE519" s="695">
        <f t="shared" si="775"/>
        <v>2020</v>
      </c>
      <c r="AF519" s="695">
        <f t="shared" si="775"/>
        <v>2021</v>
      </c>
      <c r="AG519" s="695">
        <f t="shared" si="775"/>
        <v>2022</v>
      </c>
      <c r="AI519" s="696" t="str">
        <f>B517</f>
        <v>Option Year 12</v>
      </c>
      <c r="AJ519" s="28"/>
      <c r="AK519" s="28"/>
      <c r="AP519" s="387" t="str">
        <f t="shared" si="669"/>
        <v>1</v>
      </c>
    </row>
    <row r="520" spans="1:42">
      <c r="A520" s="6" t="str">
        <f>A517</f>
        <v>Option Year 12</v>
      </c>
      <c r="B520" s="6" t="str">
        <f t="shared" ref="B520:B527" si="776">B508</f>
        <v>PRB</v>
      </c>
      <c r="E520" s="698">
        <f>IF(E519="",0,INDEX(Input_Range,MATCH((C371&amp;B520),Input_Call,0),MATCH(E519,Input_Header,0)))</f>
        <v>0</v>
      </c>
      <c r="F520" s="698">
        <f>IF(F519="",0,INDEX(Input_Range,MATCH((C371&amp;B520),Input_Call,0),MATCH(F519,Input_Header,0)))</f>
        <v>0</v>
      </c>
      <c r="G520" s="698">
        <f>IF(G519="",0,INDEX(Input_Range,MATCH((C371&amp;B520),Input_Call,0),MATCH(G519,Input_Header,0)))</f>
        <v>0</v>
      </c>
      <c r="H520" s="698">
        <f>IF(H519="",0,INDEX(Input_Range,MATCH((C371&amp;B520),Input_Call,0),MATCH(H519,Input_Header,0)))</f>
        <v>0</v>
      </c>
      <c r="I520" s="698">
        <f>IF(I519="",0,INDEX(Input_Range,MATCH((C371&amp;B520),Input_Call,0),MATCH(I519,Input_Header,0)))</f>
        <v>0</v>
      </c>
      <c r="J520" s="698">
        <f>IF(J519="",0,INDEX(Input_Range,MATCH((C371&amp;B520),Input_Call,0),MATCH(J519,Input_Header,0)))</f>
        <v>0</v>
      </c>
      <c r="K520" s="698">
        <f>IF(K519="",0,INDEX(Input_Range,MATCH((C371&amp;B520),Input_Call,0),MATCH(K519,Input_Header,0)))</f>
        <v>0</v>
      </c>
      <c r="L520" s="698">
        <f>IF(L519="",0,INDEX(Input_Range,MATCH((C371&amp;B520),Input_Call,0),MATCH(L519,Input_Header,0)))</f>
        <v>0</v>
      </c>
      <c r="M520" s="698">
        <f>IF(M519="",0,INDEX(Input_Range,MATCH((C371&amp;B520),Input_Call,0),MATCH(M519,Input_Header,0)))</f>
        <v>0</v>
      </c>
      <c r="N520" s="698">
        <f>IF(N519="",0,INDEX(Input_Range,MATCH((C371&amp;B520),Input_Call,0),MATCH(N519,Input_Header,0)))</f>
        <v>0</v>
      </c>
      <c r="O520" s="698">
        <f>IF(O519="",0,INDEX(Input_Range,MATCH((C371&amp;B520),Input_Call,0),MATCH(O519,Input_Header,0)))</f>
        <v>0</v>
      </c>
      <c r="P520" s="698">
        <f>IF(P519="",0,INDEX(Input_Range,MATCH((C371&amp;B520),Input_Call,0),MATCH(P519,Input_Header,0)))</f>
        <v>0</v>
      </c>
      <c r="Q520" s="698">
        <f>IF(Q519="",0,INDEX(Input_Range,MATCH((C371&amp;B520),Input_Call,0),MATCH(Q519,Input_Header,0)))</f>
        <v>0</v>
      </c>
      <c r="R520" s="698">
        <f>Q520</f>
        <v>0</v>
      </c>
      <c r="T520" s="699">
        <f t="shared" ref="T520:AG520" si="777">ROUND((MAX(0,(MIN($C519,DATE(T519,12,31))-MAX($B519,DATE(T519,1,1))+1)))/30.41667,0)</f>
        <v>0</v>
      </c>
      <c r="U520" s="699">
        <f t="shared" si="777"/>
        <v>0</v>
      </c>
      <c r="V520" s="699">
        <f t="shared" si="777"/>
        <v>0</v>
      </c>
      <c r="W520" s="699">
        <f t="shared" si="777"/>
        <v>0</v>
      </c>
      <c r="X520" s="699">
        <f t="shared" si="777"/>
        <v>0</v>
      </c>
      <c r="Y520" s="699">
        <f t="shared" si="777"/>
        <v>0</v>
      </c>
      <c r="Z520" s="699">
        <f t="shared" si="777"/>
        <v>0</v>
      </c>
      <c r="AA520" s="699">
        <f t="shared" si="777"/>
        <v>0</v>
      </c>
      <c r="AB520" s="699">
        <f t="shared" si="777"/>
        <v>0</v>
      </c>
      <c r="AC520" s="699">
        <f t="shared" si="777"/>
        <v>0</v>
      </c>
      <c r="AD520" s="699">
        <f t="shared" si="777"/>
        <v>0</v>
      </c>
      <c r="AE520" s="699">
        <f t="shared" si="777"/>
        <v>0</v>
      </c>
      <c r="AF520" s="699">
        <f t="shared" si="777"/>
        <v>0</v>
      </c>
      <c r="AG520" s="699">
        <f t="shared" si="777"/>
        <v>0</v>
      </c>
      <c r="AI520" s="698" t="e">
        <f t="shared" ref="AI520:AI527" si="778">ROUND(SUMPRODUCT(E520:R520,T520:AG520)/SUM(T520:AG520),4)</f>
        <v>#DIV/0!</v>
      </c>
      <c r="AJ520" s="698"/>
      <c r="AK520" s="698"/>
      <c r="AL520" s="4" t="str">
        <f>$A520&amp;$C371&amp;InputSheet!C$41&amp;InputSheet!D$41</f>
        <v>Option Year 12ESDPRBContr/Govt</v>
      </c>
      <c r="AM520" s="700" t="e">
        <f t="shared" ref="AM520:AM527" si="779">AI520</f>
        <v>#DIV/0!</v>
      </c>
      <c r="AP520" s="387" t="e">
        <f t="shared" si="669"/>
        <v>#DIV/0!</v>
      </c>
    </row>
    <row r="521" spans="1:42">
      <c r="A521" s="6" t="str">
        <f t="shared" ref="A521:A527" si="780">A520</f>
        <v>Option Year 12</v>
      </c>
      <c r="B521" s="6" t="str">
        <f t="shared" si="776"/>
        <v>Overhead - Offsite</v>
      </c>
      <c r="E521" s="698">
        <f>IF(E519="",0,INDEX(Input_Range,MATCH((C371&amp;B521),Input_Call,0),MATCH(E519,Input_Header,0)))</f>
        <v>0</v>
      </c>
      <c r="F521" s="698">
        <f>IF(F519="",0,INDEX(Input_Range,MATCH((C371&amp;B521),Input_Call,0),MATCH(F519,Input_Header,0)))</f>
        <v>0</v>
      </c>
      <c r="G521" s="698">
        <f>IF(G519="",0,INDEX(Input_Range,MATCH((C371&amp;B521),Input_Call,0),MATCH(G519,Input_Header,0)))</f>
        <v>0</v>
      </c>
      <c r="H521" s="698">
        <f>IF(H519="",0,INDEX(Input_Range,MATCH((C371&amp;B521),Input_Call,0),MATCH(H519,Input_Header,0)))</f>
        <v>0</v>
      </c>
      <c r="I521" s="698">
        <f>IF(I519="",0,INDEX(Input_Range,MATCH((C371&amp;B521),Input_Call,0),MATCH(I519,Input_Header,0)))</f>
        <v>0</v>
      </c>
      <c r="J521" s="698">
        <f>IF(J519="",0,INDEX(Input_Range,MATCH((C371&amp;B521),Input_Call,0),MATCH(J519,Input_Header,0)))</f>
        <v>0</v>
      </c>
      <c r="K521" s="698">
        <f>IF(K519="",0,INDEX(Input_Range,MATCH((C371&amp;B521),Input_Call,0),MATCH(K519,Input_Header,0)))</f>
        <v>0</v>
      </c>
      <c r="L521" s="698">
        <f>IF(L519="",0,INDEX(Input_Range,MATCH((C371&amp;B521),Input_Call,0),MATCH(L519,Input_Header,0)))</f>
        <v>0</v>
      </c>
      <c r="M521" s="698">
        <f>IF(M519="",0,INDEX(Input_Range,MATCH((C371&amp;B521),Input_Call,0),MATCH(M519,Input_Header,0)))</f>
        <v>0</v>
      </c>
      <c r="N521" s="698">
        <f>IF(N519="",0,INDEX(Input_Range,MATCH((C371&amp;B521),Input_Call,0),MATCH(N519,Input_Header,0)))</f>
        <v>0</v>
      </c>
      <c r="O521" s="698">
        <f>IF(O519="",0,INDEX(Input_Range,MATCH((C371&amp;B521),Input_Call,0),MATCH(O519,Input_Header,0)))</f>
        <v>0</v>
      </c>
      <c r="P521" s="698">
        <f>IF(P519="",0,INDEX(Input_Range,MATCH((C371&amp;B521),Input_Call,0),MATCH(P519,Input_Header,0)))</f>
        <v>0</v>
      </c>
      <c r="Q521" s="698">
        <f>IF(Q519="",0,INDEX(Input_Range,MATCH((C371&amp;B521),Input_Call,0),MATCH(Q519,Input_Header,0)))</f>
        <v>0</v>
      </c>
      <c r="R521" s="698">
        <f t="shared" ref="R521:R527" si="781">Q521</f>
        <v>0</v>
      </c>
      <c r="T521" s="699">
        <f t="shared" ref="T521:T527" si="782">T520</f>
        <v>0</v>
      </c>
      <c r="U521" s="699">
        <f t="shared" ref="U521:U527" si="783">U520</f>
        <v>0</v>
      </c>
      <c r="V521" s="699">
        <f t="shared" ref="V521:V527" si="784">V520</f>
        <v>0</v>
      </c>
      <c r="W521" s="699">
        <f t="shared" ref="W521:W527" si="785">W520</f>
        <v>0</v>
      </c>
      <c r="X521" s="699">
        <f t="shared" ref="X521:X527" si="786">X520</f>
        <v>0</v>
      </c>
      <c r="Y521" s="699">
        <f t="shared" ref="Y521:Y527" si="787">Y520</f>
        <v>0</v>
      </c>
      <c r="Z521" s="699">
        <f t="shared" ref="Z521:Z527" si="788">Z520</f>
        <v>0</v>
      </c>
      <c r="AA521" s="699">
        <f t="shared" ref="AA521:AA527" si="789">AA520</f>
        <v>0</v>
      </c>
      <c r="AB521" s="699">
        <f t="shared" ref="AB521:AB527" si="790">AB520</f>
        <v>0</v>
      </c>
      <c r="AC521" s="699">
        <f t="shared" ref="AC521:AC527" si="791">AC520</f>
        <v>0</v>
      </c>
      <c r="AD521" s="699">
        <f t="shared" ref="AD521:AD527" si="792">AD520</f>
        <v>0</v>
      </c>
      <c r="AE521" s="699">
        <f t="shared" ref="AE521:AE527" si="793">AE520</f>
        <v>0</v>
      </c>
      <c r="AF521" s="699">
        <f t="shared" ref="AF521:AF527" si="794">AF520</f>
        <v>0</v>
      </c>
      <c r="AG521" s="699">
        <f t="shared" ref="AG521:AG527" si="795">AG520</f>
        <v>0</v>
      </c>
      <c r="AI521" s="698" t="e">
        <f t="shared" si="778"/>
        <v>#DIV/0!</v>
      </c>
      <c r="AJ521" s="698"/>
      <c r="AK521" s="698"/>
      <c r="AL521" s="4" t="str">
        <f>$A521&amp;$C371&amp;InputSheet!C$42&amp;InputSheet!D$42</f>
        <v>Option Year 12ESDOverheadContr</v>
      </c>
      <c r="AM521" s="700" t="e">
        <f t="shared" si="779"/>
        <v>#DIV/0!</v>
      </c>
      <c r="AP521" s="387" t="e">
        <f t="shared" si="669"/>
        <v>#DIV/0!</v>
      </c>
    </row>
    <row r="522" spans="1:42">
      <c r="A522" s="6" t="str">
        <f t="shared" si="780"/>
        <v>Option Year 12</v>
      </c>
      <c r="B522" s="6" t="str">
        <f t="shared" si="776"/>
        <v>Overhead - Onsite</v>
      </c>
      <c r="E522" s="698">
        <f>IF(E519="",0,INDEX(Input_Range,MATCH((C371&amp;B522),Input_Call,0),MATCH(E519,Input_Header,0)))</f>
        <v>0</v>
      </c>
      <c r="F522" s="698">
        <f>IF(F519="",0,INDEX(Input_Range,MATCH((C371&amp;B522),Input_Call,0),MATCH(F519,Input_Header,0)))</f>
        <v>0</v>
      </c>
      <c r="G522" s="698">
        <f>IF(G519="",0,INDEX(Input_Range,MATCH((C371&amp;B522),Input_Call,0),MATCH(G519,Input_Header,0)))</f>
        <v>0</v>
      </c>
      <c r="H522" s="698">
        <f>IF(H519="",0,INDEX(Input_Range,MATCH((C371&amp;B522),Input_Call,0),MATCH(H519,Input_Header,0)))</f>
        <v>0</v>
      </c>
      <c r="I522" s="698">
        <f>IF(I519="",0,INDEX(Input_Range,MATCH((C371&amp;B522),Input_Call,0),MATCH(I519,Input_Header,0)))</f>
        <v>0</v>
      </c>
      <c r="J522" s="698">
        <f>IF(J519="",0,INDEX(Input_Range,MATCH((C371&amp;B522),Input_Call,0),MATCH(J519,Input_Header,0)))</f>
        <v>0</v>
      </c>
      <c r="K522" s="698">
        <f>IF(K519="",0,INDEX(Input_Range,MATCH((C371&amp;B522),Input_Call,0),MATCH(K519,Input_Header,0)))</f>
        <v>0</v>
      </c>
      <c r="L522" s="698">
        <f>IF(L519="",0,INDEX(Input_Range,MATCH((C371&amp;B522),Input_Call,0),MATCH(L519,Input_Header,0)))</f>
        <v>0</v>
      </c>
      <c r="M522" s="698">
        <f>IF(M519="",0,INDEX(Input_Range,MATCH((C371&amp;B522),Input_Call,0),MATCH(M519,Input_Header,0)))</f>
        <v>0</v>
      </c>
      <c r="N522" s="698">
        <f>IF(N519="",0,INDEX(Input_Range,MATCH((C371&amp;B522),Input_Call,0),MATCH(N519,Input_Header,0)))</f>
        <v>0</v>
      </c>
      <c r="O522" s="698">
        <f>IF(O519="",0,INDEX(Input_Range,MATCH((C371&amp;B522),Input_Call,0),MATCH(O519,Input_Header,0)))</f>
        <v>0</v>
      </c>
      <c r="P522" s="698">
        <f>IF(P519="",0,INDEX(Input_Range,MATCH((C371&amp;B522),Input_Call,0),MATCH(P519,Input_Header,0)))</f>
        <v>0</v>
      </c>
      <c r="Q522" s="698">
        <f>IF(Q519="",0,INDEX(Input_Range,MATCH((C371&amp;B522),Input_Call,0),MATCH(Q519,Input_Header,0)))</f>
        <v>0</v>
      </c>
      <c r="R522" s="698">
        <f t="shared" si="781"/>
        <v>0</v>
      </c>
      <c r="T522" s="699">
        <f t="shared" si="782"/>
        <v>0</v>
      </c>
      <c r="U522" s="699">
        <f t="shared" si="783"/>
        <v>0</v>
      </c>
      <c r="V522" s="699">
        <f t="shared" si="784"/>
        <v>0</v>
      </c>
      <c r="W522" s="699">
        <f t="shared" si="785"/>
        <v>0</v>
      </c>
      <c r="X522" s="699">
        <f t="shared" si="786"/>
        <v>0</v>
      </c>
      <c r="Y522" s="699">
        <f t="shared" si="787"/>
        <v>0</v>
      </c>
      <c r="Z522" s="699">
        <f t="shared" si="788"/>
        <v>0</v>
      </c>
      <c r="AA522" s="699">
        <f t="shared" si="789"/>
        <v>0</v>
      </c>
      <c r="AB522" s="699">
        <f t="shared" si="790"/>
        <v>0</v>
      </c>
      <c r="AC522" s="699">
        <f t="shared" si="791"/>
        <v>0</v>
      </c>
      <c r="AD522" s="699">
        <f t="shared" si="792"/>
        <v>0</v>
      </c>
      <c r="AE522" s="699">
        <f t="shared" si="793"/>
        <v>0</v>
      </c>
      <c r="AF522" s="699">
        <f t="shared" si="794"/>
        <v>0</v>
      </c>
      <c r="AG522" s="699">
        <f t="shared" si="795"/>
        <v>0</v>
      </c>
      <c r="AI522" s="698" t="e">
        <f t="shared" si="778"/>
        <v>#DIV/0!</v>
      </c>
      <c r="AJ522" s="698"/>
      <c r="AK522" s="698"/>
      <c r="AL522" s="4" t="str">
        <f>$A522&amp;$C371&amp;InputSheet!C$43&amp;InputSheet!D$43</f>
        <v>Option Year 12ESDOverheadGovt</v>
      </c>
      <c r="AM522" s="700" t="e">
        <f t="shared" si="779"/>
        <v>#DIV/0!</v>
      </c>
      <c r="AP522" s="387" t="e">
        <f t="shared" si="669"/>
        <v>#DIV/0!</v>
      </c>
    </row>
    <row r="523" spans="1:42">
      <c r="A523" s="6" t="str">
        <f t="shared" si="780"/>
        <v>Option Year 12</v>
      </c>
      <c r="B523" s="6" t="str">
        <f t="shared" si="776"/>
        <v>Material Handling</v>
      </c>
      <c r="E523" s="698">
        <f>IF(E519="",0,INDEX(Input_Range,MATCH((C371&amp;B523),Input_Call,0),MATCH(E519,Input_Header,0)))</f>
        <v>0</v>
      </c>
      <c r="F523" s="698">
        <f>IF(F519="",0,INDEX(Input_Range,MATCH((C371&amp;B523),Input_Call,0),MATCH(F519,Input_Header,0)))</f>
        <v>0</v>
      </c>
      <c r="G523" s="698">
        <f>IF(G519="",0,INDEX(Input_Range,MATCH((C371&amp;B523),Input_Call,0),MATCH(G519,Input_Header,0)))</f>
        <v>0</v>
      </c>
      <c r="H523" s="698">
        <f>IF(H519="",0,INDEX(Input_Range,MATCH((C371&amp;B523),Input_Call,0),MATCH(H519,Input_Header,0)))</f>
        <v>0</v>
      </c>
      <c r="I523" s="698">
        <f>IF(I519="",0,INDEX(Input_Range,MATCH((C371&amp;B523),Input_Call,0),MATCH(I519,Input_Header,0)))</f>
        <v>0</v>
      </c>
      <c r="J523" s="698">
        <f>IF(J519="",0,INDEX(Input_Range,MATCH((C371&amp;B523),Input_Call,0),MATCH(J519,Input_Header,0)))</f>
        <v>0</v>
      </c>
      <c r="K523" s="698">
        <f>IF(K519="",0,INDEX(Input_Range,MATCH((C371&amp;B523),Input_Call,0),MATCH(K519,Input_Header,0)))</f>
        <v>0</v>
      </c>
      <c r="L523" s="698">
        <f>IF(L519="",0,INDEX(Input_Range,MATCH((C371&amp;B523),Input_Call,0),MATCH(L519,Input_Header,0)))</f>
        <v>0</v>
      </c>
      <c r="M523" s="698">
        <f>IF(M519="",0,INDEX(Input_Range,MATCH((C371&amp;B523),Input_Call,0),MATCH(M519,Input_Header,0)))</f>
        <v>0</v>
      </c>
      <c r="N523" s="698">
        <f>IF(N519="",0,INDEX(Input_Range,MATCH((C371&amp;B523),Input_Call,0),MATCH(N519,Input_Header,0)))</f>
        <v>0</v>
      </c>
      <c r="O523" s="698">
        <f>IF(O519="",0,INDEX(Input_Range,MATCH((C371&amp;B523),Input_Call,0),MATCH(O519,Input_Header,0)))</f>
        <v>0</v>
      </c>
      <c r="P523" s="698">
        <f>IF(P519="",0,INDEX(Input_Range,MATCH((C371&amp;B523),Input_Call,0),MATCH(P519,Input_Header,0)))</f>
        <v>0</v>
      </c>
      <c r="Q523" s="698">
        <f>IF(Q519="",0,INDEX(Input_Range,MATCH((C371&amp;B523),Input_Call,0),MATCH(Q519,Input_Header,0)))</f>
        <v>0</v>
      </c>
      <c r="R523" s="698">
        <f t="shared" si="781"/>
        <v>0</v>
      </c>
      <c r="T523" s="699">
        <f t="shared" si="782"/>
        <v>0</v>
      </c>
      <c r="U523" s="699">
        <f t="shared" si="783"/>
        <v>0</v>
      </c>
      <c r="V523" s="699">
        <f t="shared" si="784"/>
        <v>0</v>
      </c>
      <c r="W523" s="699">
        <f t="shared" si="785"/>
        <v>0</v>
      </c>
      <c r="X523" s="699">
        <f t="shared" si="786"/>
        <v>0</v>
      </c>
      <c r="Y523" s="699">
        <f t="shared" si="787"/>
        <v>0</v>
      </c>
      <c r="Z523" s="699">
        <f t="shared" si="788"/>
        <v>0</v>
      </c>
      <c r="AA523" s="699">
        <f t="shared" si="789"/>
        <v>0</v>
      </c>
      <c r="AB523" s="699">
        <f t="shared" si="790"/>
        <v>0</v>
      </c>
      <c r="AC523" s="699">
        <f t="shared" si="791"/>
        <v>0</v>
      </c>
      <c r="AD523" s="699">
        <f t="shared" si="792"/>
        <v>0</v>
      </c>
      <c r="AE523" s="699">
        <f t="shared" si="793"/>
        <v>0</v>
      </c>
      <c r="AF523" s="699">
        <f t="shared" si="794"/>
        <v>0</v>
      </c>
      <c r="AG523" s="699">
        <f t="shared" si="795"/>
        <v>0</v>
      </c>
      <c r="AI523" s="698" t="e">
        <f t="shared" si="778"/>
        <v>#DIV/0!</v>
      </c>
      <c r="AJ523" s="698"/>
      <c r="AK523" s="698"/>
      <c r="AL523" s="4" t="str">
        <f>$A523&amp;$C371&amp;InputSheet!C$44&amp;InputSheet!D$44</f>
        <v>Option Year 12ESDMHContr/Govt</v>
      </c>
      <c r="AM523" s="700" t="e">
        <f t="shared" si="779"/>
        <v>#DIV/0!</v>
      </c>
      <c r="AP523" s="387" t="e">
        <f t="shared" si="669"/>
        <v>#DIV/0!</v>
      </c>
    </row>
    <row r="524" spans="1:42">
      <c r="A524" s="6" t="str">
        <f t="shared" si="780"/>
        <v>Option Year 12</v>
      </c>
      <c r="B524" s="6" t="str">
        <f t="shared" si="776"/>
        <v>G&amp;A</v>
      </c>
      <c r="E524" s="698">
        <f>IF(E519="",0,INDEX(Input_Range,MATCH((C371&amp;B524),Input_Call,0),MATCH(E519,Input_Header,0)))</f>
        <v>0</v>
      </c>
      <c r="F524" s="698">
        <f>IF(F519="",0,INDEX(Input_Range,MATCH((C371&amp;B524),Input_Call,0),MATCH(F519,Input_Header,0)))</f>
        <v>0</v>
      </c>
      <c r="G524" s="698">
        <f>IF(G519="",0,INDEX(Input_Range,MATCH((C371&amp;B524),Input_Call,0),MATCH(G519,Input_Header,0)))</f>
        <v>0</v>
      </c>
      <c r="H524" s="698">
        <f>IF(H519="",0,INDEX(Input_Range,MATCH((C371&amp;B524),Input_Call,0),MATCH(H519,Input_Header,0)))</f>
        <v>0</v>
      </c>
      <c r="I524" s="698">
        <f>IF(I519="",0,INDEX(Input_Range,MATCH((C371&amp;B524),Input_Call,0),MATCH(I519,Input_Header,0)))</f>
        <v>0</v>
      </c>
      <c r="J524" s="698">
        <f>IF(J519="",0,INDEX(Input_Range,MATCH((C371&amp;B524),Input_Call,0),MATCH(J519,Input_Header,0)))</f>
        <v>0</v>
      </c>
      <c r="K524" s="698">
        <f>IF(K519="",0,INDEX(Input_Range,MATCH((C371&amp;B524),Input_Call,0),MATCH(K519,Input_Header,0)))</f>
        <v>0</v>
      </c>
      <c r="L524" s="698">
        <f>IF(L519="",0,INDEX(Input_Range,MATCH((C371&amp;B524),Input_Call,0),MATCH(L519,Input_Header,0)))</f>
        <v>0</v>
      </c>
      <c r="M524" s="698">
        <f>IF(M519="",0,INDEX(Input_Range,MATCH((C371&amp;B524),Input_Call,0),MATCH(M519,Input_Header,0)))</f>
        <v>0</v>
      </c>
      <c r="N524" s="698">
        <f>IF(N519="",0,INDEX(Input_Range,MATCH((C371&amp;B524),Input_Call,0),MATCH(N519,Input_Header,0)))</f>
        <v>0</v>
      </c>
      <c r="O524" s="698">
        <f>IF(O519="",0,INDEX(Input_Range,MATCH((C371&amp;B524),Input_Call,0),MATCH(O519,Input_Header,0)))</f>
        <v>0</v>
      </c>
      <c r="P524" s="698">
        <f>IF(P519="",0,INDEX(Input_Range,MATCH((C371&amp;B524),Input_Call,0),MATCH(P519,Input_Header,0)))</f>
        <v>0</v>
      </c>
      <c r="Q524" s="698">
        <f>IF(Q519="",0,INDEX(Input_Range,MATCH((C371&amp;B524),Input_Call,0),MATCH(Q519,Input_Header,0)))</f>
        <v>0</v>
      </c>
      <c r="R524" s="698">
        <f t="shared" si="781"/>
        <v>0</v>
      </c>
      <c r="T524" s="699">
        <f t="shared" si="782"/>
        <v>0</v>
      </c>
      <c r="U524" s="699">
        <f t="shared" si="783"/>
        <v>0</v>
      </c>
      <c r="V524" s="699">
        <f t="shared" si="784"/>
        <v>0</v>
      </c>
      <c r="W524" s="699">
        <f t="shared" si="785"/>
        <v>0</v>
      </c>
      <c r="X524" s="699">
        <f t="shared" si="786"/>
        <v>0</v>
      </c>
      <c r="Y524" s="699">
        <f t="shared" si="787"/>
        <v>0</v>
      </c>
      <c r="Z524" s="699">
        <f t="shared" si="788"/>
        <v>0</v>
      </c>
      <c r="AA524" s="699">
        <f t="shared" si="789"/>
        <v>0</v>
      </c>
      <c r="AB524" s="699">
        <f t="shared" si="790"/>
        <v>0</v>
      </c>
      <c r="AC524" s="699">
        <f t="shared" si="791"/>
        <v>0</v>
      </c>
      <c r="AD524" s="699">
        <f t="shared" si="792"/>
        <v>0</v>
      </c>
      <c r="AE524" s="699">
        <f t="shared" si="793"/>
        <v>0</v>
      </c>
      <c r="AF524" s="699">
        <f t="shared" si="794"/>
        <v>0</v>
      </c>
      <c r="AG524" s="699">
        <f t="shared" si="795"/>
        <v>0</v>
      </c>
      <c r="AI524" s="698" t="e">
        <f t="shared" si="778"/>
        <v>#DIV/0!</v>
      </c>
      <c r="AJ524" s="698"/>
      <c r="AK524" s="698"/>
      <c r="AL524" s="4" t="str">
        <f>$A524&amp;$C371&amp;InputSheet!C$45&amp;InputSheet!D$45</f>
        <v>Option Year 12ESDG&amp;AContr/Govt</v>
      </c>
      <c r="AM524" s="700" t="e">
        <f t="shared" si="779"/>
        <v>#DIV/0!</v>
      </c>
      <c r="AP524" s="387" t="e">
        <f t="shared" ref="AP524:AP551" si="796">IF(AM524="","1",(IF((VLOOKUP(B524,$AO$2:$AP$9,2,FALSE))="","0","1")))</f>
        <v>#DIV/0!</v>
      </c>
    </row>
    <row r="525" spans="1:42" outlineLevel="1">
      <c r="A525" s="6" t="str">
        <f t="shared" si="780"/>
        <v>Option Year 12</v>
      </c>
      <c r="B525" s="6" t="str">
        <f t="shared" si="776"/>
        <v>TBD1</v>
      </c>
      <c r="E525" s="21">
        <f>IF(E519="",0,INDEX(Input_Range,MATCH((C371&amp;B525),Input_Call,0),MATCH(E519,Input_Header,0)))</f>
        <v>0</v>
      </c>
      <c r="F525" s="21">
        <f>IF(F519="",0,INDEX(Input_Range,MATCH((C371&amp;B525),Input_Call,0),MATCH(F519,Input_Header,0)))</f>
        <v>0</v>
      </c>
      <c r="G525" s="21">
        <f>IF(G519="",0,INDEX(Input_Range,MATCH((C371&amp;B525),Input_Call,0),MATCH(G519,Input_Header,0)))</f>
        <v>0</v>
      </c>
      <c r="H525" s="21">
        <f>IF(H519="",0,INDEX(Input_Range,MATCH((C371&amp;B525),Input_Call,0),MATCH(H519,Input_Header,0)))</f>
        <v>0</v>
      </c>
      <c r="I525" s="21">
        <f>IF(I519="",0,INDEX(Input_Range,MATCH((C371&amp;B525),Input_Call,0),MATCH(I519,Input_Header,0)))</f>
        <v>0</v>
      </c>
      <c r="J525" s="21">
        <f>IF(J519="",0,INDEX(Input_Range,MATCH((C371&amp;B525),Input_Call,0),MATCH(J519,Input_Header,0)))</f>
        <v>0</v>
      </c>
      <c r="K525" s="21">
        <f>IF(K519="",0,INDEX(Input_Range,MATCH((C371&amp;B525),Input_Call,0),MATCH(K519,Input_Header,0)))</f>
        <v>0</v>
      </c>
      <c r="L525" s="21">
        <f>IF(L519="",0,INDEX(Input_Range,MATCH((C371&amp;B525),Input_Call,0),MATCH(L519,Input_Header,0)))</f>
        <v>0</v>
      </c>
      <c r="M525" s="21">
        <f>IF(M519="",0,INDEX(Input_Range,MATCH((C371&amp;B525),Input_Call,0),MATCH(M519,Input_Header,0)))</f>
        <v>0</v>
      </c>
      <c r="N525" s="21">
        <f>IF(N519="",0,INDEX(Input_Range,MATCH((C371&amp;B525),Input_Call,0),MATCH(N519,Input_Header,0)))</f>
        <v>0</v>
      </c>
      <c r="O525" s="21">
        <f>IF(O519="",0,INDEX(Input_Range,MATCH((C371&amp;B525),Input_Call,0),MATCH(O519,Input_Header,0)))</f>
        <v>0</v>
      </c>
      <c r="P525" s="21">
        <f>IF(P519="",0,INDEX(Input_Range,MATCH((C371&amp;B525),Input_Call,0),MATCH(P519,Input_Header,0)))</f>
        <v>0</v>
      </c>
      <c r="Q525" s="21">
        <f>IF(Q519="",0,INDEX(Input_Range,MATCH((C371&amp;B525),Input_Call,0),MATCH(Q519,Input_Header,0)))</f>
        <v>0</v>
      </c>
      <c r="R525" s="698">
        <f t="shared" si="781"/>
        <v>0</v>
      </c>
      <c r="T525" s="699">
        <f t="shared" si="782"/>
        <v>0</v>
      </c>
      <c r="U525" s="699">
        <f t="shared" si="783"/>
        <v>0</v>
      </c>
      <c r="V525" s="699">
        <f t="shared" si="784"/>
        <v>0</v>
      </c>
      <c r="W525" s="699">
        <f t="shared" si="785"/>
        <v>0</v>
      </c>
      <c r="X525" s="699">
        <f t="shared" si="786"/>
        <v>0</v>
      </c>
      <c r="Y525" s="699">
        <f t="shared" si="787"/>
        <v>0</v>
      </c>
      <c r="Z525" s="699">
        <f t="shared" si="788"/>
        <v>0</v>
      </c>
      <c r="AA525" s="699">
        <f t="shared" si="789"/>
        <v>0</v>
      </c>
      <c r="AB525" s="699">
        <f t="shared" si="790"/>
        <v>0</v>
      </c>
      <c r="AC525" s="699">
        <f t="shared" si="791"/>
        <v>0</v>
      </c>
      <c r="AD525" s="699">
        <f t="shared" si="792"/>
        <v>0</v>
      </c>
      <c r="AE525" s="699">
        <f t="shared" si="793"/>
        <v>0</v>
      </c>
      <c r="AF525" s="699">
        <f t="shared" si="794"/>
        <v>0</v>
      </c>
      <c r="AG525" s="699">
        <f t="shared" si="795"/>
        <v>0</v>
      </c>
      <c r="AI525" s="698" t="e">
        <f t="shared" si="778"/>
        <v>#DIV/0!</v>
      </c>
      <c r="AJ525" s="21"/>
      <c r="AK525" s="21"/>
      <c r="AL525" s="4" t="str">
        <f>$A525&amp;$C371&amp;InputSheet!C$46&amp;InputSheet!D$46</f>
        <v>Option Year 12ESDTBD1Contr/Govt</v>
      </c>
      <c r="AM525" s="700" t="e">
        <f t="shared" si="779"/>
        <v>#DIV/0!</v>
      </c>
      <c r="AP525" s="387" t="e">
        <f t="shared" si="796"/>
        <v>#DIV/0!</v>
      </c>
    </row>
    <row r="526" spans="1:42" outlineLevel="1">
      <c r="A526" s="6" t="str">
        <f t="shared" si="780"/>
        <v>Option Year 12</v>
      </c>
      <c r="B526" s="6" t="str">
        <f t="shared" si="776"/>
        <v>TBD2</v>
      </c>
      <c r="E526" s="21">
        <f>IF(E519="",0,INDEX(Input_Range,MATCH((C371&amp;B526),Input_Call,0),MATCH(E519,Input_Header,0)))</f>
        <v>0</v>
      </c>
      <c r="F526" s="21">
        <f>IF(F519="",0,INDEX(Input_Range,MATCH((C371&amp;B526),Input_Call,0),MATCH(F519,Input_Header,0)))</f>
        <v>0</v>
      </c>
      <c r="G526" s="21">
        <f>IF(G519="",0,INDEX(Input_Range,MATCH((C371&amp;B526),Input_Call,0),MATCH(G519,Input_Header,0)))</f>
        <v>0</v>
      </c>
      <c r="H526" s="21">
        <f>IF(H519="",0,INDEX(Input_Range,MATCH((C371&amp;B526),Input_Call,0),MATCH(H519,Input_Header,0)))</f>
        <v>0</v>
      </c>
      <c r="I526" s="21">
        <f>IF(I519="",0,INDEX(Input_Range,MATCH((C371&amp;B526),Input_Call,0),MATCH(I519,Input_Header,0)))</f>
        <v>0</v>
      </c>
      <c r="J526" s="21">
        <f>IF(J519="",0,INDEX(Input_Range,MATCH((C371&amp;B526),Input_Call,0),MATCH(J519,Input_Header,0)))</f>
        <v>0</v>
      </c>
      <c r="K526" s="21">
        <f>IF(K519="",0,INDEX(Input_Range,MATCH((C371&amp;B526),Input_Call,0),MATCH(K519,Input_Header,0)))</f>
        <v>0</v>
      </c>
      <c r="L526" s="21">
        <f>IF(L519="",0,INDEX(Input_Range,MATCH((C371&amp;B526),Input_Call,0),MATCH(L519,Input_Header,0)))</f>
        <v>0</v>
      </c>
      <c r="M526" s="21">
        <f>IF(M519="",0,INDEX(Input_Range,MATCH((C371&amp;B526),Input_Call,0),MATCH(M519,Input_Header,0)))</f>
        <v>0</v>
      </c>
      <c r="N526" s="21">
        <f>IF(N519="",0,INDEX(Input_Range,MATCH((C371&amp;B526),Input_Call,0),MATCH(N519,Input_Header,0)))</f>
        <v>0</v>
      </c>
      <c r="O526" s="21">
        <f>IF(O519="",0,INDEX(Input_Range,MATCH((C371&amp;B526),Input_Call,0),MATCH(O519,Input_Header,0)))</f>
        <v>0</v>
      </c>
      <c r="P526" s="21">
        <f>IF(P519="",0,INDEX(Input_Range,MATCH((C371&amp;B526),Input_Call,0),MATCH(P519,Input_Header,0)))</f>
        <v>0</v>
      </c>
      <c r="Q526" s="21">
        <f>IF(Q519="",0,INDEX(Input_Range,MATCH((C371&amp;B526),Input_Call,0),MATCH(Q519,Input_Header,0)))</f>
        <v>0</v>
      </c>
      <c r="R526" s="698">
        <f t="shared" si="781"/>
        <v>0</v>
      </c>
      <c r="T526" s="699">
        <f t="shared" si="782"/>
        <v>0</v>
      </c>
      <c r="U526" s="699">
        <f t="shared" si="783"/>
        <v>0</v>
      </c>
      <c r="V526" s="699">
        <f t="shared" si="784"/>
        <v>0</v>
      </c>
      <c r="W526" s="699">
        <f t="shared" si="785"/>
        <v>0</v>
      </c>
      <c r="X526" s="699">
        <f t="shared" si="786"/>
        <v>0</v>
      </c>
      <c r="Y526" s="699">
        <f t="shared" si="787"/>
        <v>0</v>
      </c>
      <c r="Z526" s="699">
        <f t="shared" si="788"/>
        <v>0</v>
      </c>
      <c r="AA526" s="699">
        <f t="shared" si="789"/>
        <v>0</v>
      </c>
      <c r="AB526" s="699">
        <f t="shared" si="790"/>
        <v>0</v>
      </c>
      <c r="AC526" s="699">
        <f t="shared" si="791"/>
        <v>0</v>
      </c>
      <c r="AD526" s="699">
        <f t="shared" si="792"/>
        <v>0</v>
      </c>
      <c r="AE526" s="699">
        <f t="shared" si="793"/>
        <v>0</v>
      </c>
      <c r="AF526" s="699">
        <f t="shared" si="794"/>
        <v>0</v>
      </c>
      <c r="AG526" s="699">
        <f t="shared" si="795"/>
        <v>0</v>
      </c>
      <c r="AI526" s="698" t="e">
        <f t="shared" si="778"/>
        <v>#DIV/0!</v>
      </c>
      <c r="AJ526" s="21"/>
      <c r="AK526" s="21"/>
      <c r="AL526" s="4" t="str">
        <f>$A526&amp;$C371&amp;InputSheet!C$47&amp;InputSheet!D$47</f>
        <v>Option Year 12ESDTBD2Contr/Govt</v>
      </c>
      <c r="AM526" s="700" t="e">
        <f t="shared" si="779"/>
        <v>#DIV/0!</v>
      </c>
      <c r="AP526" s="387" t="e">
        <f t="shared" si="796"/>
        <v>#DIV/0!</v>
      </c>
    </row>
    <row r="527" spans="1:42" outlineLevel="1">
      <c r="A527" s="6" t="str">
        <f t="shared" si="780"/>
        <v>Option Year 12</v>
      </c>
      <c r="B527" s="6" t="str">
        <f t="shared" si="776"/>
        <v>TBD3</v>
      </c>
      <c r="E527" s="21">
        <f>IF(E519="",0,INDEX(Input_Range,MATCH((C371&amp;B527),Input_Call,0),MATCH(E519,Input_Header,0)))</f>
        <v>0</v>
      </c>
      <c r="F527" s="21">
        <f>IF(F519="",0,INDEX(Input_Range,MATCH((C371&amp;B527),Input_Call,0),MATCH(F519,Input_Header,0)))</f>
        <v>0</v>
      </c>
      <c r="G527" s="21">
        <f>IF(G519="",0,INDEX(Input_Range,MATCH((C371&amp;B527),Input_Call,0),MATCH(G519,Input_Header,0)))</f>
        <v>0</v>
      </c>
      <c r="H527" s="21">
        <f>IF(H519="",0,INDEX(Input_Range,MATCH((C371&amp;B527),Input_Call,0),MATCH(H519,Input_Header,0)))</f>
        <v>0</v>
      </c>
      <c r="I527" s="21">
        <f>IF(I519="",0,INDEX(Input_Range,MATCH((C371&amp;B527),Input_Call,0),MATCH(I519,Input_Header,0)))</f>
        <v>0</v>
      </c>
      <c r="J527" s="21">
        <f>IF(J519="",0,INDEX(Input_Range,MATCH((C371&amp;B527),Input_Call,0),MATCH(J519,Input_Header,0)))</f>
        <v>0</v>
      </c>
      <c r="K527" s="21">
        <f>IF(K519="",0,INDEX(Input_Range,MATCH((C371&amp;B527),Input_Call,0),MATCH(K519,Input_Header,0)))</f>
        <v>0</v>
      </c>
      <c r="L527" s="21">
        <f>IF(L519="",0,INDEX(Input_Range,MATCH((C371&amp;B527),Input_Call,0),MATCH(L519,Input_Header,0)))</f>
        <v>0</v>
      </c>
      <c r="M527" s="21">
        <f>IF(M519="",0,INDEX(Input_Range,MATCH((C371&amp;B527),Input_Call,0),MATCH(M519,Input_Header,0)))</f>
        <v>0</v>
      </c>
      <c r="N527" s="21">
        <f>IF(N519="",0,INDEX(Input_Range,MATCH((C371&amp;B527),Input_Call,0),MATCH(N519,Input_Header,0)))</f>
        <v>0</v>
      </c>
      <c r="O527" s="21">
        <f>IF(O519="",0,INDEX(Input_Range,MATCH((C371&amp;B527),Input_Call,0),MATCH(O519,Input_Header,0)))</f>
        <v>0</v>
      </c>
      <c r="P527" s="21">
        <f>IF(P519="",0,INDEX(Input_Range,MATCH((C371&amp;B527),Input_Call,0),MATCH(P519,Input_Header,0)))</f>
        <v>0</v>
      </c>
      <c r="Q527" s="21">
        <f>IF(Q519="",0,INDEX(Input_Range,MATCH((C371&amp;B527),Input_Call,0),MATCH(Q519,Input_Header,0)))</f>
        <v>0</v>
      </c>
      <c r="R527" s="698">
        <f t="shared" si="781"/>
        <v>0</v>
      </c>
      <c r="T527" s="699">
        <f t="shared" si="782"/>
        <v>0</v>
      </c>
      <c r="U527" s="699">
        <f t="shared" si="783"/>
        <v>0</v>
      </c>
      <c r="V527" s="699">
        <f t="shared" si="784"/>
        <v>0</v>
      </c>
      <c r="W527" s="699">
        <f t="shared" si="785"/>
        <v>0</v>
      </c>
      <c r="X527" s="699">
        <f t="shared" si="786"/>
        <v>0</v>
      </c>
      <c r="Y527" s="699">
        <f t="shared" si="787"/>
        <v>0</v>
      </c>
      <c r="Z527" s="699">
        <f t="shared" si="788"/>
        <v>0</v>
      </c>
      <c r="AA527" s="699">
        <f t="shared" si="789"/>
        <v>0</v>
      </c>
      <c r="AB527" s="699">
        <f t="shared" si="790"/>
        <v>0</v>
      </c>
      <c r="AC527" s="699">
        <f t="shared" si="791"/>
        <v>0</v>
      </c>
      <c r="AD527" s="699">
        <f t="shared" si="792"/>
        <v>0</v>
      </c>
      <c r="AE527" s="699">
        <f t="shared" si="793"/>
        <v>0</v>
      </c>
      <c r="AF527" s="699">
        <f t="shared" si="794"/>
        <v>0</v>
      </c>
      <c r="AG527" s="699">
        <f t="shared" si="795"/>
        <v>0</v>
      </c>
      <c r="AI527" s="698" t="e">
        <f t="shared" si="778"/>
        <v>#DIV/0!</v>
      </c>
      <c r="AJ527" s="21"/>
      <c r="AK527" s="21"/>
      <c r="AL527" s="4" t="str">
        <f>$A527&amp;$C371&amp;InputSheet!C$48&amp;InputSheet!D$48</f>
        <v>Option Year 12ESDTBD3Contr/Govt</v>
      </c>
      <c r="AM527" s="700" t="e">
        <f t="shared" si="779"/>
        <v>#DIV/0!</v>
      </c>
      <c r="AP527" s="387" t="e">
        <f t="shared" si="796"/>
        <v>#DIV/0!</v>
      </c>
    </row>
    <row r="528" spans="1:42">
      <c r="E528" s="698"/>
      <c r="F528" s="698"/>
      <c r="G528" s="698"/>
      <c r="H528" s="698"/>
      <c r="I528" s="698"/>
      <c r="J528" s="698"/>
      <c r="K528" s="698"/>
      <c r="L528" s="698"/>
      <c r="M528" s="698"/>
      <c r="N528" s="698"/>
      <c r="O528" s="698"/>
      <c r="P528" s="698"/>
      <c r="Q528" s="698"/>
      <c r="R528" s="698"/>
      <c r="AI528" s="21"/>
      <c r="AJ528" s="21"/>
      <c r="AK528" s="21"/>
      <c r="AP528" s="387" t="str">
        <f t="shared" si="796"/>
        <v>1</v>
      </c>
    </row>
    <row r="529" spans="1:42">
      <c r="A529" s="530" t="str">
        <f>B529</f>
        <v>Option Year 13</v>
      </c>
      <c r="B529" s="691" t="str">
        <f>InputSheet!$C$35</f>
        <v>Option Year 13</v>
      </c>
      <c r="AP529" s="387" t="str">
        <f t="shared" si="796"/>
        <v>1</v>
      </c>
    </row>
    <row r="530" spans="1:42">
      <c r="B530" s="314" t="s">
        <v>587</v>
      </c>
      <c r="C530" s="692" t="s">
        <v>588</v>
      </c>
      <c r="E530" s="1216" t="str">
        <f>"Indirect Rates - "&amp;C$371</f>
        <v>Indirect Rates - ESD</v>
      </c>
      <c r="F530" s="1216"/>
      <c r="G530" s="1216"/>
      <c r="H530" s="1216"/>
      <c r="I530" s="1216"/>
      <c r="J530" s="1216"/>
      <c r="K530" s="1216"/>
      <c r="L530" s="1216"/>
      <c r="M530" s="1216"/>
      <c r="N530" s="1216"/>
      <c r="O530" s="1216"/>
      <c r="P530" s="1216"/>
      <c r="Q530" s="1216"/>
      <c r="R530" s="1216"/>
      <c r="S530" s="844"/>
      <c r="T530" s="1217" t="s">
        <v>794</v>
      </c>
      <c r="U530" s="1217"/>
      <c r="V530" s="1217"/>
      <c r="W530" s="1217"/>
      <c r="X530" s="1217"/>
      <c r="Y530" s="1217"/>
      <c r="Z530" s="1217"/>
      <c r="AA530" s="1217"/>
      <c r="AB530" s="1217"/>
      <c r="AC530" s="1217"/>
      <c r="AD530" s="1217"/>
      <c r="AE530" s="1217"/>
      <c r="AF530" s="1217"/>
      <c r="AG530" s="1217"/>
      <c r="AI530" s="692" t="s">
        <v>615</v>
      </c>
      <c r="AJ530" s="50"/>
      <c r="AK530" s="50"/>
      <c r="AP530" s="387" t="str">
        <f t="shared" si="796"/>
        <v>1</v>
      </c>
    </row>
    <row r="531" spans="1:42">
      <c r="B531" s="693">
        <f>VLOOKUP(A529,InputSheet!$C$8:$E$37,2,FALSE)</f>
        <v>2923</v>
      </c>
      <c r="C531" s="694">
        <f>VLOOKUP(A529,InputSheet!$C$8:$E$37,3,FALSE)</f>
        <v>3287</v>
      </c>
      <c r="E531" s="695">
        <f t="shared" ref="E531:R531" si="797">E519</f>
        <v>2009</v>
      </c>
      <c r="F531" s="695">
        <f t="shared" si="797"/>
        <v>2010</v>
      </c>
      <c r="G531" s="695">
        <f t="shared" si="797"/>
        <v>2011</v>
      </c>
      <c r="H531" s="695">
        <f t="shared" si="797"/>
        <v>2012</v>
      </c>
      <c r="I531" s="695">
        <f t="shared" si="797"/>
        <v>2013</v>
      </c>
      <c r="J531" s="695">
        <f t="shared" si="797"/>
        <v>2014</v>
      </c>
      <c r="K531" s="695">
        <f t="shared" si="797"/>
        <v>2015</v>
      </c>
      <c r="L531" s="695">
        <f t="shared" si="797"/>
        <v>2016</v>
      </c>
      <c r="M531" s="695">
        <f t="shared" si="797"/>
        <v>2017</v>
      </c>
      <c r="N531" s="695">
        <f t="shared" si="797"/>
        <v>2018</v>
      </c>
      <c r="O531" s="695">
        <f t="shared" si="797"/>
        <v>2019</v>
      </c>
      <c r="P531" s="695">
        <f t="shared" si="797"/>
        <v>2020</v>
      </c>
      <c r="Q531" s="695">
        <f t="shared" si="797"/>
        <v>2021</v>
      </c>
      <c r="R531" s="695">
        <f t="shared" si="797"/>
        <v>2022</v>
      </c>
      <c r="S531" s="680"/>
      <c r="T531" s="695">
        <f t="shared" ref="T531:AG531" si="798">T519</f>
        <v>2009</v>
      </c>
      <c r="U531" s="695">
        <f t="shared" si="798"/>
        <v>2010</v>
      </c>
      <c r="V531" s="695">
        <f t="shared" si="798"/>
        <v>2011</v>
      </c>
      <c r="W531" s="695">
        <f t="shared" si="798"/>
        <v>2012</v>
      </c>
      <c r="X531" s="695">
        <f t="shared" si="798"/>
        <v>2013</v>
      </c>
      <c r="Y531" s="695">
        <f t="shared" si="798"/>
        <v>2014</v>
      </c>
      <c r="Z531" s="695">
        <f t="shared" si="798"/>
        <v>2015</v>
      </c>
      <c r="AA531" s="695">
        <f t="shared" si="798"/>
        <v>2016</v>
      </c>
      <c r="AB531" s="695">
        <f t="shared" si="798"/>
        <v>2017</v>
      </c>
      <c r="AC531" s="695">
        <f t="shared" si="798"/>
        <v>2018</v>
      </c>
      <c r="AD531" s="695">
        <f t="shared" si="798"/>
        <v>2019</v>
      </c>
      <c r="AE531" s="695">
        <f t="shared" si="798"/>
        <v>2020</v>
      </c>
      <c r="AF531" s="695">
        <f t="shared" si="798"/>
        <v>2021</v>
      </c>
      <c r="AG531" s="695">
        <f t="shared" si="798"/>
        <v>2022</v>
      </c>
      <c r="AI531" s="696" t="str">
        <f>B529</f>
        <v>Option Year 13</v>
      </c>
      <c r="AJ531" s="28"/>
      <c r="AK531" s="28"/>
      <c r="AP531" s="387" t="str">
        <f t="shared" si="796"/>
        <v>1</v>
      </c>
    </row>
    <row r="532" spans="1:42">
      <c r="A532" s="6" t="str">
        <f>A529</f>
        <v>Option Year 13</v>
      </c>
      <c r="B532" s="6" t="str">
        <f t="shared" ref="B532:B539" si="799">B520</f>
        <v>PRB</v>
      </c>
      <c r="E532" s="698">
        <f>IF(E531="",0,INDEX(Input_Range,MATCH((C371&amp;B532),Input_Call,0),MATCH(E531,Input_Header,0)))</f>
        <v>0</v>
      </c>
      <c r="F532" s="698">
        <f>IF(F531="",0,INDEX(Input_Range,MATCH((C371&amp;B532),Input_Call,0),MATCH(F531,Input_Header,0)))</f>
        <v>0</v>
      </c>
      <c r="G532" s="698">
        <f>IF(G531="",0,INDEX(Input_Range,MATCH((C371&amp;B532),Input_Call,0),MATCH(G531,Input_Header,0)))</f>
        <v>0</v>
      </c>
      <c r="H532" s="698">
        <f>IF(H531="",0,INDEX(Input_Range,MATCH((C371&amp;B532),Input_Call,0),MATCH(H531,Input_Header,0)))</f>
        <v>0</v>
      </c>
      <c r="I532" s="698">
        <f>IF(I531="",0,INDEX(Input_Range,MATCH((C371&amp;B532),Input_Call,0),MATCH(I531,Input_Header,0)))</f>
        <v>0</v>
      </c>
      <c r="J532" s="698">
        <f>IF(J531="",0,INDEX(Input_Range,MATCH((C371&amp;B532),Input_Call,0),MATCH(J531,Input_Header,0)))</f>
        <v>0</v>
      </c>
      <c r="K532" s="698">
        <f>IF(K531="",0,INDEX(Input_Range,MATCH((C371&amp;B532),Input_Call,0),MATCH(K531,Input_Header,0)))</f>
        <v>0</v>
      </c>
      <c r="L532" s="698">
        <f>IF(L531="",0,INDEX(Input_Range,MATCH((C371&amp;B532),Input_Call,0),MATCH(L531,Input_Header,0)))</f>
        <v>0</v>
      </c>
      <c r="M532" s="698">
        <f>IF(M531="",0,INDEX(Input_Range,MATCH((C371&amp;B532),Input_Call,0),MATCH(M531,Input_Header,0)))</f>
        <v>0</v>
      </c>
      <c r="N532" s="698">
        <f>IF(N531="",0,INDEX(Input_Range,MATCH((C371&amp;B532),Input_Call,0),MATCH(N531,Input_Header,0)))</f>
        <v>0</v>
      </c>
      <c r="O532" s="698">
        <f>IF(O531="",0,INDEX(Input_Range,MATCH((C371&amp;B532),Input_Call,0),MATCH(O531,Input_Header,0)))</f>
        <v>0</v>
      </c>
      <c r="P532" s="698">
        <f>IF(P531="",0,INDEX(Input_Range,MATCH((C371&amp;B532),Input_Call,0),MATCH(P531,Input_Header,0)))</f>
        <v>0</v>
      </c>
      <c r="Q532" s="698">
        <f>IF(Q531="",0,INDEX(Input_Range,MATCH((C371&amp;B532),Input_Call,0),MATCH(Q531,Input_Header,0)))</f>
        <v>0</v>
      </c>
      <c r="R532" s="698">
        <f>Q532</f>
        <v>0</v>
      </c>
      <c r="T532" s="699">
        <f t="shared" ref="T532:AG532" si="800">ROUND((MAX(0,(MIN($C531,DATE(T531,12,31))-MAX($B531,DATE(T531,1,1))+1)))/30.41667,0)</f>
        <v>0</v>
      </c>
      <c r="U532" s="699">
        <f t="shared" si="800"/>
        <v>0</v>
      </c>
      <c r="V532" s="699">
        <f t="shared" si="800"/>
        <v>0</v>
      </c>
      <c r="W532" s="699">
        <f t="shared" si="800"/>
        <v>0</v>
      </c>
      <c r="X532" s="699">
        <f t="shared" si="800"/>
        <v>0</v>
      </c>
      <c r="Y532" s="699">
        <f t="shared" si="800"/>
        <v>0</v>
      </c>
      <c r="Z532" s="699">
        <f t="shared" si="800"/>
        <v>0</v>
      </c>
      <c r="AA532" s="699">
        <f t="shared" si="800"/>
        <v>0</v>
      </c>
      <c r="AB532" s="699">
        <f t="shared" si="800"/>
        <v>0</v>
      </c>
      <c r="AC532" s="699">
        <f t="shared" si="800"/>
        <v>0</v>
      </c>
      <c r="AD532" s="699">
        <f t="shared" si="800"/>
        <v>0</v>
      </c>
      <c r="AE532" s="699">
        <f t="shared" si="800"/>
        <v>0</v>
      </c>
      <c r="AF532" s="699">
        <f t="shared" si="800"/>
        <v>0</v>
      </c>
      <c r="AG532" s="699">
        <f t="shared" si="800"/>
        <v>0</v>
      </c>
      <c r="AI532" s="698" t="e">
        <f t="shared" ref="AI532:AI539" si="801">ROUND(SUMPRODUCT(E532:R532,T532:AG532)/SUM(T532:AG532),4)</f>
        <v>#DIV/0!</v>
      </c>
      <c r="AJ532" s="698"/>
      <c r="AK532" s="698"/>
      <c r="AL532" s="4" t="str">
        <f>$A532&amp;$C371&amp;InputSheet!C$41&amp;InputSheet!D$41</f>
        <v>Option Year 13ESDPRBContr/Govt</v>
      </c>
      <c r="AM532" s="700" t="e">
        <f t="shared" ref="AM532:AM539" si="802">AI532</f>
        <v>#DIV/0!</v>
      </c>
      <c r="AP532" s="387" t="e">
        <f t="shared" si="796"/>
        <v>#DIV/0!</v>
      </c>
    </row>
    <row r="533" spans="1:42">
      <c r="A533" s="6" t="str">
        <f t="shared" ref="A533:A539" si="803">A532</f>
        <v>Option Year 13</v>
      </c>
      <c r="B533" s="6" t="str">
        <f t="shared" si="799"/>
        <v>Overhead - Offsite</v>
      </c>
      <c r="E533" s="698">
        <f>IF(E531="",0,INDEX(Input_Range,MATCH((C371&amp;B533),Input_Call,0),MATCH(E531,Input_Header,0)))</f>
        <v>0</v>
      </c>
      <c r="F533" s="698">
        <f>IF(F531="",0,INDEX(Input_Range,MATCH((C371&amp;B533),Input_Call,0),MATCH(F531,Input_Header,0)))</f>
        <v>0</v>
      </c>
      <c r="G533" s="698">
        <f>IF(G531="",0,INDEX(Input_Range,MATCH((C371&amp;B533),Input_Call,0),MATCH(G531,Input_Header,0)))</f>
        <v>0</v>
      </c>
      <c r="H533" s="698">
        <f>IF(H531="",0,INDEX(Input_Range,MATCH((C371&amp;B533),Input_Call,0),MATCH(H531,Input_Header,0)))</f>
        <v>0</v>
      </c>
      <c r="I533" s="698">
        <f>IF(I531="",0,INDEX(Input_Range,MATCH((C371&amp;B533),Input_Call,0),MATCH(I531,Input_Header,0)))</f>
        <v>0</v>
      </c>
      <c r="J533" s="698">
        <f>IF(J531="",0,INDEX(Input_Range,MATCH((C371&amp;B533),Input_Call,0),MATCH(J531,Input_Header,0)))</f>
        <v>0</v>
      </c>
      <c r="K533" s="698">
        <f>IF(K531="",0,INDEX(Input_Range,MATCH((C371&amp;B533),Input_Call,0),MATCH(K531,Input_Header,0)))</f>
        <v>0</v>
      </c>
      <c r="L533" s="698">
        <f>IF(L531="",0,INDEX(Input_Range,MATCH((C371&amp;B533),Input_Call,0),MATCH(L531,Input_Header,0)))</f>
        <v>0</v>
      </c>
      <c r="M533" s="698">
        <f>IF(M531="",0,INDEX(Input_Range,MATCH((C371&amp;B533),Input_Call,0),MATCH(M531,Input_Header,0)))</f>
        <v>0</v>
      </c>
      <c r="N533" s="698">
        <f>IF(N531="",0,INDEX(Input_Range,MATCH((C371&amp;B533),Input_Call,0),MATCH(N531,Input_Header,0)))</f>
        <v>0</v>
      </c>
      <c r="O533" s="698">
        <f>IF(O531="",0,INDEX(Input_Range,MATCH((C371&amp;B533),Input_Call,0),MATCH(O531,Input_Header,0)))</f>
        <v>0</v>
      </c>
      <c r="P533" s="698">
        <f>IF(P531="",0,INDEX(Input_Range,MATCH((C371&amp;B533),Input_Call,0),MATCH(P531,Input_Header,0)))</f>
        <v>0</v>
      </c>
      <c r="Q533" s="698">
        <f>IF(Q531="",0,INDEX(Input_Range,MATCH((C371&amp;B533),Input_Call,0),MATCH(Q531,Input_Header,0)))</f>
        <v>0</v>
      </c>
      <c r="R533" s="698">
        <f t="shared" ref="R533:R539" si="804">Q533</f>
        <v>0</v>
      </c>
      <c r="T533" s="699">
        <f t="shared" ref="T533:T539" si="805">T532</f>
        <v>0</v>
      </c>
      <c r="U533" s="699">
        <f t="shared" ref="U533:U539" si="806">U532</f>
        <v>0</v>
      </c>
      <c r="V533" s="699">
        <f t="shared" ref="V533:V539" si="807">V532</f>
        <v>0</v>
      </c>
      <c r="W533" s="699">
        <f t="shared" ref="W533:W539" si="808">W532</f>
        <v>0</v>
      </c>
      <c r="X533" s="699">
        <f t="shared" ref="X533:X539" si="809">X532</f>
        <v>0</v>
      </c>
      <c r="Y533" s="699">
        <f t="shared" ref="Y533:Y539" si="810">Y532</f>
        <v>0</v>
      </c>
      <c r="Z533" s="699">
        <f t="shared" ref="Z533:Z539" si="811">Z532</f>
        <v>0</v>
      </c>
      <c r="AA533" s="699">
        <f t="shared" ref="AA533:AA539" si="812">AA532</f>
        <v>0</v>
      </c>
      <c r="AB533" s="699">
        <f t="shared" ref="AB533:AB539" si="813">AB532</f>
        <v>0</v>
      </c>
      <c r="AC533" s="699">
        <f t="shared" ref="AC533:AC539" si="814">AC532</f>
        <v>0</v>
      </c>
      <c r="AD533" s="699">
        <f t="shared" ref="AD533:AD539" si="815">AD532</f>
        <v>0</v>
      </c>
      <c r="AE533" s="699">
        <f t="shared" ref="AE533:AE539" si="816">AE532</f>
        <v>0</v>
      </c>
      <c r="AF533" s="699">
        <f t="shared" ref="AF533:AF539" si="817">AF532</f>
        <v>0</v>
      </c>
      <c r="AG533" s="699">
        <f t="shared" ref="AG533:AG539" si="818">AG532</f>
        <v>0</v>
      </c>
      <c r="AI533" s="698" t="e">
        <f t="shared" si="801"/>
        <v>#DIV/0!</v>
      </c>
      <c r="AJ533" s="698"/>
      <c r="AK533" s="698"/>
      <c r="AL533" s="4" t="str">
        <f>$A533&amp;$C371&amp;InputSheet!C$42&amp;InputSheet!D$42</f>
        <v>Option Year 13ESDOverheadContr</v>
      </c>
      <c r="AM533" s="700" t="e">
        <f t="shared" si="802"/>
        <v>#DIV/0!</v>
      </c>
      <c r="AP533" s="387" t="e">
        <f t="shared" si="796"/>
        <v>#DIV/0!</v>
      </c>
    </row>
    <row r="534" spans="1:42">
      <c r="A534" s="6" t="str">
        <f t="shared" si="803"/>
        <v>Option Year 13</v>
      </c>
      <c r="B534" s="6" t="str">
        <f t="shared" si="799"/>
        <v>Overhead - Onsite</v>
      </c>
      <c r="E534" s="698">
        <f>IF(E531="",0,INDEX(Input_Range,MATCH((C371&amp;B534),Input_Call,0),MATCH(E531,Input_Header,0)))</f>
        <v>0</v>
      </c>
      <c r="F534" s="698">
        <f>IF(F531="",0,INDEX(Input_Range,MATCH((C371&amp;B534),Input_Call,0),MATCH(F531,Input_Header,0)))</f>
        <v>0</v>
      </c>
      <c r="G534" s="698">
        <f>IF(G531="",0,INDEX(Input_Range,MATCH((C371&amp;B534),Input_Call,0),MATCH(G531,Input_Header,0)))</f>
        <v>0</v>
      </c>
      <c r="H534" s="698">
        <f>IF(H531="",0,INDEX(Input_Range,MATCH((C371&amp;B534),Input_Call,0),MATCH(H531,Input_Header,0)))</f>
        <v>0</v>
      </c>
      <c r="I534" s="698">
        <f>IF(I531="",0,INDEX(Input_Range,MATCH((C371&amp;B534),Input_Call,0),MATCH(I531,Input_Header,0)))</f>
        <v>0</v>
      </c>
      <c r="J534" s="698">
        <f>IF(J531="",0,INDEX(Input_Range,MATCH((C371&amp;B534),Input_Call,0),MATCH(J531,Input_Header,0)))</f>
        <v>0</v>
      </c>
      <c r="K534" s="698">
        <f>IF(K531="",0,INDEX(Input_Range,MATCH((C371&amp;B534),Input_Call,0),MATCH(K531,Input_Header,0)))</f>
        <v>0</v>
      </c>
      <c r="L534" s="698">
        <f>IF(L531="",0,INDEX(Input_Range,MATCH((C371&amp;B534),Input_Call,0),MATCH(L531,Input_Header,0)))</f>
        <v>0</v>
      </c>
      <c r="M534" s="698">
        <f>IF(M531="",0,INDEX(Input_Range,MATCH((C371&amp;B534),Input_Call,0),MATCH(M531,Input_Header,0)))</f>
        <v>0</v>
      </c>
      <c r="N534" s="698">
        <f>IF(N531="",0,INDEX(Input_Range,MATCH((C371&amp;B534),Input_Call,0),MATCH(N531,Input_Header,0)))</f>
        <v>0</v>
      </c>
      <c r="O534" s="698">
        <f>IF(O531="",0,INDEX(Input_Range,MATCH((C371&amp;B534),Input_Call,0),MATCH(O531,Input_Header,0)))</f>
        <v>0</v>
      </c>
      <c r="P534" s="698">
        <f>IF(P531="",0,INDEX(Input_Range,MATCH((C371&amp;B534),Input_Call,0),MATCH(P531,Input_Header,0)))</f>
        <v>0</v>
      </c>
      <c r="Q534" s="698">
        <f>IF(Q531="",0,INDEX(Input_Range,MATCH((C371&amp;B534),Input_Call,0),MATCH(Q531,Input_Header,0)))</f>
        <v>0</v>
      </c>
      <c r="R534" s="698">
        <f t="shared" si="804"/>
        <v>0</v>
      </c>
      <c r="T534" s="699">
        <f t="shared" si="805"/>
        <v>0</v>
      </c>
      <c r="U534" s="699">
        <f t="shared" si="806"/>
        <v>0</v>
      </c>
      <c r="V534" s="699">
        <f t="shared" si="807"/>
        <v>0</v>
      </c>
      <c r="W534" s="699">
        <f t="shared" si="808"/>
        <v>0</v>
      </c>
      <c r="X534" s="699">
        <f t="shared" si="809"/>
        <v>0</v>
      </c>
      <c r="Y534" s="699">
        <f t="shared" si="810"/>
        <v>0</v>
      </c>
      <c r="Z534" s="699">
        <f t="shared" si="811"/>
        <v>0</v>
      </c>
      <c r="AA534" s="699">
        <f t="shared" si="812"/>
        <v>0</v>
      </c>
      <c r="AB534" s="699">
        <f t="shared" si="813"/>
        <v>0</v>
      </c>
      <c r="AC534" s="699">
        <f t="shared" si="814"/>
        <v>0</v>
      </c>
      <c r="AD534" s="699">
        <f t="shared" si="815"/>
        <v>0</v>
      </c>
      <c r="AE534" s="699">
        <f t="shared" si="816"/>
        <v>0</v>
      </c>
      <c r="AF534" s="699">
        <f t="shared" si="817"/>
        <v>0</v>
      </c>
      <c r="AG534" s="699">
        <f t="shared" si="818"/>
        <v>0</v>
      </c>
      <c r="AI534" s="698" t="e">
        <f t="shared" si="801"/>
        <v>#DIV/0!</v>
      </c>
      <c r="AJ534" s="698"/>
      <c r="AK534" s="698"/>
      <c r="AL534" s="4" t="str">
        <f>$A534&amp;$C371&amp;InputSheet!C$43&amp;InputSheet!D$43</f>
        <v>Option Year 13ESDOverheadGovt</v>
      </c>
      <c r="AM534" s="700" t="e">
        <f t="shared" si="802"/>
        <v>#DIV/0!</v>
      </c>
      <c r="AP534" s="387" t="e">
        <f t="shared" si="796"/>
        <v>#DIV/0!</v>
      </c>
    </row>
    <row r="535" spans="1:42">
      <c r="A535" s="6" t="str">
        <f t="shared" si="803"/>
        <v>Option Year 13</v>
      </c>
      <c r="B535" s="6" t="str">
        <f t="shared" si="799"/>
        <v>Material Handling</v>
      </c>
      <c r="E535" s="698">
        <f>IF(E531="",0,INDEX(Input_Range,MATCH((C371&amp;B535),Input_Call,0),MATCH(E531,Input_Header,0)))</f>
        <v>0</v>
      </c>
      <c r="F535" s="698">
        <f>IF(F531="",0,INDEX(Input_Range,MATCH((C371&amp;B535),Input_Call,0),MATCH(F531,Input_Header,0)))</f>
        <v>0</v>
      </c>
      <c r="G535" s="698">
        <f>IF(G531="",0,INDEX(Input_Range,MATCH((C371&amp;B535),Input_Call,0),MATCH(G531,Input_Header,0)))</f>
        <v>0</v>
      </c>
      <c r="H535" s="698">
        <f>IF(H531="",0,INDEX(Input_Range,MATCH((C371&amp;B535),Input_Call,0),MATCH(H531,Input_Header,0)))</f>
        <v>0</v>
      </c>
      <c r="I535" s="698">
        <f>IF(I531="",0,INDEX(Input_Range,MATCH((C371&amp;B535),Input_Call,0),MATCH(I531,Input_Header,0)))</f>
        <v>0</v>
      </c>
      <c r="J535" s="698">
        <f>IF(J531="",0,INDEX(Input_Range,MATCH((C371&amp;B535),Input_Call,0),MATCH(J531,Input_Header,0)))</f>
        <v>0</v>
      </c>
      <c r="K535" s="698">
        <f>IF(K531="",0,INDEX(Input_Range,MATCH((C371&amp;B535),Input_Call,0),MATCH(K531,Input_Header,0)))</f>
        <v>0</v>
      </c>
      <c r="L535" s="698">
        <f>IF(L531="",0,INDEX(Input_Range,MATCH((C371&amp;B535),Input_Call,0),MATCH(L531,Input_Header,0)))</f>
        <v>0</v>
      </c>
      <c r="M535" s="698">
        <f>IF(M531="",0,INDEX(Input_Range,MATCH((C371&amp;B535),Input_Call,0),MATCH(M531,Input_Header,0)))</f>
        <v>0</v>
      </c>
      <c r="N535" s="698">
        <f>IF(N531="",0,INDEX(Input_Range,MATCH((C371&amp;B535),Input_Call,0),MATCH(N531,Input_Header,0)))</f>
        <v>0</v>
      </c>
      <c r="O535" s="698">
        <f>IF(O531="",0,INDEX(Input_Range,MATCH((C371&amp;B535),Input_Call,0),MATCH(O531,Input_Header,0)))</f>
        <v>0</v>
      </c>
      <c r="P535" s="698">
        <f>IF(P531="",0,INDEX(Input_Range,MATCH((C371&amp;B535),Input_Call,0),MATCH(P531,Input_Header,0)))</f>
        <v>0</v>
      </c>
      <c r="Q535" s="698">
        <f>IF(Q531="",0,INDEX(Input_Range,MATCH((C371&amp;B535),Input_Call,0),MATCH(Q531,Input_Header,0)))</f>
        <v>0</v>
      </c>
      <c r="R535" s="698">
        <f t="shared" si="804"/>
        <v>0</v>
      </c>
      <c r="T535" s="699">
        <f t="shared" si="805"/>
        <v>0</v>
      </c>
      <c r="U535" s="699">
        <f t="shared" si="806"/>
        <v>0</v>
      </c>
      <c r="V535" s="699">
        <f t="shared" si="807"/>
        <v>0</v>
      </c>
      <c r="W535" s="699">
        <f t="shared" si="808"/>
        <v>0</v>
      </c>
      <c r="X535" s="699">
        <f t="shared" si="809"/>
        <v>0</v>
      </c>
      <c r="Y535" s="699">
        <f t="shared" si="810"/>
        <v>0</v>
      </c>
      <c r="Z535" s="699">
        <f t="shared" si="811"/>
        <v>0</v>
      </c>
      <c r="AA535" s="699">
        <f t="shared" si="812"/>
        <v>0</v>
      </c>
      <c r="AB535" s="699">
        <f t="shared" si="813"/>
        <v>0</v>
      </c>
      <c r="AC535" s="699">
        <f t="shared" si="814"/>
        <v>0</v>
      </c>
      <c r="AD535" s="699">
        <f t="shared" si="815"/>
        <v>0</v>
      </c>
      <c r="AE535" s="699">
        <f t="shared" si="816"/>
        <v>0</v>
      </c>
      <c r="AF535" s="699">
        <f t="shared" si="817"/>
        <v>0</v>
      </c>
      <c r="AG535" s="699">
        <f t="shared" si="818"/>
        <v>0</v>
      </c>
      <c r="AI535" s="698" t="e">
        <f t="shared" si="801"/>
        <v>#DIV/0!</v>
      </c>
      <c r="AJ535" s="698"/>
      <c r="AK535" s="698"/>
      <c r="AL535" s="4" t="str">
        <f>$A535&amp;$C371&amp;InputSheet!C$44&amp;InputSheet!D$44</f>
        <v>Option Year 13ESDMHContr/Govt</v>
      </c>
      <c r="AM535" s="700" t="e">
        <f t="shared" si="802"/>
        <v>#DIV/0!</v>
      </c>
      <c r="AP535" s="387" t="e">
        <f t="shared" si="796"/>
        <v>#DIV/0!</v>
      </c>
    </row>
    <row r="536" spans="1:42">
      <c r="A536" s="6" t="str">
        <f t="shared" si="803"/>
        <v>Option Year 13</v>
      </c>
      <c r="B536" s="6" t="str">
        <f t="shared" si="799"/>
        <v>G&amp;A</v>
      </c>
      <c r="E536" s="698">
        <f>IF(E531="",0,INDEX(Input_Range,MATCH((C371&amp;B536),Input_Call,0),MATCH(E531,Input_Header,0)))</f>
        <v>0</v>
      </c>
      <c r="F536" s="698">
        <f>IF(F531="",0,INDEX(Input_Range,MATCH((C371&amp;B536),Input_Call,0),MATCH(F531,Input_Header,0)))</f>
        <v>0</v>
      </c>
      <c r="G536" s="698">
        <f>IF(G531="",0,INDEX(Input_Range,MATCH((C371&amp;B536),Input_Call,0),MATCH(G531,Input_Header,0)))</f>
        <v>0</v>
      </c>
      <c r="H536" s="698">
        <f>IF(H531="",0,INDEX(Input_Range,MATCH((C371&amp;B536),Input_Call,0),MATCH(H531,Input_Header,0)))</f>
        <v>0</v>
      </c>
      <c r="I536" s="698">
        <f>IF(I531="",0,INDEX(Input_Range,MATCH((C371&amp;B536),Input_Call,0),MATCH(I531,Input_Header,0)))</f>
        <v>0</v>
      </c>
      <c r="J536" s="698">
        <f>IF(J531="",0,INDEX(Input_Range,MATCH((C371&amp;B536),Input_Call,0),MATCH(J531,Input_Header,0)))</f>
        <v>0</v>
      </c>
      <c r="K536" s="698">
        <f>IF(K531="",0,INDEX(Input_Range,MATCH((C371&amp;B536),Input_Call,0),MATCH(K531,Input_Header,0)))</f>
        <v>0</v>
      </c>
      <c r="L536" s="698">
        <f>IF(L531="",0,INDEX(Input_Range,MATCH((C371&amp;B536),Input_Call,0),MATCH(L531,Input_Header,0)))</f>
        <v>0</v>
      </c>
      <c r="M536" s="698">
        <f>IF(M531="",0,INDEX(Input_Range,MATCH((C371&amp;B536),Input_Call,0),MATCH(M531,Input_Header,0)))</f>
        <v>0</v>
      </c>
      <c r="N536" s="698">
        <f>IF(N531="",0,INDEX(Input_Range,MATCH((C371&amp;B536),Input_Call,0),MATCH(N531,Input_Header,0)))</f>
        <v>0</v>
      </c>
      <c r="O536" s="698">
        <f>IF(O531="",0,INDEX(Input_Range,MATCH((C371&amp;B536),Input_Call,0),MATCH(O531,Input_Header,0)))</f>
        <v>0</v>
      </c>
      <c r="P536" s="698">
        <f>IF(P531="",0,INDEX(Input_Range,MATCH((C371&amp;B536),Input_Call,0),MATCH(P531,Input_Header,0)))</f>
        <v>0</v>
      </c>
      <c r="Q536" s="698">
        <f>IF(Q531="",0,INDEX(Input_Range,MATCH((C371&amp;B536),Input_Call,0),MATCH(Q531,Input_Header,0)))</f>
        <v>0</v>
      </c>
      <c r="R536" s="698">
        <f t="shared" si="804"/>
        <v>0</v>
      </c>
      <c r="T536" s="699">
        <f t="shared" si="805"/>
        <v>0</v>
      </c>
      <c r="U536" s="699">
        <f t="shared" si="806"/>
        <v>0</v>
      </c>
      <c r="V536" s="699">
        <f t="shared" si="807"/>
        <v>0</v>
      </c>
      <c r="W536" s="699">
        <f t="shared" si="808"/>
        <v>0</v>
      </c>
      <c r="X536" s="699">
        <f t="shared" si="809"/>
        <v>0</v>
      </c>
      <c r="Y536" s="699">
        <f t="shared" si="810"/>
        <v>0</v>
      </c>
      <c r="Z536" s="699">
        <f t="shared" si="811"/>
        <v>0</v>
      </c>
      <c r="AA536" s="699">
        <f t="shared" si="812"/>
        <v>0</v>
      </c>
      <c r="AB536" s="699">
        <f t="shared" si="813"/>
        <v>0</v>
      </c>
      <c r="AC536" s="699">
        <f t="shared" si="814"/>
        <v>0</v>
      </c>
      <c r="AD536" s="699">
        <f t="shared" si="815"/>
        <v>0</v>
      </c>
      <c r="AE536" s="699">
        <f t="shared" si="816"/>
        <v>0</v>
      </c>
      <c r="AF536" s="699">
        <f t="shared" si="817"/>
        <v>0</v>
      </c>
      <c r="AG536" s="699">
        <f t="shared" si="818"/>
        <v>0</v>
      </c>
      <c r="AI536" s="698" t="e">
        <f t="shared" si="801"/>
        <v>#DIV/0!</v>
      </c>
      <c r="AJ536" s="698"/>
      <c r="AK536" s="698"/>
      <c r="AL536" s="4" t="str">
        <f>$A536&amp;$C371&amp;InputSheet!C$45&amp;InputSheet!D$45</f>
        <v>Option Year 13ESDG&amp;AContr/Govt</v>
      </c>
      <c r="AM536" s="700" t="e">
        <f t="shared" si="802"/>
        <v>#DIV/0!</v>
      </c>
      <c r="AP536" s="387" t="e">
        <f t="shared" si="796"/>
        <v>#DIV/0!</v>
      </c>
    </row>
    <row r="537" spans="1:42" outlineLevel="1">
      <c r="A537" s="6" t="str">
        <f t="shared" si="803"/>
        <v>Option Year 13</v>
      </c>
      <c r="B537" s="6" t="str">
        <f t="shared" si="799"/>
        <v>TBD1</v>
      </c>
      <c r="E537" s="21">
        <f>IF(E531="",0,INDEX(Input_Range,MATCH((C371&amp;B537),Input_Call,0),MATCH(E531,Input_Header,0)))</f>
        <v>0</v>
      </c>
      <c r="F537" s="21">
        <f>IF(F531="",0,INDEX(Input_Range,MATCH((C371&amp;B537),Input_Call,0),MATCH(F531,Input_Header,0)))</f>
        <v>0</v>
      </c>
      <c r="G537" s="21">
        <f>IF(G531="",0,INDEX(Input_Range,MATCH((C371&amp;B537),Input_Call,0),MATCH(G531,Input_Header,0)))</f>
        <v>0</v>
      </c>
      <c r="H537" s="21">
        <f>IF(H531="",0,INDEX(Input_Range,MATCH((C371&amp;B537),Input_Call,0),MATCH(H531,Input_Header,0)))</f>
        <v>0</v>
      </c>
      <c r="I537" s="21">
        <f>IF(I531="",0,INDEX(Input_Range,MATCH((C371&amp;B537),Input_Call,0),MATCH(I531,Input_Header,0)))</f>
        <v>0</v>
      </c>
      <c r="J537" s="21">
        <f>IF(J531="",0,INDEX(Input_Range,MATCH((C371&amp;B537),Input_Call,0),MATCH(J531,Input_Header,0)))</f>
        <v>0</v>
      </c>
      <c r="K537" s="21">
        <f>IF(K531="",0,INDEX(Input_Range,MATCH((C371&amp;B537),Input_Call,0),MATCH(K531,Input_Header,0)))</f>
        <v>0</v>
      </c>
      <c r="L537" s="21">
        <f>IF(L531="",0,INDEX(Input_Range,MATCH((C371&amp;B537),Input_Call,0),MATCH(L531,Input_Header,0)))</f>
        <v>0</v>
      </c>
      <c r="M537" s="21">
        <f>IF(M531="",0,INDEX(Input_Range,MATCH((C371&amp;B537),Input_Call,0),MATCH(M531,Input_Header,0)))</f>
        <v>0</v>
      </c>
      <c r="N537" s="21">
        <f>IF(N531="",0,INDEX(Input_Range,MATCH((C371&amp;B537),Input_Call,0),MATCH(N531,Input_Header,0)))</f>
        <v>0</v>
      </c>
      <c r="O537" s="21">
        <f>IF(O531="",0,INDEX(Input_Range,MATCH((C371&amp;B537),Input_Call,0),MATCH(O531,Input_Header,0)))</f>
        <v>0</v>
      </c>
      <c r="P537" s="21">
        <f>IF(P531="",0,INDEX(Input_Range,MATCH((C371&amp;B537),Input_Call,0),MATCH(P531,Input_Header,0)))</f>
        <v>0</v>
      </c>
      <c r="Q537" s="21">
        <f>IF(Q531="",0,INDEX(Input_Range,MATCH((C371&amp;B537),Input_Call,0),MATCH(Q531,Input_Header,0)))</f>
        <v>0</v>
      </c>
      <c r="R537" s="698">
        <f t="shared" si="804"/>
        <v>0</v>
      </c>
      <c r="T537" s="699">
        <f t="shared" si="805"/>
        <v>0</v>
      </c>
      <c r="U537" s="699">
        <f t="shared" si="806"/>
        <v>0</v>
      </c>
      <c r="V537" s="699">
        <f t="shared" si="807"/>
        <v>0</v>
      </c>
      <c r="W537" s="699">
        <f t="shared" si="808"/>
        <v>0</v>
      </c>
      <c r="X537" s="699">
        <f t="shared" si="809"/>
        <v>0</v>
      </c>
      <c r="Y537" s="699">
        <f t="shared" si="810"/>
        <v>0</v>
      </c>
      <c r="Z537" s="699">
        <f t="shared" si="811"/>
        <v>0</v>
      </c>
      <c r="AA537" s="699">
        <f t="shared" si="812"/>
        <v>0</v>
      </c>
      <c r="AB537" s="699">
        <f t="shared" si="813"/>
        <v>0</v>
      </c>
      <c r="AC537" s="699">
        <f t="shared" si="814"/>
        <v>0</v>
      </c>
      <c r="AD537" s="699">
        <f t="shared" si="815"/>
        <v>0</v>
      </c>
      <c r="AE537" s="699">
        <f t="shared" si="816"/>
        <v>0</v>
      </c>
      <c r="AF537" s="699">
        <f t="shared" si="817"/>
        <v>0</v>
      </c>
      <c r="AG537" s="699">
        <f t="shared" si="818"/>
        <v>0</v>
      </c>
      <c r="AI537" s="698" t="e">
        <f t="shared" si="801"/>
        <v>#DIV/0!</v>
      </c>
      <c r="AJ537" s="21"/>
      <c r="AK537" s="21"/>
      <c r="AL537" s="4" t="str">
        <f>$A537&amp;$C371&amp;InputSheet!C$46&amp;InputSheet!D$46</f>
        <v>Option Year 13ESDTBD1Contr/Govt</v>
      </c>
      <c r="AM537" s="700" t="e">
        <f t="shared" si="802"/>
        <v>#DIV/0!</v>
      </c>
      <c r="AP537" s="387" t="e">
        <f t="shared" si="796"/>
        <v>#DIV/0!</v>
      </c>
    </row>
    <row r="538" spans="1:42" outlineLevel="1">
      <c r="A538" s="6" t="str">
        <f t="shared" si="803"/>
        <v>Option Year 13</v>
      </c>
      <c r="B538" s="6" t="str">
        <f t="shared" si="799"/>
        <v>TBD2</v>
      </c>
      <c r="E538" s="21">
        <f>IF(E531="",0,INDEX(Input_Range,MATCH((C371&amp;B538),Input_Call,0),MATCH(E531,Input_Header,0)))</f>
        <v>0</v>
      </c>
      <c r="F538" s="21">
        <f>IF(F531="",0,INDEX(Input_Range,MATCH((C371&amp;B538),Input_Call,0),MATCH(F531,Input_Header,0)))</f>
        <v>0</v>
      </c>
      <c r="G538" s="21">
        <f>IF(G531="",0,INDEX(Input_Range,MATCH((C371&amp;B538),Input_Call,0),MATCH(G531,Input_Header,0)))</f>
        <v>0</v>
      </c>
      <c r="H538" s="21">
        <f>IF(H531="",0,INDEX(Input_Range,MATCH((C371&amp;B538),Input_Call,0),MATCH(H531,Input_Header,0)))</f>
        <v>0</v>
      </c>
      <c r="I538" s="21">
        <f>IF(I531="",0,INDEX(Input_Range,MATCH((C371&amp;B538),Input_Call,0),MATCH(I531,Input_Header,0)))</f>
        <v>0</v>
      </c>
      <c r="J538" s="21">
        <f>IF(J531="",0,INDEX(Input_Range,MATCH((C371&amp;B538),Input_Call,0),MATCH(J531,Input_Header,0)))</f>
        <v>0</v>
      </c>
      <c r="K538" s="21">
        <f>IF(K531="",0,INDEX(Input_Range,MATCH((C371&amp;B538),Input_Call,0),MATCH(K531,Input_Header,0)))</f>
        <v>0</v>
      </c>
      <c r="L538" s="21">
        <f>IF(L531="",0,INDEX(Input_Range,MATCH((C371&amp;B538),Input_Call,0),MATCH(L531,Input_Header,0)))</f>
        <v>0</v>
      </c>
      <c r="M538" s="21">
        <f>IF(M531="",0,INDEX(Input_Range,MATCH((C371&amp;B538),Input_Call,0),MATCH(M531,Input_Header,0)))</f>
        <v>0</v>
      </c>
      <c r="N538" s="21">
        <f>IF(N531="",0,INDEX(Input_Range,MATCH((C371&amp;B538),Input_Call,0),MATCH(N531,Input_Header,0)))</f>
        <v>0</v>
      </c>
      <c r="O538" s="21">
        <f>IF(O531="",0,INDEX(Input_Range,MATCH((C371&amp;B538),Input_Call,0),MATCH(O531,Input_Header,0)))</f>
        <v>0</v>
      </c>
      <c r="P538" s="21">
        <f>IF(P531="",0,INDEX(Input_Range,MATCH((C371&amp;B538),Input_Call,0),MATCH(P531,Input_Header,0)))</f>
        <v>0</v>
      </c>
      <c r="Q538" s="21">
        <f>IF(Q531="",0,INDEX(Input_Range,MATCH((C371&amp;B538),Input_Call,0),MATCH(Q531,Input_Header,0)))</f>
        <v>0</v>
      </c>
      <c r="R538" s="698">
        <f t="shared" si="804"/>
        <v>0</v>
      </c>
      <c r="T538" s="699">
        <f t="shared" si="805"/>
        <v>0</v>
      </c>
      <c r="U538" s="699">
        <f t="shared" si="806"/>
        <v>0</v>
      </c>
      <c r="V538" s="699">
        <f t="shared" si="807"/>
        <v>0</v>
      </c>
      <c r="W538" s="699">
        <f t="shared" si="808"/>
        <v>0</v>
      </c>
      <c r="X538" s="699">
        <f t="shared" si="809"/>
        <v>0</v>
      </c>
      <c r="Y538" s="699">
        <f t="shared" si="810"/>
        <v>0</v>
      </c>
      <c r="Z538" s="699">
        <f t="shared" si="811"/>
        <v>0</v>
      </c>
      <c r="AA538" s="699">
        <f t="shared" si="812"/>
        <v>0</v>
      </c>
      <c r="AB538" s="699">
        <f t="shared" si="813"/>
        <v>0</v>
      </c>
      <c r="AC538" s="699">
        <f t="shared" si="814"/>
        <v>0</v>
      </c>
      <c r="AD538" s="699">
        <f t="shared" si="815"/>
        <v>0</v>
      </c>
      <c r="AE538" s="699">
        <f t="shared" si="816"/>
        <v>0</v>
      </c>
      <c r="AF538" s="699">
        <f t="shared" si="817"/>
        <v>0</v>
      </c>
      <c r="AG538" s="699">
        <f t="shared" si="818"/>
        <v>0</v>
      </c>
      <c r="AI538" s="698" t="e">
        <f t="shared" si="801"/>
        <v>#DIV/0!</v>
      </c>
      <c r="AJ538" s="21"/>
      <c r="AK538" s="21"/>
      <c r="AL538" s="4" t="str">
        <f>$A538&amp;$C371&amp;InputSheet!C$47&amp;InputSheet!D$47</f>
        <v>Option Year 13ESDTBD2Contr/Govt</v>
      </c>
      <c r="AM538" s="700" t="e">
        <f t="shared" si="802"/>
        <v>#DIV/0!</v>
      </c>
      <c r="AP538" s="387" t="e">
        <f t="shared" si="796"/>
        <v>#DIV/0!</v>
      </c>
    </row>
    <row r="539" spans="1:42" outlineLevel="1">
      <c r="A539" s="6" t="str">
        <f t="shared" si="803"/>
        <v>Option Year 13</v>
      </c>
      <c r="B539" s="6" t="str">
        <f t="shared" si="799"/>
        <v>TBD3</v>
      </c>
      <c r="E539" s="21">
        <f>IF(E531="",0,INDEX(Input_Range,MATCH((C371&amp;B539),Input_Call,0),MATCH(E531,Input_Header,0)))</f>
        <v>0</v>
      </c>
      <c r="F539" s="21">
        <f>IF(F531="",0,INDEX(Input_Range,MATCH((C371&amp;B539),Input_Call,0),MATCH(F531,Input_Header,0)))</f>
        <v>0</v>
      </c>
      <c r="G539" s="21">
        <f>IF(G531="",0,INDEX(Input_Range,MATCH((C371&amp;B539),Input_Call,0),MATCH(G531,Input_Header,0)))</f>
        <v>0</v>
      </c>
      <c r="H539" s="21">
        <f>IF(H531="",0,INDEX(Input_Range,MATCH((C371&amp;B539),Input_Call,0),MATCH(H531,Input_Header,0)))</f>
        <v>0</v>
      </c>
      <c r="I539" s="21">
        <f>IF(I531="",0,INDEX(Input_Range,MATCH((C371&amp;B539),Input_Call,0),MATCH(I531,Input_Header,0)))</f>
        <v>0</v>
      </c>
      <c r="J539" s="21">
        <f>IF(J531="",0,INDEX(Input_Range,MATCH((C371&amp;B539),Input_Call,0),MATCH(J531,Input_Header,0)))</f>
        <v>0</v>
      </c>
      <c r="K539" s="21">
        <f>IF(K531="",0,INDEX(Input_Range,MATCH((C371&amp;B539),Input_Call,0),MATCH(K531,Input_Header,0)))</f>
        <v>0</v>
      </c>
      <c r="L539" s="21">
        <f>IF(L531="",0,INDEX(Input_Range,MATCH((C371&amp;B539),Input_Call,0),MATCH(L531,Input_Header,0)))</f>
        <v>0</v>
      </c>
      <c r="M539" s="21">
        <f>IF(M531="",0,INDEX(Input_Range,MATCH((C371&amp;B539),Input_Call,0),MATCH(M531,Input_Header,0)))</f>
        <v>0</v>
      </c>
      <c r="N539" s="21">
        <f>IF(N531="",0,INDEX(Input_Range,MATCH((C371&amp;B539),Input_Call,0),MATCH(N531,Input_Header,0)))</f>
        <v>0</v>
      </c>
      <c r="O539" s="21">
        <f>IF(O531="",0,INDEX(Input_Range,MATCH((C371&amp;B539),Input_Call,0),MATCH(O531,Input_Header,0)))</f>
        <v>0</v>
      </c>
      <c r="P539" s="21">
        <f>IF(P531="",0,INDEX(Input_Range,MATCH((C371&amp;B539),Input_Call,0),MATCH(P531,Input_Header,0)))</f>
        <v>0</v>
      </c>
      <c r="Q539" s="21">
        <f>IF(Q531="",0,INDEX(Input_Range,MATCH((C371&amp;B539),Input_Call,0),MATCH(Q531,Input_Header,0)))</f>
        <v>0</v>
      </c>
      <c r="R539" s="698">
        <f t="shared" si="804"/>
        <v>0</v>
      </c>
      <c r="T539" s="699">
        <f t="shared" si="805"/>
        <v>0</v>
      </c>
      <c r="U539" s="699">
        <f t="shared" si="806"/>
        <v>0</v>
      </c>
      <c r="V539" s="699">
        <f t="shared" si="807"/>
        <v>0</v>
      </c>
      <c r="W539" s="699">
        <f t="shared" si="808"/>
        <v>0</v>
      </c>
      <c r="X539" s="699">
        <f t="shared" si="809"/>
        <v>0</v>
      </c>
      <c r="Y539" s="699">
        <f t="shared" si="810"/>
        <v>0</v>
      </c>
      <c r="Z539" s="699">
        <f t="shared" si="811"/>
        <v>0</v>
      </c>
      <c r="AA539" s="699">
        <f t="shared" si="812"/>
        <v>0</v>
      </c>
      <c r="AB539" s="699">
        <f t="shared" si="813"/>
        <v>0</v>
      </c>
      <c r="AC539" s="699">
        <f t="shared" si="814"/>
        <v>0</v>
      </c>
      <c r="AD539" s="699">
        <f t="shared" si="815"/>
        <v>0</v>
      </c>
      <c r="AE539" s="699">
        <f t="shared" si="816"/>
        <v>0</v>
      </c>
      <c r="AF539" s="699">
        <f t="shared" si="817"/>
        <v>0</v>
      </c>
      <c r="AG539" s="699">
        <f t="shared" si="818"/>
        <v>0</v>
      </c>
      <c r="AI539" s="698" t="e">
        <f t="shared" si="801"/>
        <v>#DIV/0!</v>
      </c>
      <c r="AJ539" s="21"/>
      <c r="AK539" s="21"/>
      <c r="AL539" s="4" t="str">
        <f>$A539&amp;$C371&amp;InputSheet!C$48&amp;InputSheet!D$48</f>
        <v>Option Year 13ESDTBD3Contr/Govt</v>
      </c>
      <c r="AM539" s="700" t="e">
        <f t="shared" si="802"/>
        <v>#DIV/0!</v>
      </c>
      <c r="AP539" s="387" t="e">
        <f t="shared" si="796"/>
        <v>#DIV/0!</v>
      </c>
    </row>
    <row r="540" spans="1:42">
      <c r="E540" s="698"/>
      <c r="F540" s="698"/>
      <c r="G540" s="698"/>
      <c r="H540" s="698"/>
      <c r="I540" s="698"/>
      <c r="J540" s="698"/>
      <c r="K540" s="698"/>
      <c r="L540" s="698"/>
      <c r="M540" s="698"/>
      <c r="N540" s="698"/>
      <c r="O540" s="698"/>
      <c r="P540" s="698"/>
      <c r="Q540" s="698"/>
      <c r="R540" s="698"/>
      <c r="AI540" s="21"/>
      <c r="AJ540" s="21"/>
      <c r="AK540" s="21"/>
      <c r="AP540" s="387" t="str">
        <f t="shared" si="796"/>
        <v>1</v>
      </c>
    </row>
    <row r="541" spans="1:42">
      <c r="A541" s="530" t="str">
        <f>B541</f>
        <v>Option Year 14</v>
      </c>
      <c r="B541" s="691" t="str">
        <f>InputSheet!$C$36</f>
        <v>Option Year 14</v>
      </c>
      <c r="AP541" s="387" t="str">
        <f t="shared" si="796"/>
        <v>1</v>
      </c>
    </row>
    <row r="542" spans="1:42">
      <c r="B542" s="314" t="s">
        <v>587</v>
      </c>
      <c r="C542" s="692" t="s">
        <v>588</v>
      </c>
      <c r="E542" s="1216" t="str">
        <f>"Indirect Rates - "&amp;C$371</f>
        <v>Indirect Rates - ESD</v>
      </c>
      <c r="F542" s="1216"/>
      <c r="G542" s="1216"/>
      <c r="H542" s="1216"/>
      <c r="I542" s="1216"/>
      <c r="J542" s="1216"/>
      <c r="K542" s="1216"/>
      <c r="L542" s="1216"/>
      <c r="M542" s="1216"/>
      <c r="N542" s="1216"/>
      <c r="O542" s="1216"/>
      <c r="P542" s="1216"/>
      <c r="Q542" s="1216"/>
      <c r="R542" s="1216"/>
      <c r="S542" s="844"/>
      <c r="T542" s="1217" t="s">
        <v>794</v>
      </c>
      <c r="U542" s="1217"/>
      <c r="V542" s="1217"/>
      <c r="W542" s="1217"/>
      <c r="X542" s="1217"/>
      <c r="Y542" s="1217"/>
      <c r="Z542" s="1217"/>
      <c r="AA542" s="1217"/>
      <c r="AB542" s="1217"/>
      <c r="AC542" s="1217"/>
      <c r="AD542" s="1217"/>
      <c r="AE542" s="1217"/>
      <c r="AF542" s="1217"/>
      <c r="AG542" s="1217"/>
      <c r="AI542" s="692" t="s">
        <v>615</v>
      </c>
      <c r="AJ542" s="50"/>
      <c r="AK542" s="50"/>
      <c r="AP542" s="387" t="str">
        <f t="shared" si="796"/>
        <v>1</v>
      </c>
    </row>
    <row r="543" spans="1:42">
      <c r="B543" s="693">
        <f>VLOOKUP(A541,InputSheet!$C$8:$E$37,2,FALSE)</f>
        <v>3288</v>
      </c>
      <c r="C543" s="694">
        <f>VLOOKUP(A541,InputSheet!$C$8:$E$37,3,FALSE)</f>
        <v>3652</v>
      </c>
      <c r="E543" s="695">
        <f t="shared" ref="E543:R543" si="819">E531</f>
        <v>2009</v>
      </c>
      <c r="F543" s="695">
        <f t="shared" si="819"/>
        <v>2010</v>
      </c>
      <c r="G543" s="695">
        <f t="shared" si="819"/>
        <v>2011</v>
      </c>
      <c r="H543" s="695">
        <f t="shared" si="819"/>
        <v>2012</v>
      </c>
      <c r="I543" s="695">
        <f t="shared" si="819"/>
        <v>2013</v>
      </c>
      <c r="J543" s="695">
        <f t="shared" si="819"/>
        <v>2014</v>
      </c>
      <c r="K543" s="695">
        <f t="shared" si="819"/>
        <v>2015</v>
      </c>
      <c r="L543" s="695">
        <f t="shared" si="819"/>
        <v>2016</v>
      </c>
      <c r="M543" s="695">
        <f t="shared" si="819"/>
        <v>2017</v>
      </c>
      <c r="N543" s="695">
        <f t="shared" si="819"/>
        <v>2018</v>
      </c>
      <c r="O543" s="695">
        <f t="shared" si="819"/>
        <v>2019</v>
      </c>
      <c r="P543" s="695">
        <f t="shared" si="819"/>
        <v>2020</v>
      </c>
      <c r="Q543" s="695">
        <f t="shared" si="819"/>
        <v>2021</v>
      </c>
      <c r="R543" s="695">
        <f t="shared" si="819"/>
        <v>2022</v>
      </c>
      <c r="S543" s="680"/>
      <c r="T543" s="695">
        <f t="shared" ref="T543:AG543" si="820">T531</f>
        <v>2009</v>
      </c>
      <c r="U543" s="695">
        <f t="shared" si="820"/>
        <v>2010</v>
      </c>
      <c r="V543" s="695">
        <f t="shared" si="820"/>
        <v>2011</v>
      </c>
      <c r="W543" s="695">
        <f t="shared" si="820"/>
        <v>2012</v>
      </c>
      <c r="X543" s="695">
        <f t="shared" si="820"/>
        <v>2013</v>
      </c>
      <c r="Y543" s="695">
        <f t="shared" si="820"/>
        <v>2014</v>
      </c>
      <c r="Z543" s="695">
        <f t="shared" si="820"/>
        <v>2015</v>
      </c>
      <c r="AA543" s="695">
        <f t="shared" si="820"/>
        <v>2016</v>
      </c>
      <c r="AB543" s="695">
        <f t="shared" si="820"/>
        <v>2017</v>
      </c>
      <c r="AC543" s="695">
        <f t="shared" si="820"/>
        <v>2018</v>
      </c>
      <c r="AD543" s="695">
        <f t="shared" si="820"/>
        <v>2019</v>
      </c>
      <c r="AE543" s="695">
        <f t="shared" si="820"/>
        <v>2020</v>
      </c>
      <c r="AF543" s="695">
        <f t="shared" si="820"/>
        <v>2021</v>
      </c>
      <c r="AG543" s="695">
        <f t="shared" si="820"/>
        <v>2022</v>
      </c>
      <c r="AI543" s="696" t="str">
        <f>B541</f>
        <v>Option Year 14</v>
      </c>
      <c r="AJ543" s="28"/>
      <c r="AK543" s="28"/>
      <c r="AP543" s="387" t="str">
        <f t="shared" si="796"/>
        <v>1</v>
      </c>
    </row>
    <row r="544" spans="1:42">
      <c r="A544" s="6" t="str">
        <f>A541</f>
        <v>Option Year 14</v>
      </c>
      <c r="B544" s="6" t="str">
        <f t="shared" ref="B544:B551" si="821">B532</f>
        <v>PRB</v>
      </c>
      <c r="E544" s="698">
        <f>IF(E543="",0,INDEX(Input_Range,MATCH((C371&amp;B544),Input_Call,0),MATCH(E543,Input_Header,0)))</f>
        <v>0</v>
      </c>
      <c r="F544" s="698">
        <f>IF(F543="",0,INDEX(Input_Range,MATCH((C371&amp;B544),Input_Call,0),MATCH(F543,Input_Header,0)))</f>
        <v>0</v>
      </c>
      <c r="G544" s="698">
        <f>IF(G543="",0,INDEX(Input_Range,MATCH((C371&amp;B544),Input_Call,0),MATCH(G543,Input_Header,0)))</f>
        <v>0</v>
      </c>
      <c r="H544" s="698">
        <f>IF(H543="",0,INDEX(Input_Range,MATCH((C371&amp;B544),Input_Call,0),MATCH(H543,Input_Header,0)))</f>
        <v>0</v>
      </c>
      <c r="I544" s="698">
        <f>IF(I543="",0,INDEX(Input_Range,MATCH((C371&amp;B544),Input_Call,0),MATCH(I543,Input_Header,0)))</f>
        <v>0</v>
      </c>
      <c r="J544" s="698">
        <f>IF(J543="",0,INDEX(Input_Range,MATCH((C371&amp;B544),Input_Call,0),MATCH(J543,Input_Header,0)))</f>
        <v>0</v>
      </c>
      <c r="K544" s="698">
        <f>IF(K543="",0,INDEX(Input_Range,MATCH((C371&amp;B544),Input_Call,0),MATCH(K543,Input_Header,0)))</f>
        <v>0</v>
      </c>
      <c r="L544" s="698">
        <f>IF(L543="",0,INDEX(Input_Range,MATCH((C371&amp;B544),Input_Call,0),MATCH(L543,Input_Header,0)))</f>
        <v>0</v>
      </c>
      <c r="M544" s="698">
        <f>IF(M543="",0,INDEX(Input_Range,MATCH((C371&amp;B544),Input_Call,0),MATCH(M543,Input_Header,0)))</f>
        <v>0</v>
      </c>
      <c r="N544" s="698">
        <f>IF(N543="",0,INDEX(Input_Range,MATCH((C371&amp;B544),Input_Call,0),MATCH(N543,Input_Header,0)))</f>
        <v>0</v>
      </c>
      <c r="O544" s="698">
        <f>IF(O543="",0,INDEX(Input_Range,MATCH((C371&amp;B544),Input_Call,0),MATCH(O543,Input_Header,0)))</f>
        <v>0</v>
      </c>
      <c r="P544" s="698">
        <f>IF(P543="",0,INDEX(Input_Range,MATCH((C371&amp;B544),Input_Call,0),MATCH(P543,Input_Header,0)))</f>
        <v>0</v>
      </c>
      <c r="Q544" s="698">
        <f>IF(Q543="",0,INDEX(Input_Range,MATCH((C371&amp;B544),Input_Call,0),MATCH(Q543,Input_Header,0)))</f>
        <v>0</v>
      </c>
      <c r="R544" s="698">
        <f>Q544</f>
        <v>0</v>
      </c>
      <c r="T544" s="699">
        <f t="shared" ref="T544:AG544" si="822">ROUND((MAX(0,(MIN($C543,DATE(T543,12,31))-MAX($B543,DATE(T543,1,1))+1)))/30.41667,0)</f>
        <v>0</v>
      </c>
      <c r="U544" s="699">
        <f t="shared" si="822"/>
        <v>0</v>
      </c>
      <c r="V544" s="699">
        <f t="shared" si="822"/>
        <v>0</v>
      </c>
      <c r="W544" s="699">
        <f t="shared" si="822"/>
        <v>0</v>
      </c>
      <c r="X544" s="699">
        <f t="shared" si="822"/>
        <v>0</v>
      </c>
      <c r="Y544" s="699">
        <f t="shared" si="822"/>
        <v>0</v>
      </c>
      <c r="Z544" s="699">
        <f t="shared" si="822"/>
        <v>0</v>
      </c>
      <c r="AA544" s="699">
        <f t="shared" si="822"/>
        <v>0</v>
      </c>
      <c r="AB544" s="699">
        <f t="shared" si="822"/>
        <v>0</v>
      </c>
      <c r="AC544" s="699">
        <f t="shared" si="822"/>
        <v>0</v>
      </c>
      <c r="AD544" s="699">
        <f t="shared" si="822"/>
        <v>0</v>
      </c>
      <c r="AE544" s="699">
        <f t="shared" si="822"/>
        <v>0</v>
      </c>
      <c r="AF544" s="699">
        <f t="shared" si="822"/>
        <v>0</v>
      </c>
      <c r="AG544" s="699">
        <f t="shared" si="822"/>
        <v>0</v>
      </c>
      <c r="AI544" s="698" t="e">
        <f t="shared" ref="AI544:AI551" si="823">ROUND(SUMPRODUCT(E544:R544,T544:AG544)/SUM(T544:AG544),4)</f>
        <v>#DIV/0!</v>
      </c>
      <c r="AJ544" s="698"/>
      <c r="AK544" s="698"/>
      <c r="AL544" s="4" t="str">
        <f>$A544&amp;$C371&amp;InputSheet!C$41&amp;InputSheet!D$41</f>
        <v>Option Year 14ESDPRBContr/Govt</v>
      </c>
      <c r="AM544" s="700" t="e">
        <f t="shared" ref="AM544:AM551" si="824">AI544</f>
        <v>#DIV/0!</v>
      </c>
      <c r="AP544" s="387" t="e">
        <f t="shared" si="796"/>
        <v>#DIV/0!</v>
      </c>
    </row>
    <row r="545" spans="1:42">
      <c r="A545" s="6" t="str">
        <f t="shared" ref="A545:A551" si="825">A544</f>
        <v>Option Year 14</v>
      </c>
      <c r="B545" s="6" t="str">
        <f t="shared" si="821"/>
        <v>Overhead - Offsite</v>
      </c>
      <c r="E545" s="698">
        <f>IF(E543="",0,INDEX(Input_Range,MATCH((C371&amp;B545),Input_Call,0),MATCH(E543,Input_Header,0)))</f>
        <v>0</v>
      </c>
      <c r="F545" s="698">
        <f>IF(F543="",0,INDEX(Input_Range,MATCH((C371&amp;B545),Input_Call,0),MATCH(F543,Input_Header,0)))</f>
        <v>0</v>
      </c>
      <c r="G545" s="698">
        <f>IF(G543="",0,INDEX(Input_Range,MATCH((C371&amp;B545),Input_Call,0),MATCH(G543,Input_Header,0)))</f>
        <v>0</v>
      </c>
      <c r="H545" s="698">
        <f>IF(H543="",0,INDEX(Input_Range,MATCH((C371&amp;B545),Input_Call,0),MATCH(H543,Input_Header,0)))</f>
        <v>0</v>
      </c>
      <c r="I545" s="698">
        <f>IF(I543="",0,INDEX(Input_Range,MATCH((C371&amp;B545),Input_Call,0),MATCH(I543,Input_Header,0)))</f>
        <v>0</v>
      </c>
      <c r="J545" s="698">
        <f>IF(J543="",0,INDEX(Input_Range,MATCH((C371&amp;B545),Input_Call,0),MATCH(J543,Input_Header,0)))</f>
        <v>0</v>
      </c>
      <c r="K545" s="698">
        <f>IF(K543="",0,INDEX(Input_Range,MATCH((C371&amp;B545),Input_Call,0),MATCH(K543,Input_Header,0)))</f>
        <v>0</v>
      </c>
      <c r="L545" s="698">
        <f>IF(L543="",0,INDEX(Input_Range,MATCH((C371&amp;B545),Input_Call,0),MATCH(L543,Input_Header,0)))</f>
        <v>0</v>
      </c>
      <c r="M545" s="698">
        <f>IF(M543="",0,INDEX(Input_Range,MATCH((C371&amp;B545),Input_Call,0),MATCH(M543,Input_Header,0)))</f>
        <v>0</v>
      </c>
      <c r="N545" s="698">
        <f>IF(N543="",0,INDEX(Input_Range,MATCH((C371&amp;B545),Input_Call,0),MATCH(N543,Input_Header,0)))</f>
        <v>0</v>
      </c>
      <c r="O545" s="698">
        <f>IF(O543="",0,INDEX(Input_Range,MATCH((C371&amp;B545),Input_Call,0),MATCH(O543,Input_Header,0)))</f>
        <v>0</v>
      </c>
      <c r="P545" s="698">
        <f>IF(P543="",0,INDEX(Input_Range,MATCH((C371&amp;B545),Input_Call,0),MATCH(P543,Input_Header,0)))</f>
        <v>0</v>
      </c>
      <c r="Q545" s="698">
        <f>IF(Q543="",0,INDEX(Input_Range,MATCH((C371&amp;B545),Input_Call,0),MATCH(Q543,Input_Header,0)))</f>
        <v>0</v>
      </c>
      <c r="R545" s="698">
        <f t="shared" ref="R545:R551" si="826">Q545</f>
        <v>0</v>
      </c>
      <c r="T545" s="699">
        <f t="shared" ref="T545:T551" si="827">T544</f>
        <v>0</v>
      </c>
      <c r="U545" s="699">
        <f t="shared" ref="U545:U551" si="828">U544</f>
        <v>0</v>
      </c>
      <c r="V545" s="699">
        <f t="shared" ref="V545:V551" si="829">V544</f>
        <v>0</v>
      </c>
      <c r="W545" s="699">
        <f t="shared" ref="W545:W551" si="830">W544</f>
        <v>0</v>
      </c>
      <c r="X545" s="699">
        <f t="shared" ref="X545:X551" si="831">X544</f>
        <v>0</v>
      </c>
      <c r="Y545" s="699">
        <f t="shared" ref="Y545:Y551" si="832">Y544</f>
        <v>0</v>
      </c>
      <c r="Z545" s="699">
        <f t="shared" ref="Z545:Z551" si="833">Z544</f>
        <v>0</v>
      </c>
      <c r="AA545" s="699">
        <f t="shared" ref="AA545:AA551" si="834">AA544</f>
        <v>0</v>
      </c>
      <c r="AB545" s="699">
        <f t="shared" ref="AB545:AB551" si="835">AB544</f>
        <v>0</v>
      </c>
      <c r="AC545" s="699">
        <f t="shared" ref="AC545:AC551" si="836">AC544</f>
        <v>0</v>
      </c>
      <c r="AD545" s="699">
        <f t="shared" ref="AD545:AD551" si="837">AD544</f>
        <v>0</v>
      </c>
      <c r="AE545" s="699">
        <f t="shared" ref="AE545:AE551" si="838">AE544</f>
        <v>0</v>
      </c>
      <c r="AF545" s="699">
        <f t="shared" ref="AF545:AF551" si="839">AF544</f>
        <v>0</v>
      </c>
      <c r="AG545" s="699">
        <f t="shared" ref="AG545:AG551" si="840">AG544</f>
        <v>0</v>
      </c>
      <c r="AI545" s="698" t="e">
        <f t="shared" si="823"/>
        <v>#DIV/0!</v>
      </c>
      <c r="AJ545" s="698"/>
      <c r="AK545" s="698"/>
      <c r="AL545" s="4" t="str">
        <f>$A545&amp;$C371&amp;InputSheet!C$42&amp;InputSheet!D$42</f>
        <v>Option Year 14ESDOverheadContr</v>
      </c>
      <c r="AM545" s="700" t="e">
        <f t="shared" si="824"/>
        <v>#DIV/0!</v>
      </c>
      <c r="AP545" s="387" t="e">
        <f t="shared" si="796"/>
        <v>#DIV/0!</v>
      </c>
    </row>
    <row r="546" spans="1:42">
      <c r="A546" s="6" t="str">
        <f t="shared" si="825"/>
        <v>Option Year 14</v>
      </c>
      <c r="B546" s="6" t="str">
        <f t="shared" si="821"/>
        <v>Overhead - Onsite</v>
      </c>
      <c r="E546" s="698">
        <f>IF(E543="",0,INDEX(Input_Range,MATCH((C371&amp;B546),Input_Call,0),MATCH(E543,Input_Header,0)))</f>
        <v>0</v>
      </c>
      <c r="F546" s="698">
        <f>IF(F543="",0,INDEX(Input_Range,MATCH((C371&amp;B546),Input_Call,0),MATCH(F543,Input_Header,0)))</f>
        <v>0</v>
      </c>
      <c r="G546" s="698">
        <f>IF(G543="",0,INDEX(Input_Range,MATCH((C371&amp;B546),Input_Call,0),MATCH(G543,Input_Header,0)))</f>
        <v>0</v>
      </c>
      <c r="H546" s="698">
        <f>IF(H543="",0,INDEX(Input_Range,MATCH((C371&amp;B546),Input_Call,0),MATCH(H543,Input_Header,0)))</f>
        <v>0</v>
      </c>
      <c r="I546" s="698">
        <f>IF(I543="",0,INDEX(Input_Range,MATCH((C371&amp;B546),Input_Call,0),MATCH(I543,Input_Header,0)))</f>
        <v>0</v>
      </c>
      <c r="J546" s="698">
        <f>IF(J543="",0,INDEX(Input_Range,MATCH((C371&amp;B546),Input_Call,0),MATCH(J543,Input_Header,0)))</f>
        <v>0</v>
      </c>
      <c r="K546" s="698">
        <f>IF(K543="",0,INDEX(Input_Range,MATCH((C371&amp;B546),Input_Call,0),MATCH(K543,Input_Header,0)))</f>
        <v>0</v>
      </c>
      <c r="L546" s="698">
        <f>IF(L543="",0,INDEX(Input_Range,MATCH((C371&amp;B546),Input_Call,0),MATCH(L543,Input_Header,0)))</f>
        <v>0</v>
      </c>
      <c r="M546" s="698">
        <f>IF(M543="",0,INDEX(Input_Range,MATCH((C371&amp;B546),Input_Call,0),MATCH(M543,Input_Header,0)))</f>
        <v>0</v>
      </c>
      <c r="N546" s="698">
        <f>IF(N543="",0,INDEX(Input_Range,MATCH((C371&amp;B546),Input_Call,0),MATCH(N543,Input_Header,0)))</f>
        <v>0</v>
      </c>
      <c r="O546" s="698">
        <f>IF(O543="",0,INDEX(Input_Range,MATCH((C371&amp;B546),Input_Call,0),MATCH(O543,Input_Header,0)))</f>
        <v>0</v>
      </c>
      <c r="P546" s="698">
        <f>IF(P543="",0,INDEX(Input_Range,MATCH((C371&amp;B546),Input_Call,0),MATCH(P543,Input_Header,0)))</f>
        <v>0</v>
      </c>
      <c r="Q546" s="698">
        <f>IF(Q543="",0,INDEX(Input_Range,MATCH((C371&amp;B546),Input_Call,0),MATCH(Q543,Input_Header,0)))</f>
        <v>0</v>
      </c>
      <c r="R546" s="698">
        <f t="shared" si="826"/>
        <v>0</v>
      </c>
      <c r="T546" s="699">
        <f t="shared" si="827"/>
        <v>0</v>
      </c>
      <c r="U546" s="699">
        <f t="shared" si="828"/>
        <v>0</v>
      </c>
      <c r="V546" s="699">
        <f t="shared" si="829"/>
        <v>0</v>
      </c>
      <c r="W546" s="699">
        <f t="shared" si="830"/>
        <v>0</v>
      </c>
      <c r="X546" s="699">
        <f t="shared" si="831"/>
        <v>0</v>
      </c>
      <c r="Y546" s="699">
        <f t="shared" si="832"/>
        <v>0</v>
      </c>
      <c r="Z546" s="699">
        <f t="shared" si="833"/>
        <v>0</v>
      </c>
      <c r="AA546" s="699">
        <f t="shared" si="834"/>
        <v>0</v>
      </c>
      <c r="AB546" s="699">
        <f t="shared" si="835"/>
        <v>0</v>
      </c>
      <c r="AC546" s="699">
        <f t="shared" si="836"/>
        <v>0</v>
      </c>
      <c r="AD546" s="699">
        <f t="shared" si="837"/>
        <v>0</v>
      </c>
      <c r="AE546" s="699">
        <f t="shared" si="838"/>
        <v>0</v>
      </c>
      <c r="AF546" s="699">
        <f t="shared" si="839"/>
        <v>0</v>
      </c>
      <c r="AG546" s="699">
        <f t="shared" si="840"/>
        <v>0</v>
      </c>
      <c r="AI546" s="698" t="e">
        <f t="shared" si="823"/>
        <v>#DIV/0!</v>
      </c>
      <c r="AJ546" s="698"/>
      <c r="AK546" s="698"/>
      <c r="AL546" s="4" t="str">
        <f>$A546&amp;$C371&amp;InputSheet!C$43&amp;InputSheet!D$43</f>
        <v>Option Year 14ESDOverheadGovt</v>
      </c>
      <c r="AM546" s="700" t="e">
        <f t="shared" si="824"/>
        <v>#DIV/0!</v>
      </c>
      <c r="AP546" s="387" t="e">
        <f t="shared" si="796"/>
        <v>#DIV/0!</v>
      </c>
    </row>
    <row r="547" spans="1:42">
      <c r="A547" s="6" t="str">
        <f t="shared" si="825"/>
        <v>Option Year 14</v>
      </c>
      <c r="B547" s="6" t="str">
        <f t="shared" si="821"/>
        <v>Material Handling</v>
      </c>
      <c r="E547" s="698">
        <f>IF(E543="",0,INDEX(Input_Range,MATCH((C371&amp;B547),Input_Call,0),MATCH(E543,Input_Header,0)))</f>
        <v>0</v>
      </c>
      <c r="F547" s="698">
        <f>IF(F543="",0,INDEX(Input_Range,MATCH((C371&amp;B547),Input_Call,0),MATCH(F543,Input_Header,0)))</f>
        <v>0</v>
      </c>
      <c r="G547" s="698">
        <f>IF(G543="",0,INDEX(Input_Range,MATCH((C371&amp;B547),Input_Call,0),MATCH(G543,Input_Header,0)))</f>
        <v>0</v>
      </c>
      <c r="H547" s="698">
        <f>IF(H543="",0,INDEX(Input_Range,MATCH((C371&amp;B547),Input_Call,0),MATCH(H543,Input_Header,0)))</f>
        <v>0</v>
      </c>
      <c r="I547" s="698">
        <f>IF(I543="",0,INDEX(Input_Range,MATCH((C371&amp;B547),Input_Call,0),MATCH(I543,Input_Header,0)))</f>
        <v>0</v>
      </c>
      <c r="J547" s="698">
        <f>IF(J543="",0,INDEX(Input_Range,MATCH((C371&amp;B547),Input_Call,0),MATCH(J543,Input_Header,0)))</f>
        <v>0</v>
      </c>
      <c r="K547" s="698">
        <f>IF(K543="",0,INDEX(Input_Range,MATCH((C371&amp;B547),Input_Call,0),MATCH(K543,Input_Header,0)))</f>
        <v>0</v>
      </c>
      <c r="L547" s="698">
        <f>IF(L543="",0,INDEX(Input_Range,MATCH((C371&amp;B547),Input_Call,0),MATCH(L543,Input_Header,0)))</f>
        <v>0</v>
      </c>
      <c r="M547" s="698">
        <f>IF(M543="",0,INDEX(Input_Range,MATCH((C371&amp;B547),Input_Call,0),MATCH(M543,Input_Header,0)))</f>
        <v>0</v>
      </c>
      <c r="N547" s="698">
        <f>IF(N543="",0,INDEX(Input_Range,MATCH((C371&amp;B547),Input_Call,0),MATCH(N543,Input_Header,0)))</f>
        <v>0</v>
      </c>
      <c r="O547" s="698">
        <f>IF(O543="",0,INDEX(Input_Range,MATCH((C371&amp;B547),Input_Call,0),MATCH(O543,Input_Header,0)))</f>
        <v>0</v>
      </c>
      <c r="P547" s="698">
        <f>IF(P543="",0,INDEX(Input_Range,MATCH((C371&amp;B547),Input_Call,0),MATCH(P543,Input_Header,0)))</f>
        <v>0</v>
      </c>
      <c r="Q547" s="698">
        <f>IF(Q543="",0,INDEX(Input_Range,MATCH((C371&amp;B547),Input_Call,0),MATCH(Q543,Input_Header,0)))</f>
        <v>0</v>
      </c>
      <c r="R547" s="698">
        <f t="shared" si="826"/>
        <v>0</v>
      </c>
      <c r="T547" s="699">
        <f t="shared" si="827"/>
        <v>0</v>
      </c>
      <c r="U547" s="699">
        <f t="shared" si="828"/>
        <v>0</v>
      </c>
      <c r="V547" s="699">
        <f t="shared" si="829"/>
        <v>0</v>
      </c>
      <c r="W547" s="699">
        <f t="shared" si="830"/>
        <v>0</v>
      </c>
      <c r="X547" s="699">
        <f t="shared" si="831"/>
        <v>0</v>
      </c>
      <c r="Y547" s="699">
        <f t="shared" si="832"/>
        <v>0</v>
      </c>
      <c r="Z547" s="699">
        <f t="shared" si="833"/>
        <v>0</v>
      </c>
      <c r="AA547" s="699">
        <f t="shared" si="834"/>
        <v>0</v>
      </c>
      <c r="AB547" s="699">
        <f t="shared" si="835"/>
        <v>0</v>
      </c>
      <c r="AC547" s="699">
        <f t="shared" si="836"/>
        <v>0</v>
      </c>
      <c r="AD547" s="699">
        <f t="shared" si="837"/>
        <v>0</v>
      </c>
      <c r="AE547" s="699">
        <f t="shared" si="838"/>
        <v>0</v>
      </c>
      <c r="AF547" s="699">
        <f t="shared" si="839"/>
        <v>0</v>
      </c>
      <c r="AG547" s="699">
        <f t="shared" si="840"/>
        <v>0</v>
      </c>
      <c r="AI547" s="698" t="e">
        <f t="shared" si="823"/>
        <v>#DIV/0!</v>
      </c>
      <c r="AJ547" s="698"/>
      <c r="AK547" s="698"/>
      <c r="AL547" s="4" t="str">
        <f>$A547&amp;$C371&amp;InputSheet!C$44&amp;InputSheet!D$44</f>
        <v>Option Year 14ESDMHContr/Govt</v>
      </c>
      <c r="AM547" s="700" t="e">
        <f t="shared" si="824"/>
        <v>#DIV/0!</v>
      </c>
      <c r="AP547" s="387" t="e">
        <f t="shared" si="796"/>
        <v>#DIV/0!</v>
      </c>
    </row>
    <row r="548" spans="1:42">
      <c r="A548" s="6" t="str">
        <f t="shared" si="825"/>
        <v>Option Year 14</v>
      </c>
      <c r="B548" s="6" t="str">
        <f t="shared" si="821"/>
        <v>G&amp;A</v>
      </c>
      <c r="E548" s="698">
        <f>IF(E543="",0,INDEX(Input_Range,MATCH((C371&amp;B548),Input_Call,0),MATCH(E543,Input_Header,0)))</f>
        <v>0</v>
      </c>
      <c r="F548" s="698">
        <f>IF(F543="",0,INDEX(Input_Range,MATCH((C371&amp;B548),Input_Call,0),MATCH(F543,Input_Header,0)))</f>
        <v>0</v>
      </c>
      <c r="G548" s="698">
        <f>IF(G543="",0,INDEX(Input_Range,MATCH((C371&amp;B548),Input_Call,0),MATCH(G543,Input_Header,0)))</f>
        <v>0</v>
      </c>
      <c r="H548" s="698">
        <f>IF(H543="",0,INDEX(Input_Range,MATCH((C371&amp;B548),Input_Call,0),MATCH(H543,Input_Header,0)))</f>
        <v>0</v>
      </c>
      <c r="I548" s="698">
        <f>IF(I543="",0,INDEX(Input_Range,MATCH((C371&amp;B548),Input_Call,0),MATCH(I543,Input_Header,0)))</f>
        <v>0</v>
      </c>
      <c r="J548" s="698">
        <f>IF(J543="",0,INDEX(Input_Range,MATCH((C371&amp;B548),Input_Call,0),MATCH(J543,Input_Header,0)))</f>
        <v>0</v>
      </c>
      <c r="K548" s="698">
        <f>IF(K543="",0,INDEX(Input_Range,MATCH((C371&amp;B548),Input_Call,0),MATCH(K543,Input_Header,0)))</f>
        <v>0</v>
      </c>
      <c r="L548" s="698">
        <f>IF(L543="",0,INDEX(Input_Range,MATCH((C371&amp;B548),Input_Call,0),MATCH(L543,Input_Header,0)))</f>
        <v>0</v>
      </c>
      <c r="M548" s="698">
        <f>IF(M543="",0,INDEX(Input_Range,MATCH((C371&amp;B548),Input_Call,0),MATCH(M543,Input_Header,0)))</f>
        <v>0</v>
      </c>
      <c r="N548" s="698">
        <f>IF(N543="",0,INDEX(Input_Range,MATCH((C371&amp;B548),Input_Call,0),MATCH(N543,Input_Header,0)))</f>
        <v>0</v>
      </c>
      <c r="O548" s="698">
        <f>IF(O543="",0,INDEX(Input_Range,MATCH((C371&amp;B548),Input_Call,0),MATCH(O543,Input_Header,0)))</f>
        <v>0</v>
      </c>
      <c r="P548" s="698">
        <f>IF(P543="",0,INDEX(Input_Range,MATCH((C371&amp;B548),Input_Call,0),MATCH(P543,Input_Header,0)))</f>
        <v>0</v>
      </c>
      <c r="Q548" s="698">
        <f>IF(Q543="",0,INDEX(Input_Range,MATCH((C371&amp;B548),Input_Call,0),MATCH(Q543,Input_Header,0)))</f>
        <v>0</v>
      </c>
      <c r="R548" s="698">
        <f t="shared" si="826"/>
        <v>0</v>
      </c>
      <c r="T548" s="699">
        <f t="shared" si="827"/>
        <v>0</v>
      </c>
      <c r="U548" s="699">
        <f t="shared" si="828"/>
        <v>0</v>
      </c>
      <c r="V548" s="699">
        <f t="shared" si="829"/>
        <v>0</v>
      </c>
      <c r="W548" s="699">
        <f t="shared" si="830"/>
        <v>0</v>
      </c>
      <c r="X548" s="699">
        <f t="shared" si="831"/>
        <v>0</v>
      </c>
      <c r="Y548" s="699">
        <f t="shared" si="832"/>
        <v>0</v>
      </c>
      <c r="Z548" s="699">
        <f t="shared" si="833"/>
        <v>0</v>
      </c>
      <c r="AA548" s="699">
        <f t="shared" si="834"/>
        <v>0</v>
      </c>
      <c r="AB548" s="699">
        <f t="shared" si="835"/>
        <v>0</v>
      </c>
      <c r="AC548" s="699">
        <f t="shared" si="836"/>
        <v>0</v>
      </c>
      <c r="AD548" s="699">
        <f t="shared" si="837"/>
        <v>0</v>
      </c>
      <c r="AE548" s="699">
        <f t="shared" si="838"/>
        <v>0</v>
      </c>
      <c r="AF548" s="699">
        <f t="shared" si="839"/>
        <v>0</v>
      </c>
      <c r="AG548" s="699">
        <f t="shared" si="840"/>
        <v>0</v>
      </c>
      <c r="AI548" s="698" t="e">
        <f t="shared" si="823"/>
        <v>#DIV/0!</v>
      </c>
      <c r="AJ548" s="698"/>
      <c r="AK548" s="698"/>
      <c r="AL548" s="4" t="str">
        <f>$A548&amp;$C371&amp;InputSheet!C$45&amp;InputSheet!D$45</f>
        <v>Option Year 14ESDG&amp;AContr/Govt</v>
      </c>
      <c r="AM548" s="700" t="e">
        <f t="shared" si="824"/>
        <v>#DIV/0!</v>
      </c>
      <c r="AP548" s="387" t="e">
        <f t="shared" si="796"/>
        <v>#DIV/0!</v>
      </c>
    </row>
    <row r="549" spans="1:42" outlineLevel="1">
      <c r="A549" s="6" t="str">
        <f t="shared" si="825"/>
        <v>Option Year 14</v>
      </c>
      <c r="B549" s="6" t="str">
        <f t="shared" si="821"/>
        <v>TBD1</v>
      </c>
      <c r="E549" s="21">
        <f>IF(E543="",0,INDEX(Input_Range,MATCH((C371&amp;B549),Input_Call,0),MATCH(E543,Input_Header,0)))</f>
        <v>0</v>
      </c>
      <c r="F549" s="21">
        <f>IF(F543="",0,INDEX(Input_Range,MATCH((C371&amp;B549),Input_Call,0),MATCH(F543,Input_Header,0)))</f>
        <v>0</v>
      </c>
      <c r="G549" s="21">
        <f>IF(G543="",0,INDEX(Input_Range,MATCH((C371&amp;B549),Input_Call,0),MATCH(G543,Input_Header,0)))</f>
        <v>0</v>
      </c>
      <c r="H549" s="21">
        <f>IF(H543="",0,INDEX(Input_Range,MATCH((C371&amp;B549),Input_Call,0),MATCH(H543,Input_Header,0)))</f>
        <v>0</v>
      </c>
      <c r="I549" s="21">
        <f>IF(I543="",0,INDEX(Input_Range,MATCH((C371&amp;B549),Input_Call,0),MATCH(I543,Input_Header,0)))</f>
        <v>0</v>
      </c>
      <c r="J549" s="21">
        <f>IF(J543="",0,INDEX(Input_Range,MATCH((C371&amp;B549),Input_Call,0),MATCH(J543,Input_Header,0)))</f>
        <v>0</v>
      </c>
      <c r="K549" s="21">
        <f>IF(K543="",0,INDEX(Input_Range,MATCH((C371&amp;B549),Input_Call,0),MATCH(K543,Input_Header,0)))</f>
        <v>0</v>
      </c>
      <c r="L549" s="21">
        <f>IF(L543="",0,INDEX(Input_Range,MATCH((C371&amp;B549),Input_Call,0),MATCH(L543,Input_Header,0)))</f>
        <v>0</v>
      </c>
      <c r="M549" s="21">
        <f>IF(M543="",0,INDEX(Input_Range,MATCH((C371&amp;B549),Input_Call,0),MATCH(M543,Input_Header,0)))</f>
        <v>0</v>
      </c>
      <c r="N549" s="21">
        <f>IF(N543="",0,INDEX(Input_Range,MATCH((C371&amp;B549),Input_Call,0),MATCH(N543,Input_Header,0)))</f>
        <v>0</v>
      </c>
      <c r="O549" s="21">
        <f>IF(O543="",0,INDEX(Input_Range,MATCH((C371&amp;B549),Input_Call,0),MATCH(O543,Input_Header,0)))</f>
        <v>0</v>
      </c>
      <c r="P549" s="21">
        <f>IF(P543="",0,INDEX(Input_Range,MATCH((C371&amp;B549),Input_Call,0),MATCH(P543,Input_Header,0)))</f>
        <v>0</v>
      </c>
      <c r="Q549" s="21">
        <f>IF(Q543="",0,INDEX(Input_Range,MATCH((C371&amp;B549),Input_Call,0),MATCH(Q543,Input_Header,0)))</f>
        <v>0</v>
      </c>
      <c r="R549" s="698">
        <f t="shared" si="826"/>
        <v>0</v>
      </c>
      <c r="T549" s="699">
        <f t="shared" si="827"/>
        <v>0</v>
      </c>
      <c r="U549" s="699">
        <f t="shared" si="828"/>
        <v>0</v>
      </c>
      <c r="V549" s="699">
        <f t="shared" si="829"/>
        <v>0</v>
      </c>
      <c r="W549" s="699">
        <f t="shared" si="830"/>
        <v>0</v>
      </c>
      <c r="X549" s="699">
        <f t="shared" si="831"/>
        <v>0</v>
      </c>
      <c r="Y549" s="699">
        <f t="shared" si="832"/>
        <v>0</v>
      </c>
      <c r="Z549" s="699">
        <f t="shared" si="833"/>
        <v>0</v>
      </c>
      <c r="AA549" s="699">
        <f t="shared" si="834"/>
        <v>0</v>
      </c>
      <c r="AB549" s="699">
        <f t="shared" si="835"/>
        <v>0</v>
      </c>
      <c r="AC549" s="699">
        <f t="shared" si="836"/>
        <v>0</v>
      </c>
      <c r="AD549" s="699">
        <f t="shared" si="837"/>
        <v>0</v>
      </c>
      <c r="AE549" s="699">
        <f t="shared" si="838"/>
        <v>0</v>
      </c>
      <c r="AF549" s="699">
        <f t="shared" si="839"/>
        <v>0</v>
      </c>
      <c r="AG549" s="699">
        <f t="shared" si="840"/>
        <v>0</v>
      </c>
      <c r="AI549" s="698" t="e">
        <f t="shared" si="823"/>
        <v>#DIV/0!</v>
      </c>
      <c r="AJ549" s="21"/>
      <c r="AK549" s="21"/>
      <c r="AL549" s="4" t="str">
        <f>$A549&amp;$C371&amp;InputSheet!C$46&amp;InputSheet!D$46</f>
        <v>Option Year 14ESDTBD1Contr/Govt</v>
      </c>
      <c r="AM549" s="700" t="e">
        <f t="shared" si="824"/>
        <v>#DIV/0!</v>
      </c>
      <c r="AP549" s="387" t="e">
        <f t="shared" si="796"/>
        <v>#DIV/0!</v>
      </c>
    </row>
    <row r="550" spans="1:42" outlineLevel="1">
      <c r="A550" s="6" t="str">
        <f t="shared" si="825"/>
        <v>Option Year 14</v>
      </c>
      <c r="B550" s="6" t="str">
        <f t="shared" si="821"/>
        <v>TBD2</v>
      </c>
      <c r="E550" s="21">
        <f>IF(E543="",0,INDEX(Input_Range,MATCH((C371&amp;B550),Input_Call,0),MATCH(E543,Input_Header,0)))</f>
        <v>0</v>
      </c>
      <c r="F550" s="21">
        <f>IF(F543="",0,INDEX(Input_Range,MATCH((C371&amp;B550),Input_Call,0),MATCH(F543,Input_Header,0)))</f>
        <v>0</v>
      </c>
      <c r="G550" s="21">
        <f>IF(G543="",0,INDEX(Input_Range,MATCH((C371&amp;B550),Input_Call,0),MATCH(G543,Input_Header,0)))</f>
        <v>0</v>
      </c>
      <c r="H550" s="21">
        <f>IF(H543="",0,INDEX(Input_Range,MATCH((C371&amp;B550),Input_Call,0),MATCH(H543,Input_Header,0)))</f>
        <v>0</v>
      </c>
      <c r="I550" s="21">
        <f>IF(I543="",0,INDEX(Input_Range,MATCH((C371&amp;B550),Input_Call,0),MATCH(I543,Input_Header,0)))</f>
        <v>0</v>
      </c>
      <c r="J550" s="21">
        <f>IF(J543="",0,INDEX(Input_Range,MATCH((C371&amp;B550),Input_Call,0),MATCH(J543,Input_Header,0)))</f>
        <v>0</v>
      </c>
      <c r="K550" s="21">
        <f>IF(K543="",0,INDEX(Input_Range,MATCH((C371&amp;B550),Input_Call,0),MATCH(K543,Input_Header,0)))</f>
        <v>0</v>
      </c>
      <c r="L550" s="21">
        <f>IF(L543="",0,INDEX(Input_Range,MATCH((C371&amp;B550),Input_Call,0),MATCH(L543,Input_Header,0)))</f>
        <v>0</v>
      </c>
      <c r="M550" s="21">
        <f>IF(M543="",0,INDEX(Input_Range,MATCH((C371&amp;B550),Input_Call,0),MATCH(M543,Input_Header,0)))</f>
        <v>0</v>
      </c>
      <c r="N550" s="21">
        <f>IF(N543="",0,INDEX(Input_Range,MATCH((C371&amp;B550),Input_Call,0),MATCH(N543,Input_Header,0)))</f>
        <v>0</v>
      </c>
      <c r="O550" s="21">
        <f>IF(O543="",0,INDEX(Input_Range,MATCH((C371&amp;B550),Input_Call,0),MATCH(O543,Input_Header,0)))</f>
        <v>0</v>
      </c>
      <c r="P550" s="21">
        <f>IF(P543="",0,INDEX(Input_Range,MATCH((C371&amp;B550),Input_Call,0),MATCH(P543,Input_Header,0)))</f>
        <v>0</v>
      </c>
      <c r="Q550" s="21">
        <f>IF(Q543="",0,INDEX(Input_Range,MATCH((C371&amp;B550),Input_Call,0),MATCH(Q543,Input_Header,0)))</f>
        <v>0</v>
      </c>
      <c r="R550" s="698">
        <f t="shared" si="826"/>
        <v>0</v>
      </c>
      <c r="T550" s="699">
        <f t="shared" si="827"/>
        <v>0</v>
      </c>
      <c r="U550" s="699">
        <f t="shared" si="828"/>
        <v>0</v>
      </c>
      <c r="V550" s="699">
        <f t="shared" si="829"/>
        <v>0</v>
      </c>
      <c r="W550" s="699">
        <f t="shared" si="830"/>
        <v>0</v>
      </c>
      <c r="X550" s="699">
        <f t="shared" si="831"/>
        <v>0</v>
      </c>
      <c r="Y550" s="699">
        <f t="shared" si="832"/>
        <v>0</v>
      </c>
      <c r="Z550" s="699">
        <f t="shared" si="833"/>
        <v>0</v>
      </c>
      <c r="AA550" s="699">
        <f t="shared" si="834"/>
        <v>0</v>
      </c>
      <c r="AB550" s="699">
        <f t="shared" si="835"/>
        <v>0</v>
      </c>
      <c r="AC550" s="699">
        <f t="shared" si="836"/>
        <v>0</v>
      </c>
      <c r="AD550" s="699">
        <f t="shared" si="837"/>
        <v>0</v>
      </c>
      <c r="AE550" s="699">
        <f t="shared" si="838"/>
        <v>0</v>
      </c>
      <c r="AF550" s="699">
        <f t="shared" si="839"/>
        <v>0</v>
      </c>
      <c r="AG550" s="699">
        <f t="shared" si="840"/>
        <v>0</v>
      </c>
      <c r="AI550" s="698" t="e">
        <f t="shared" si="823"/>
        <v>#DIV/0!</v>
      </c>
      <c r="AJ550" s="21"/>
      <c r="AK550" s="21"/>
      <c r="AL550" s="4" t="str">
        <f>$A550&amp;$C371&amp;InputSheet!C$47&amp;InputSheet!D$47</f>
        <v>Option Year 14ESDTBD2Contr/Govt</v>
      </c>
      <c r="AM550" s="700" t="e">
        <f t="shared" si="824"/>
        <v>#DIV/0!</v>
      </c>
      <c r="AP550" s="387" t="e">
        <f t="shared" si="796"/>
        <v>#DIV/0!</v>
      </c>
    </row>
    <row r="551" spans="1:42" outlineLevel="1">
      <c r="A551" s="6" t="str">
        <f t="shared" si="825"/>
        <v>Option Year 14</v>
      </c>
      <c r="B551" s="6" t="str">
        <f t="shared" si="821"/>
        <v>TBD3</v>
      </c>
      <c r="E551" s="21">
        <f>IF(E543="",0,INDEX(Input_Range,MATCH((C371&amp;B551),Input_Call,0),MATCH(E543,Input_Header,0)))</f>
        <v>0</v>
      </c>
      <c r="F551" s="21">
        <f>IF(F543="",0,INDEX(Input_Range,MATCH((C371&amp;B551),Input_Call,0),MATCH(F543,Input_Header,0)))</f>
        <v>0</v>
      </c>
      <c r="G551" s="21">
        <f>IF(G543="",0,INDEX(Input_Range,MATCH((C371&amp;B551),Input_Call,0),MATCH(G543,Input_Header,0)))</f>
        <v>0</v>
      </c>
      <c r="H551" s="21">
        <f>IF(H543="",0,INDEX(Input_Range,MATCH((C371&amp;B551),Input_Call,0),MATCH(H543,Input_Header,0)))</f>
        <v>0</v>
      </c>
      <c r="I551" s="21">
        <f>IF(I543="",0,INDEX(Input_Range,MATCH((C371&amp;B551),Input_Call,0),MATCH(I543,Input_Header,0)))</f>
        <v>0</v>
      </c>
      <c r="J551" s="21">
        <f>IF(J543="",0,INDEX(Input_Range,MATCH((C371&amp;B551),Input_Call,0),MATCH(J543,Input_Header,0)))</f>
        <v>0</v>
      </c>
      <c r="K551" s="21">
        <f>IF(K543="",0,INDEX(Input_Range,MATCH((C371&amp;B551),Input_Call,0),MATCH(K543,Input_Header,0)))</f>
        <v>0</v>
      </c>
      <c r="L551" s="21">
        <f>IF(L543="",0,INDEX(Input_Range,MATCH((C371&amp;B551),Input_Call,0),MATCH(L543,Input_Header,0)))</f>
        <v>0</v>
      </c>
      <c r="M551" s="21">
        <f>IF(M543="",0,INDEX(Input_Range,MATCH((C371&amp;B551),Input_Call,0),MATCH(M543,Input_Header,0)))</f>
        <v>0</v>
      </c>
      <c r="N551" s="21">
        <f>IF(N543="",0,INDEX(Input_Range,MATCH((C371&amp;B551),Input_Call,0),MATCH(N543,Input_Header,0)))</f>
        <v>0</v>
      </c>
      <c r="O551" s="21">
        <f>IF(O543="",0,INDEX(Input_Range,MATCH((C371&amp;B551),Input_Call,0),MATCH(O543,Input_Header,0)))</f>
        <v>0</v>
      </c>
      <c r="P551" s="21">
        <f>IF(P543="",0,INDEX(Input_Range,MATCH((C371&amp;B551),Input_Call,0),MATCH(P543,Input_Header,0)))</f>
        <v>0</v>
      </c>
      <c r="Q551" s="21">
        <f>IF(Q543="",0,INDEX(Input_Range,MATCH((C371&amp;B551),Input_Call,0),MATCH(Q543,Input_Header,0)))</f>
        <v>0</v>
      </c>
      <c r="R551" s="698">
        <f t="shared" si="826"/>
        <v>0</v>
      </c>
      <c r="T551" s="699">
        <f t="shared" si="827"/>
        <v>0</v>
      </c>
      <c r="U551" s="699">
        <f t="shared" si="828"/>
        <v>0</v>
      </c>
      <c r="V551" s="699">
        <f t="shared" si="829"/>
        <v>0</v>
      </c>
      <c r="W551" s="699">
        <f t="shared" si="830"/>
        <v>0</v>
      </c>
      <c r="X551" s="699">
        <f t="shared" si="831"/>
        <v>0</v>
      </c>
      <c r="Y551" s="699">
        <f t="shared" si="832"/>
        <v>0</v>
      </c>
      <c r="Z551" s="699">
        <f t="shared" si="833"/>
        <v>0</v>
      </c>
      <c r="AA551" s="699">
        <f t="shared" si="834"/>
        <v>0</v>
      </c>
      <c r="AB551" s="699">
        <f t="shared" si="835"/>
        <v>0</v>
      </c>
      <c r="AC551" s="699">
        <f t="shared" si="836"/>
        <v>0</v>
      </c>
      <c r="AD551" s="699">
        <f t="shared" si="837"/>
        <v>0</v>
      </c>
      <c r="AE551" s="699">
        <f t="shared" si="838"/>
        <v>0</v>
      </c>
      <c r="AF551" s="699">
        <f t="shared" si="839"/>
        <v>0</v>
      </c>
      <c r="AG551" s="699">
        <f t="shared" si="840"/>
        <v>0</v>
      </c>
      <c r="AI551" s="698" t="e">
        <f t="shared" si="823"/>
        <v>#DIV/0!</v>
      </c>
      <c r="AJ551" s="21"/>
      <c r="AK551" s="21"/>
      <c r="AL551" s="4" t="str">
        <f>$A551&amp;$C371&amp;InputSheet!C$48&amp;InputSheet!D$48</f>
        <v>Option Year 14ESDTBD3Contr/Govt</v>
      </c>
      <c r="AM551" s="700" t="e">
        <f t="shared" si="824"/>
        <v>#DIV/0!</v>
      </c>
      <c r="AP551" s="387" t="e">
        <f t="shared" si="796"/>
        <v>#DIV/0!</v>
      </c>
    </row>
    <row r="552" spans="1:42">
      <c r="E552" s="698"/>
      <c r="F552" s="698"/>
      <c r="G552" s="698"/>
      <c r="H552" s="698"/>
      <c r="I552" s="698"/>
      <c r="J552" s="698"/>
      <c r="K552" s="698"/>
      <c r="L552" s="698"/>
      <c r="M552" s="698"/>
      <c r="N552" s="698"/>
      <c r="O552" s="698"/>
      <c r="P552" s="698"/>
      <c r="Q552" s="698"/>
      <c r="R552" s="698"/>
      <c r="AI552" s="21"/>
      <c r="AJ552" s="21"/>
      <c r="AK552" s="21"/>
      <c r="AP552" s="387"/>
    </row>
  </sheetData>
  <autoFilter ref="AP11:AP552"/>
  <mergeCells count="90">
    <mergeCell ref="E192:R192"/>
    <mergeCell ref="T192:AG192"/>
    <mergeCell ref="E204:R204"/>
    <mergeCell ref="T204:AG204"/>
    <mergeCell ref="E216:R216"/>
    <mergeCell ref="T216:AG216"/>
    <mergeCell ref="E542:R542"/>
    <mergeCell ref="T542:AG542"/>
    <mergeCell ref="E154:R154"/>
    <mergeCell ref="T154:AG154"/>
    <mergeCell ref="E166:R166"/>
    <mergeCell ref="T166:AG166"/>
    <mergeCell ref="E178:R178"/>
    <mergeCell ref="T178:AG178"/>
    <mergeCell ref="E324:R324"/>
    <mergeCell ref="T324:AG324"/>
    <mergeCell ref="E506:R506"/>
    <mergeCell ref="T506:AG506"/>
    <mergeCell ref="E518:R518"/>
    <mergeCell ref="T518:AG518"/>
    <mergeCell ref="E530:R530"/>
    <mergeCell ref="T530:AG530"/>
    <mergeCell ref="E458:R458"/>
    <mergeCell ref="T458:AG458"/>
    <mergeCell ref="E482:R482"/>
    <mergeCell ref="T482:AG482"/>
    <mergeCell ref="E494:R494"/>
    <mergeCell ref="T494:AG494"/>
    <mergeCell ref="E410:R410"/>
    <mergeCell ref="T410:AG410"/>
    <mergeCell ref="E422:R422"/>
    <mergeCell ref="T422:AG422"/>
    <mergeCell ref="E470:R470"/>
    <mergeCell ref="T470:AG470"/>
    <mergeCell ref="E434:R434"/>
    <mergeCell ref="T434:AG434"/>
    <mergeCell ref="E446:R446"/>
    <mergeCell ref="T446:AG446"/>
    <mergeCell ref="E374:R374"/>
    <mergeCell ref="T374:AG374"/>
    <mergeCell ref="E386:R386"/>
    <mergeCell ref="T386:AG386"/>
    <mergeCell ref="E398:R398"/>
    <mergeCell ref="T398:AG398"/>
    <mergeCell ref="E130:R130"/>
    <mergeCell ref="E142:R142"/>
    <mergeCell ref="E58:R58"/>
    <mergeCell ref="E70:R70"/>
    <mergeCell ref="E82:R82"/>
    <mergeCell ref="E94:R94"/>
    <mergeCell ref="T10:AG10"/>
    <mergeCell ref="T22:AG22"/>
    <mergeCell ref="T34:AG34"/>
    <mergeCell ref="T46:AG46"/>
    <mergeCell ref="E106:R106"/>
    <mergeCell ref="E118:R118"/>
    <mergeCell ref="E10:R10"/>
    <mergeCell ref="E22:R22"/>
    <mergeCell ref="E34:R34"/>
    <mergeCell ref="E46:R46"/>
    <mergeCell ref="T106:AG106"/>
    <mergeCell ref="T118:AG118"/>
    <mergeCell ref="T130:AG130"/>
    <mergeCell ref="T142:AG142"/>
    <mergeCell ref="T58:AG58"/>
    <mergeCell ref="T70:AG70"/>
    <mergeCell ref="T82:AG82"/>
    <mergeCell ref="T94:AG94"/>
    <mergeCell ref="E252:R252"/>
    <mergeCell ref="T252:AG252"/>
    <mergeCell ref="E264:R264"/>
    <mergeCell ref="T264:AG264"/>
    <mergeCell ref="E228:R228"/>
    <mergeCell ref="T228:AG228"/>
    <mergeCell ref="E240:R240"/>
    <mergeCell ref="T240:AG240"/>
    <mergeCell ref="E300:R300"/>
    <mergeCell ref="T300:AG300"/>
    <mergeCell ref="E312:R312"/>
    <mergeCell ref="T312:AG312"/>
    <mergeCell ref="E276:R276"/>
    <mergeCell ref="T276:AG276"/>
    <mergeCell ref="E288:R288"/>
    <mergeCell ref="T288:AG288"/>
    <mergeCell ref="E360:R360"/>
    <mergeCell ref="T360:AG360"/>
    <mergeCell ref="E336:R336"/>
    <mergeCell ref="T336:AG336"/>
    <mergeCell ref="E348:R348"/>
    <mergeCell ref="T348:AG348"/>
  </mergeCells>
  <phoneticPr fontId="0" type="noConversion"/>
  <printOptions horizontalCentered="1"/>
  <pageMargins left="1" right="1" top="1" bottom="1" header="0.5" footer="0.5"/>
  <pageSetup scale="51" orientation="landscape" r:id="rId1"/>
  <headerFooter alignWithMargins="0"/>
  <rowBreaks count="2" manualBreakCount="2">
    <brk id="68" min="1" max="33" man="1"/>
    <brk id="128" min="1" max="33" man="1"/>
  </rowBreaks>
</worksheet>
</file>

<file path=xl/worksheets/sheet27.xml><?xml version="1.0" encoding="utf-8"?>
<worksheet xmlns="http://schemas.openxmlformats.org/spreadsheetml/2006/main" xmlns:r="http://schemas.openxmlformats.org/officeDocument/2006/relationships">
  <sheetPr codeName="Sheet18"/>
  <dimension ref="B2:R11"/>
  <sheetViews>
    <sheetView workbookViewId="0">
      <selection activeCell="F17" sqref="F17"/>
    </sheetView>
  </sheetViews>
  <sheetFormatPr defaultRowHeight="12.75"/>
  <cols>
    <col min="3" max="3" width="7.7109375" bestFit="1" customWidth="1"/>
    <col min="7" max="7" width="11.28515625" bestFit="1" customWidth="1"/>
    <col min="8" max="8" width="19.42578125" bestFit="1" customWidth="1"/>
    <col min="9" max="9" width="4.140625" customWidth="1"/>
    <col min="14" max="14" width="8.7109375" bestFit="1" customWidth="1"/>
    <col min="15" max="15" width="7.7109375" bestFit="1" customWidth="1"/>
    <col min="16" max="16" width="11.28515625" bestFit="1" customWidth="1"/>
    <col min="17" max="17" width="19.42578125" bestFit="1" customWidth="1"/>
    <col min="18" max="18" width="9.7109375" bestFit="1" customWidth="1"/>
  </cols>
  <sheetData>
    <row r="2" spans="2:18" ht="13.5" thickBot="1"/>
    <row r="3" spans="2:18">
      <c r="B3" s="1218" t="s">
        <v>900</v>
      </c>
      <c r="C3" s="1219"/>
      <c r="D3" s="1219"/>
      <c r="E3" s="1219"/>
      <c r="F3" s="1219"/>
      <c r="G3" s="1219"/>
      <c r="H3" s="1220"/>
      <c r="J3" s="1218" t="s">
        <v>901</v>
      </c>
      <c r="K3" s="1219"/>
      <c r="L3" s="1219"/>
      <c r="M3" s="1219"/>
      <c r="N3" s="1219"/>
      <c r="O3" s="1219"/>
      <c r="P3" s="1219"/>
      <c r="Q3" s="1220"/>
    </row>
    <row r="4" spans="2:18">
      <c r="B4" s="1001"/>
      <c r="C4" s="1003"/>
      <c r="D4" s="1004">
        <v>0.35</v>
      </c>
      <c r="E4" s="1004">
        <v>0.35</v>
      </c>
      <c r="F4" s="1003"/>
      <c r="G4" s="1003"/>
      <c r="H4" s="1005"/>
      <c r="J4" s="1001"/>
      <c r="K4" s="1003"/>
      <c r="L4" s="1004">
        <v>0.35</v>
      </c>
      <c r="M4" s="1004">
        <v>0.35</v>
      </c>
      <c r="N4" s="1010">
        <v>10000</v>
      </c>
      <c r="O4" s="1003"/>
      <c r="P4" s="1003"/>
      <c r="Q4" s="1005"/>
    </row>
    <row r="5" spans="2:18">
      <c r="B5" s="1001"/>
      <c r="C5" s="1003" t="s">
        <v>609</v>
      </c>
      <c r="D5" s="1003" t="s">
        <v>895</v>
      </c>
      <c r="E5" s="1003" t="s">
        <v>896</v>
      </c>
      <c r="F5" s="1003" t="s">
        <v>609</v>
      </c>
      <c r="G5" s="1003" t="s">
        <v>76</v>
      </c>
      <c r="H5" s="1005" t="s">
        <v>902</v>
      </c>
      <c r="J5" s="1001"/>
      <c r="K5" s="1003" t="s">
        <v>609</v>
      </c>
      <c r="L5" s="1003" t="s">
        <v>895</v>
      </c>
      <c r="M5" s="1003" t="s">
        <v>896</v>
      </c>
      <c r="N5" s="1003" t="s">
        <v>899</v>
      </c>
      <c r="O5" s="1003" t="s">
        <v>609</v>
      </c>
      <c r="P5" s="1003" t="s">
        <v>76</v>
      </c>
      <c r="Q5" s="1005" t="s">
        <v>902</v>
      </c>
    </row>
    <row r="6" spans="2:18">
      <c r="B6" s="997"/>
      <c r="C6" s="842"/>
      <c r="D6" s="842"/>
      <c r="E6" s="842"/>
      <c r="F6" s="842"/>
      <c r="G6" s="842"/>
      <c r="H6" s="998"/>
      <c r="J6" s="997"/>
      <c r="K6" s="842"/>
      <c r="L6" s="842"/>
      <c r="M6" s="842"/>
      <c r="N6" s="842"/>
      <c r="O6" s="842"/>
      <c r="P6" s="842"/>
      <c r="Q6" s="998"/>
    </row>
    <row r="7" spans="2:18">
      <c r="B7" s="1001" t="s">
        <v>898</v>
      </c>
      <c r="C7" s="996">
        <v>33.806626098715341</v>
      </c>
      <c r="D7" s="1006">
        <f>C7*$D$4</f>
        <v>11.832319134550369</v>
      </c>
      <c r="E7" s="1006">
        <f>C7*$E$4</f>
        <v>11.832319134550369</v>
      </c>
      <c r="F7" s="1006">
        <f>SUM(C7:E7)</f>
        <v>57.471264367816076</v>
      </c>
      <c r="G7" s="842">
        <v>3480</v>
      </c>
      <c r="H7" s="1008">
        <f>F7*G7</f>
        <v>199999.99999999994</v>
      </c>
      <c r="J7" s="1001" t="s">
        <v>898</v>
      </c>
      <c r="K7" s="996">
        <v>32.116294793779574</v>
      </c>
      <c r="L7" s="996">
        <f>K7*$D$4</f>
        <v>11.24070317782285</v>
      </c>
      <c r="M7" s="996">
        <f>K7*$E$4</f>
        <v>11.24070317782285</v>
      </c>
      <c r="N7" s="996">
        <f>$N$4/P7</f>
        <v>2.8735632183908044</v>
      </c>
      <c r="O7" s="996">
        <f>SUM(K7:N7)</f>
        <v>57.471264367816083</v>
      </c>
      <c r="P7" s="842">
        <v>3480</v>
      </c>
      <c r="Q7" s="1008">
        <f>O7*P7</f>
        <v>199999.99999999997</v>
      </c>
      <c r="R7" s="995"/>
    </row>
    <row r="8" spans="2:18" ht="13.5" thickBot="1">
      <c r="B8" s="1002" t="s">
        <v>897</v>
      </c>
      <c r="C8" s="999">
        <v>42.258282623394187</v>
      </c>
      <c r="D8" s="1007">
        <f>C8*$D$4</f>
        <v>14.790398918187964</v>
      </c>
      <c r="E8" s="1007">
        <f>C8*$E$4</f>
        <v>14.790398918187964</v>
      </c>
      <c r="F8" s="1007">
        <f>SUM(C8:E8)</f>
        <v>71.839080459770116</v>
      </c>
      <c r="G8" s="1000">
        <v>3480</v>
      </c>
      <c r="H8" s="1009">
        <f>F8*G8</f>
        <v>250000</v>
      </c>
      <c r="J8" s="1002" t="s">
        <v>897</v>
      </c>
      <c r="K8" s="999">
        <v>40.567951318458405</v>
      </c>
      <c r="L8" s="999">
        <f>K8*$D$4</f>
        <v>14.198782961460441</v>
      </c>
      <c r="M8" s="999">
        <f>K8*$E$4</f>
        <v>14.198782961460441</v>
      </c>
      <c r="N8" s="999">
        <f>$N$4/P8</f>
        <v>2.8735632183908044</v>
      </c>
      <c r="O8" s="999">
        <f>SUM(K8:N8)</f>
        <v>71.839080459770088</v>
      </c>
      <c r="P8" s="1000">
        <v>3480</v>
      </c>
      <c r="Q8" s="1009">
        <f>O8*P8</f>
        <v>249999.99999999991</v>
      </c>
      <c r="R8" s="995"/>
    </row>
    <row r="11" spans="2:18">
      <c r="C11" s="877"/>
    </row>
  </sheetData>
  <mergeCells count="2">
    <mergeCell ref="B3:H3"/>
    <mergeCell ref="J3:Q3"/>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sheetPr>
    <tabColor indexed="57"/>
    <pageSetUpPr fitToPage="1"/>
  </sheetPr>
  <dimension ref="A1:AW97"/>
  <sheetViews>
    <sheetView showGridLines="0" view="pageBreakPreview" topLeftCell="E41" zoomScale="85" zoomScaleNormal="70" zoomScaleSheetLayoutView="85" workbookViewId="0">
      <selection activeCell="G71" sqref="G71"/>
    </sheetView>
  </sheetViews>
  <sheetFormatPr defaultRowHeight="12.75" outlineLevelRow="1" outlineLevelCol="1"/>
  <cols>
    <col min="1" max="1" width="9.5703125" style="8" bestFit="1" customWidth="1"/>
    <col min="2" max="2" width="9.5703125" style="8" customWidth="1"/>
    <col min="3" max="3" width="9.140625" style="8"/>
    <col min="4" max="4" width="3.85546875" style="8" customWidth="1"/>
    <col min="5" max="5" width="17.7109375" style="6" customWidth="1"/>
    <col min="6" max="7" width="10.5703125" style="6" customWidth="1"/>
    <col min="8" max="8" width="3" style="6" customWidth="1"/>
    <col min="9" max="9" width="11.28515625" style="6" bestFit="1" customWidth="1"/>
    <col min="10" max="10" width="16.5703125" style="6" hidden="1" customWidth="1" outlineLevel="1"/>
    <col min="11" max="11" width="20.42578125" style="6" hidden="1" customWidth="1" outlineLevel="1"/>
    <col min="12" max="12" width="14" style="6" bestFit="1" customWidth="1" collapsed="1"/>
    <col min="13" max="13" width="14.7109375" style="6" bestFit="1" customWidth="1"/>
    <col min="14" max="14" width="12" style="6" customWidth="1"/>
    <col min="15" max="15" width="11.140625" style="6" customWidth="1" outlineLevel="1"/>
    <col min="16" max="16" width="9.85546875" style="6" customWidth="1" outlineLevel="1"/>
    <col min="17" max="17" width="9.85546875" style="6" bestFit="1" customWidth="1"/>
    <col min="18" max="18" width="16.7109375" style="6" bestFit="1" customWidth="1"/>
    <col min="19" max="19" width="16.42578125" style="6" bestFit="1" customWidth="1" outlineLevel="1"/>
    <col min="20" max="20" width="12.42578125" style="6" bestFit="1" customWidth="1" outlineLevel="1"/>
    <col min="21" max="21" width="8.42578125" style="6" bestFit="1" customWidth="1" outlineLevel="1"/>
    <col min="22" max="22" width="10.5703125" style="6" customWidth="1"/>
    <col min="23" max="23" width="8.85546875" style="6" bestFit="1" customWidth="1"/>
    <col min="24" max="24" width="11.140625" style="6" customWidth="1"/>
    <col min="25" max="25" width="10" style="6" customWidth="1"/>
    <col min="26" max="26" width="10.42578125" style="6" customWidth="1"/>
    <col min="27" max="27" width="13.28515625" style="6" customWidth="1"/>
    <col min="28" max="28" width="12.42578125" style="6" customWidth="1" outlineLevel="1"/>
    <col min="29" max="31" width="10.7109375" style="6" customWidth="1" outlineLevel="1"/>
    <col min="32" max="32" width="9.85546875" style="6" customWidth="1" outlineLevel="1"/>
    <col min="33" max="38" width="11.140625" style="6" customWidth="1" outlineLevel="1"/>
    <col min="39" max="39" width="11.28515625" style="6" customWidth="1" outlineLevel="1"/>
    <col min="40" max="40" width="10.28515625" style="6" customWidth="1" outlineLevel="1"/>
    <col min="41" max="41" width="11.140625" style="6" customWidth="1" outlineLevel="1"/>
    <col min="42" max="42" width="10.7109375" style="6" customWidth="1" outlineLevel="1"/>
    <col min="43" max="43" width="3.5703125" style="8" customWidth="1" outlineLevel="1"/>
    <col min="44" max="44" width="13.7109375" style="6" customWidth="1" outlineLevel="1"/>
    <col min="45" max="45" width="13.7109375" style="8" customWidth="1"/>
    <col min="46" max="47" width="9.140625" style="8" customWidth="1"/>
    <col min="48" max="49" width="19.85546875" style="251" bestFit="1" customWidth="1"/>
    <col min="50" max="16384" width="9.140625" style="8"/>
  </cols>
  <sheetData>
    <row r="1" spans="1:49">
      <c r="E1" s="241" t="s">
        <v>666</v>
      </c>
      <c r="F1" s="242" t="str">
        <f>InputSheet!D1</f>
        <v>NCSA HQ 7010</v>
      </c>
      <c r="G1" s="243"/>
      <c r="H1" s="243"/>
      <c r="I1" s="243"/>
      <c r="J1" s="244"/>
      <c r="K1" s="244"/>
      <c r="L1" s="243"/>
      <c r="M1" s="245" t="s">
        <v>610</v>
      </c>
      <c r="N1" s="242" t="str">
        <f>InputSheet!D4</f>
        <v>P-12246</v>
      </c>
      <c r="O1" s="243"/>
      <c r="P1" s="243"/>
      <c r="Q1" s="243"/>
      <c r="R1" s="243"/>
      <c r="S1" s="243"/>
      <c r="T1" s="243"/>
      <c r="U1" s="243"/>
      <c r="V1" s="243"/>
      <c r="W1" s="243"/>
      <c r="X1" s="243"/>
      <c r="Y1" s="243"/>
      <c r="Z1" s="243"/>
      <c r="AA1" s="243"/>
      <c r="AB1" s="246"/>
      <c r="AV1" s="247"/>
      <c r="AW1" s="247"/>
    </row>
    <row r="2" spans="1:49">
      <c r="E2" s="248" t="s">
        <v>612</v>
      </c>
      <c r="F2" s="1195" t="str">
        <f>InputSheet!D2</f>
        <v>CIS Consultant Services</v>
      </c>
      <c r="G2" s="1195"/>
      <c r="H2" s="1195"/>
      <c r="I2" s="1195"/>
      <c r="J2" s="1195"/>
      <c r="K2" s="1195"/>
      <c r="L2" s="1196"/>
      <c r="M2" s="249" t="s">
        <v>611</v>
      </c>
      <c r="N2" s="27" t="str">
        <f>InputSheet!D3</f>
        <v>ManTech Telecommunications and Information Systems Corporation</v>
      </c>
      <c r="O2" s="8"/>
      <c r="P2" s="8"/>
      <c r="Q2" s="8"/>
      <c r="R2" s="8"/>
      <c r="S2" s="8"/>
      <c r="T2" s="8"/>
      <c r="U2" s="8"/>
      <c r="V2" s="8"/>
      <c r="W2" s="8"/>
      <c r="X2" s="8"/>
      <c r="Y2" s="8"/>
      <c r="Z2" s="8"/>
      <c r="AA2" s="8"/>
      <c r="AB2" s="250"/>
    </row>
    <row r="3" spans="1:49" s="254" customFormat="1" ht="13.5" thickBot="1">
      <c r="A3" s="8"/>
      <c r="B3" s="8"/>
      <c r="C3" s="8"/>
      <c r="D3" s="8"/>
      <c r="E3" s="252" t="s">
        <v>613</v>
      </c>
      <c r="F3" s="253" t="s">
        <v>619</v>
      </c>
      <c r="J3" s="255"/>
      <c r="K3" s="255"/>
      <c r="M3" s="256"/>
      <c r="Q3" s="257"/>
      <c r="AB3" s="258"/>
      <c r="AG3" s="257"/>
      <c r="AH3" s="257"/>
      <c r="AI3" s="257"/>
      <c r="AJ3" s="257"/>
      <c r="AK3" s="257"/>
      <c r="AL3" s="257"/>
      <c r="AV3" s="259"/>
      <c r="AW3" s="259"/>
    </row>
    <row r="4" spans="1:49">
      <c r="E4" s="248"/>
      <c r="F4" s="8"/>
      <c r="G4" s="8"/>
      <c r="H4" s="8"/>
      <c r="I4" s="8"/>
      <c r="J4" s="260"/>
      <c r="K4" s="260"/>
      <c r="L4" s="8"/>
      <c r="M4" s="8"/>
      <c r="N4" s="8"/>
      <c r="O4" s="8"/>
      <c r="P4" s="8"/>
      <c r="Q4" s="8"/>
      <c r="R4" s="8"/>
      <c r="S4" s="8"/>
      <c r="T4" s="8"/>
      <c r="U4" s="8"/>
      <c r="V4" s="8"/>
      <c r="W4" s="8"/>
      <c r="X4" s="8"/>
      <c r="Y4" s="8"/>
      <c r="Z4" s="8"/>
      <c r="AA4" s="8"/>
      <c r="AB4" s="250"/>
      <c r="AP4" s="8"/>
    </row>
    <row r="5" spans="1:49" hidden="1" outlineLevel="1">
      <c r="E5" s="248"/>
      <c r="F5" s="8"/>
      <c r="G5" s="8"/>
      <c r="H5" s="8"/>
      <c r="I5" s="8"/>
      <c r="J5" s="261"/>
      <c r="K5" s="261"/>
      <c r="L5" s="262"/>
      <c r="M5" s="8"/>
      <c r="N5" s="263" t="str">
        <f>N28&amp;"%"</f>
        <v>B%</v>
      </c>
      <c r="O5" s="263" t="str">
        <f>O28&amp;"%"</f>
        <v>%</v>
      </c>
      <c r="P5" s="263" t="str">
        <f>P28&amp;"%"</f>
        <v>%</v>
      </c>
      <c r="Q5" s="263" t="str">
        <f t="shared" ref="Q5:X5" si="0">Q28&amp;"%"</f>
        <v>C%</v>
      </c>
      <c r="R5" s="263" t="str">
        <f t="shared" si="0"/>
        <v>D%</v>
      </c>
      <c r="S5" s="263" t="str">
        <f>S28&amp;"%"</f>
        <v>%</v>
      </c>
      <c r="T5" s="263" t="str">
        <f>T28&amp;"%"</f>
        <v>%</v>
      </c>
      <c r="U5" s="263" t="str">
        <f>U28&amp;"%"</f>
        <v>%</v>
      </c>
      <c r="V5" s="263" t="str">
        <f t="shared" si="0"/>
        <v>E%</v>
      </c>
      <c r="W5" s="263"/>
      <c r="X5" s="263" t="str">
        <f t="shared" si="0"/>
        <v>G%</v>
      </c>
      <c r="Y5" s="8"/>
      <c r="Z5" s="8"/>
      <c r="AA5" s="8"/>
      <c r="AB5" s="250"/>
      <c r="AF5" s="263"/>
      <c r="AG5" s="263"/>
      <c r="AH5" s="263"/>
      <c r="AI5" s="263"/>
      <c r="AJ5" s="263"/>
      <c r="AK5" s="263"/>
      <c r="AL5" s="263"/>
      <c r="AM5" s="263"/>
      <c r="AN5" s="263"/>
      <c r="AO5" s="263"/>
      <c r="AP5" s="264"/>
      <c r="AQ5" s="47"/>
    </row>
    <row r="6" spans="1:49" hidden="1" outlineLevel="1">
      <c r="E6" s="248"/>
      <c r="F6" s="8"/>
      <c r="G6" s="8"/>
      <c r="H6" s="8"/>
      <c r="I6" s="265"/>
      <c r="J6" s="266"/>
      <c r="K6" s="263"/>
      <c r="L6" s="267">
        <f ca="1">COLUMN(L6)-COLUMN(OFFSET($L6,0,-1))</f>
        <v>1</v>
      </c>
      <c r="M6" s="267">
        <f t="shared" ref="M6:X6" ca="1" si="1">COLUMN(M6)-COLUMN(OFFSET($L6,0,-1))</f>
        <v>2</v>
      </c>
      <c r="N6" s="267">
        <f t="shared" ca="1" si="1"/>
        <v>3</v>
      </c>
      <c r="O6" s="267">
        <f t="shared" ca="1" si="1"/>
        <v>4</v>
      </c>
      <c r="P6" s="267">
        <f t="shared" ca="1" si="1"/>
        <v>5</v>
      </c>
      <c r="Q6" s="267">
        <f t="shared" ca="1" si="1"/>
        <v>6</v>
      </c>
      <c r="R6" s="267">
        <f t="shared" ca="1" si="1"/>
        <v>7</v>
      </c>
      <c r="S6" s="267">
        <f t="shared" ca="1" si="1"/>
        <v>8</v>
      </c>
      <c r="T6" s="267">
        <f t="shared" ca="1" si="1"/>
        <v>9</v>
      </c>
      <c r="U6" s="267">
        <f t="shared" ca="1" si="1"/>
        <v>10</v>
      </c>
      <c r="V6" s="267">
        <f t="shared" ca="1" si="1"/>
        <v>11</v>
      </c>
      <c r="W6" s="267"/>
      <c r="X6" s="267">
        <f t="shared" ca="1" si="1"/>
        <v>13</v>
      </c>
      <c r="Y6" s="8"/>
      <c r="Z6" s="8"/>
      <c r="AA6" s="8"/>
      <c r="AB6" s="250"/>
      <c r="AC6" s="266"/>
      <c r="AD6" s="266"/>
      <c r="AE6" s="266"/>
      <c r="AF6" s="263"/>
      <c r="AG6" s="263"/>
      <c r="AH6" s="263"/>
      <c r="AI6" s="263"/>
      <c r="AJ6" s="263"/>
      <c r="AK6" s="263"/>
      <c r="AL6" s="263"/>
      <c r="AM6" s="263"/>
      <c r="AN6" s="263"/>
      <c r="AO6" s="263"/>
      <c r="AP6" s="264"/>
      <c r="AQ6" s="47"/>
    </row>
    <row r="7" spans="1:49" collapsed="1">
      <c r="E7" s="268"/>
      <c r="F7" s="39" t="s">
        <v>587</v>
      </c>
      <c r="G7" s="39" t="s">
        <v>588</v>
      </c>
      <c r="H7" s="39"/>
      <c r="I7" s="269"/>
      <c r="J7" s="270"/>
      <c r="K7" s="270"/>
      <c r="L7" s="271"/>
      <c r="M7" s="272"/>
      <c r="N7" s="272"/>
      <c r="O7" s="272"/>
      <c r="P7" s="272"/>
      <c r="Q7" s="272" t="str">
        <f>InputSheet!D41</f>
        <v>Contr/Govt</v>
      </c>
      <c r="R7" s="272"/>
      <c r="S7" s="272"/>
      <c r="T7" s="272"/>
      <c r="U7" s="272"/>
      <c r="V7" s="272" t="str">
        <f>$Q7</f>
        <v>Contr/Govt</v>
      </c>
      <c r="W7" s="272"/>
      <c r="X7" s="273"/>
      <c r="Y7" s="8"/>
      <c r="Z7" s="8"/>
      <c r="AA7" s="8"/>
      <c r="AB7" s="1032"/>
      <c r="AC7" s="1016"/>
      <c r="AD7" s="1016"/>
      <c r="AE7" s="1016"/>
      <c r="AF7" s="270"/>
      <c r="AG7" s="270"/>
      <c r="AH7" s="270"/>
      <c r="AI7" s="270"/>
      <c r="AJ7" s="270"/>
      <c r="AK7" s="270"/>
      <c r="AL7" s="270"/>
      <c r="AM7" s="270"/>
      <c r="AN7" s="270"/>
      <c r="AO7" s="274"/>
      <c r="AP7" s="249"/>
    </row>
    <row r="8" spans="1:49" ht="14.25" customHeight="1">
      <c r="E8" s="239" t="str">
        <f>InputSheet!$C$22</f>
        <v>Base Year</v>
      </c>
      <c r="F8" s="275">
        <f>VLOOKUP($E$8,InputSheet!$C$22:$G$38,2,FALSE)</f>
        <v>40179</v>
      </c>
      <c r="G8" s="276">
        <f>VLOOKUP($E$8,InputSheet!$C$22:$G$38,3,FALSE)</f>
        <v>40543</v>
      </c>
      <c r="H8" s="277"/>
      <c r="I8" s="278"/>
      <c r="J8" s="279" t="s">
        <v>593</v>
      </c>
      <c r="K8" s="279" t="s">
        <v>628</v>
      </c>
      <c r="L8" s="280" t="s">
        <v>52</v>
      </c>
      <c r="M8" s="279" t="s">
        <v>0</v>
      </c>
      <c r="N8" s="279" t="s">
        <v>620</v>
      </c>
      <c r="O8" s="279" t="s">
        <v>895</v>
      </c>
      <c r="P8" s="279" t="s">
        <v>911</v>
      </c>
      <c r="Q8" s="279" t="s">
        <v>621</v>
      </c>
      <c r="R8" s="279" t="s">
        <v>637</v>
      </c>
      <c r="S8" s="279" t="s">
        <v>919</v>
      </c>
      <c r="T8" s="279" t="s">
        <v>949</v>
      </c>
      <c r="U8" s="279" t="s">
        <v>950</v>
      </c>
      <c r="V8" s="279" t="s">
        <v>597</v>
      </c>
      <c r="W8" s="279" t="s">
        <v>53</v>
      </c>
      <c r="X8" s="281" t="s">
        <v>55</v>
      </c>
      <c r="Y8" s="8"/>
      <c r="Z8" s="8"/>
      <c r="AA8" s="8"/>
      <c r="AB8" s="1033" t="s">
        <v>717</v>
      </c>
      <c r="AC8" s="1017"/>
      <c r="AD8" s="1017"/>
      <c r="AE8" s="1017"/>
      <c r="AF8" s="279"/>
      <c r="AG8" s="279"/>
      <c r="AH8" s="279"/>
      <c r="AI8" s="279"/>
      <c r="AJ8" s="279"/>
      <c r="AK8" s="279"/>
      <c r="AL8" s="279"/>
      <c r="AM8" s="279"/>
      <c r="AN8" s="279"/>
      <c r="AO8" s="279"/>
      <c r="AP8" s="249"/>
    </row>
    <row r="9" spans="1:49" hidden="1">
      <c r="B9" s="8">
        <v>750</v>
      </c>
      <c r="E9" s="248"/>
      <c r="F9" s="8"/>
      <c r="G9" s="8"/>
      <c r="H9" s="8"/>
      <c r="I9" s="278"/>
      <c r="J9" s="283" t="str">
        <f>InputSheet!I40</f>
        <v>IS</v>
      </c>
      <c r="K9" s="284" t="str">
        <f>InputSheet!$D$42</f>
        <v>Contr</v>
      </c>
      <c r="L9" s="207" t="s">
        <v>622</v>
      </c>
      <c r="M9" s="285">
        <f>InputSheet!$E$7</f>
        <v>3.3000000000000002E-2</v>
      </c>
      <c r="N9" s="286">
        <f>VLOOKUP(($E$8&amp;$J9),InputSheet!$A$22:$G$130,7,FALSE)</f>
        <v>1.0247499999999998</v>
      </c>
      <c r="O9" s="833">
        <v>0.35</v>
      </c>
      <c r="P9" s="833">
        <v>0.35</v>
      </c>
      <c r="Q9" s="287">
        <f>IF(Q$7="",VLOOKUP($E$8&amp;$J9&amp;Q$8&amp;$K9,Indirects,2,FALSE),VLOOKUP($E$8&amp;$J9&amp;Q$8&amp;Q$7,Indirects,2,FALSE))</f>
        <v>0.31240000000000001</v>
      </c>
      <c r="R9" s="287">
        <f>IF(R$7="",VLOOKUP($E$8&amp;$J9&amp;R$8&amp;$K9,Indirects,2,FALSE),VLOOKUP($E$8&amp;$J9&amp;R$8&amp;R$7,Indirects,2,FALSE))</f>
        <v>0.1988</v>
      </c>
      <c r="S9" s="1015">
        <v>5000</v>
      </c>
      <c r="T9" s="833">
        <v>0.35</v>
      </c>
      <c r="U9" s="833">
        <v>0.35</v>
      </c>
      <c r="V9" s="287">
        <f>IF(V$7="",VLOOKUP($E$8&amp;$J9&amp;V$8&amp;$K9,Indirects,2,FALSE),VLOOKUP($E$8&amp;$J9&amp;V$8&amp;V$7,Indirects,2,FALSE))</f>
        <v>9.4700000000000006E-2</v>
      </c>
      <c r="W9" s="288"/>
      <c r="X9" s="213">
        <v>0.15</v>
      </c>
      <c r="Y9" s="8"/>
      <c r="Z9" s="8"/>
      <c r="AA9" s="8"/>
      <c r="AB9" s="1034">
        <f t="shared" ref="AB9:AB24" si="2">IF(M9="","",M9)</f>
        <v>3.3000000000000002E-2</v>
      </c>
      <c r="AC9" s="1023"/>
      <c r="AD9" s="1023"/>
      <c r="AE9" s="1023"/>
      <c r="AF9" s="287"/>
      <c r="AG9" s="287"/>
      <c r="AH9" s="287"/>
      <c r="AI9" s="287"/>
      <c r="AJ9" s="287"/>
      <c r="AK9" s="287"/>
      <c r="AL9" s="287"/>
      <c r="AM9" s="287"/>
      <c r="AN9" s="287"/>
      <c r="AO9" s="287"/>
      <c r="AP9" s="249"/>
    </row>
    <row r="10" spans="1:49" ht="15" customHeight="1">
      <c r="B10" s="8">
        <f>B9/3</f>
        <v>250</v>
      </c>
      <c r="E10" s="248"/>
      <c r="F10" s="8"/>
      <c r="G10" s="8"/>
      <c r="H10" s="8"/>
      <c r="I10" s="278"/>
      <c r="J10" s="289" t="str">
        <f>J$9</f>
        <v>IS</v>
      </c>
      <c r="K10" s="290" t="str">
        <f>InputSheet!$D$43</f>
        <v>Govt</v>
      </c>
      <c r="L10" s="208" t="s">
        <v>623</v>
      </c>
      <c r="M10" s="285">
        <f>InputSheet!$E$7</f>
        <v>3.3000000000000002E-2</v>
      </c>
      <c r="N10" s="286">
        <f>VLOOKUP(($E$8&amp;$J10),InputSheet!$A$22:$G$130,7,FALSE)</f>
        <v>1.0247499999999998</v>
      </c>
      <c r="O10" s="834">
        <v>0.35</v>
      </c>
      <c r="P10" s="834">
        <v>0.35</v>
      </c>
      <c r="Q10" s="287">
        <f>IF(Q$7="",VLOOKUP($E$8&amp;$J10&amp;Q$8&amp;$K10,Indirects,2,FALSE),VLOOKUP($E$8&amp;$J10&amp;Q$8&amp;Q$7,Indirects,2,FALSE))</f>
        <v>0.31240000000000001</v>
      </c>
      <c r="R10" s="287">
        <f>IF(R$7="",VLOOKUP($E$8&amp;$J10&amp;R$8&amp;$K10,Indirects,2,FALSE),VLOOKUP($E$8&amp;$J10&amp;R$8&amp;R$7,Indirects,2,FALSE))</f>
        <v>2.23E-2</v>
      </c>
      <c r="S10" s="1015">
        <v>5000</v>
      </c>
      <c r="T10" s="1058">
        <f>75.04*12</f>
        <v>900.48</v>
      </c>
      <c r="U10" s="834">
        <v>1.9E-2</v>
      </c>
      <c r="V10" s="287">
        <f t="shared" ref="V10:V24" si="3">IF(V$7="",VLOOKUP($E$8&amp;$J10&amp;V$8&amp;$K10,Indirects,2,FALSE),VLOOKUP($E$8&amp;$J10&amp;V$8&amp;V$7,Indirects,2,FALSE))</f>
        <v>9.4700000000000006E-2</v>
      </c>
      <c r="W10" s="291"/>
      <c r="X10" s="209">
        <f>'Pricing Summary'!C52</f>
        <v>0.08</v>
      </c>
      <c r="Y10" s="8"/>
      <c r="Z10" s="8"/>
      <c r="AA10" s="8"/>
      <c r="AB10" s="1034">
        <f t="shared" si="2"/>
        <v>3.3000000000000002E-2</v>
      </c>
      <c r="AC10" s="1024"/>
      <c r="AD10" s="1024"/>
      <c r="AE10" s="1024"/>
      <c r="AF10" s="287"/>
      <c r="AG10" s="287"/>
      <c r="AH10" s="287"/>
      <c r="AI10" s="287"/>
      <c r="AJ10" s="287"/>
      <c r="AK10" s="287"/>
      <c r="AL10" s="287"/>
      <c r="AM10" s="287"/>
      <c r="AN10" s="287"/>
      <c r="AO10" s="287"/>
      <c r="AP10" s="249"/>
    </row>
    <row r="11" spans="1:49" hidden="1" outlineLevel="1">
      <c r="E11" s="248"/>
      <c r="F11" s="8"/>
      <c r="G11" s="8"/>
      <c r="H11" s="8"/>
      <c r="I11" s="278"/>
      <c r="J11" s="289" t="str">
        <f t="shared" ref="J11:J24" si="4">J$9</f>
        <v>IS</v>
      </c>
      <c r="K11" s="290" t="str">
        <f>K$9</f>
        <v>Contr</v>
      </c>
      <c r="L11" s="208" t="s">
        <v>667</v>
      </c>
      <c r="M11" s="293">
        <v>0</v>
      </c>
      <c r="N11" s="292">
        <v>1</v>
      </c>
      <c r="O11" s="833">
        <v>0</v>
      </c>
      <c r="P11" s="834">
        <v>0</v>
      </c>
      <c r="Q11" s="287">
        <f t="shared" ref="Q11:R20" si="5">IF(Q$7="",VLOOKUP($E$8&amp;$J11&amp;Q$8&amp;$K11,Indirects,2,FALSE),VLOOKUP($E$8&amp;$J11&amp;Q$8&amp;Q$7,Indirects,2,FALSE))</f>
        <v>0.31240000000000001</v>
      </c>
      <c r="R11" s="287">
        <f t="shared" si="5"/>
        <v>0.1988</v>
      </c>
      <c r="S11" s="834">
        <v>0</v>
      </c>
      <c r="T11" s="834">
        <v>0</v>
      </c>
      <c r="U11" s="834">
        <v>0</v>
      </c>
      <c r="V11" s="287">
        <f t="shared" si="3"/>
        <v>9.4700000000000006E-2</v>
      </c>
      <c r="W11" s="291"/>
      <c r="X11" s="209">
        <f t="shared" ref="X11:X22" si="6">X10</f>
        <v>0.08</v>
      </c>
      <c r="Y11" s="8"/>
      <c r="Z11" s="8"/>
      <c r="AA11" s="8"/>
      <c r="AB11" s="1034">
        <f t="shared" si="2"/>
        <v>0</v>
      </c>
      <c r="AC11" s="1024"/>
      <c r="AD11" s="1024"/>
      <c r="AE11" s="1024"/>
      <c r="AF11" s="287"/>
      <c r="AG11" s="287"/>
      <c r="AH11" s="287"/>
      <c r="AI11" s="287"/>
      <c r="AJ11" s="287"/>
      <c r="AK11" s="287"/>
      <c r="AL11" s="287"/>
      <c r="AM11" s="287"/>
      <c r="AN11" s="287"/>
      <c r="AO11" s="287"/>
      <c r="AP11" s="249"/>
    </row>
    <row r="12" spans="1:49" hidden="1" outlineLevel="1">
      <c r="E12" s="248"/>
      <c r="F12" s="8"/>
      <c r="G12" s="8"/>
      <c r="H12" s="8"/>
      <c r="I12" s="278"/>
      <c r="J12" s="289" t="str">
        <f t="shared" si="4"/>
        <v>IS</v>
      </c>
      <c r="K12" s="290" t="str">
        <f>K$10</f>
        <v>Govt</v>
      </c>
      <c r="L12" s="208" t="s">
        <v>668</v>
      </c>
      <c r="M12" s="293">
        <v>0</v>
      </c>
      <c r="N12" s="292">
        <v>1</v>
      </c>
      <c r="O12" s="834">
        <v>0</v>
      </c>
      <c r="P12" s="834">
        <v>0</v>
      </c>
      <c r="Q12" s="287">
        <f t="shared" si="5"/>
        <v>0.31240000000000001</v>
      </c>
      <c r="R12" s="287">
        <f t="shared" si="5"/>
        <v>2.23E-2</v>
      </c>
      <c r="S12" s="834">
        <v>0</v>
      </c>
      <c r="T12" s="834">
        <v>0</v>
      </c>
      <c r="U12" s="834">
        <v>0</v>
      </c>
      <c r="V12" s="287">
        <f t="shared" si="3"/>
        <v>9.4700000000000006E-2</v>
      </c>
      <c r="W12" s="291"/>
      <c r="X12" s="209">
        <f t="shared" si="6"/>
        <v>0.08</v>
      </c>
      <c r="Y12" s="8"/>
      <c r="Z12" s="8"/>
      <c r="AA12" s="8"/>
      <c r="AB12" s="1034">
        <f t="shared" si="2"/>
        <v>0</v>
      </c>
      <c r="AC12" s="1024"/>
      <c r="AD12" s="1024"/>
      <c r="AE12" s="1024"/>
      <c r="AF12" s="287"/>
      <c r="AG12" s="287"/>
      <c r="AH12" s="287"/>
      <c r="AI12" s="287"/>
      <c r="AJ12" s="287"/>
      <c r="AK12" s="287"/>
      <c r="AL12" s="287"/>
      <c r="AM12" s="287"/>
      <c r="AN12" s="287"/>
      <c r="AO12" s="287"/>
      <c r="AP12" s="249"/>
    </row>
    <row r="13" spans="1:49" hidden="1" outlineLevel="1">
      <c r="E13" s="248"/>
      <c r="F13" s="8"/>
      <c r="G13" s="8"/>
      <c r="H13" s="8"/>
      <c r="I13" s="278"/>
      <c r="J13" s="289" t="str">
        <f>InputSheet!I87</f>
        <v>ESD</v>
      </c>
      <c r="K13" s="290" t="str">
        <f>K$9</f>
        <v>Contr</v>
      </c>
      <c r="L13" s="208" t="s">
        <v>624</v>
      </c>
      <c r="M13" s="285">
        <f>InputSheet!$E$54</f>
        <v>3.3000000000000002E-2</v>
      </c>
      <c r="N13" s="286">
        <f>VLOOKUP(($E$8&amp;$J13),InputSheet!$A$22:$G$130,7,FALSE)</f>
        <v>1.0247499999999998</v>
      </c>
      <c r="O13" s="833">
        <v>0</v>
      </c>
      <c r="P13" s="833">
        <v>0</v>
      </c>
      <c r="Q13" s="287">
        <f>IF(Q$7="",VLOOKUP($E$8&amp;$J13&amp;Q$8&amp;$K13,Indirects,2,FALSE),VLOOKUP($E$8&amp;$J13&amp;Q$8&amp;Q$7,Indirects,2,FALSE))</f>
        <v>0</v>
      </c>
      <c r="R13" s="287">
        <f t="shared" si="5"/>
        <v>0</v>
      </c>
      <c r="S13" s="833">
        <v>0</v>
      </c>
      <c r="T13" s="833">
        <v>0</v>
      </c>
      <c r="U13" s="833">
        <v>0</v>
      </c>
      <c r="V13" s="287">
        <f t="shared" si="3"/>
        <v>0</v>
      </c>
      <c r="W13" s="291"/>
      <c r="X13" s="209">
        <f t="shared" si="6"/>
        <v>0.08</v>
      </c>
      <c r="Y13" s="8"/>
      <c r="Z13" s="8"/>
      <c r="AA13" s="8"/>
      <c r="AB13" s="1034">
        <f t="shared" si="2"/>
        <v>3.3000000000000002E-2</v>
      </c>
      <c r="AC13" s="1024"/>
      <c r="AD13" s="1024"/>
      <c r="AE13" s="1024"/>
      <c r="AF13" s="287"/>
      <c r="AG13" s="287"/>
      <c r="AH13" s="287"/>
      <c r="AI13" s="287"/>
      <c r="AJ13" s="287"/>
      <c r="AK13" s="287"/>
      <c r="AL13" s="287"/>
      <c r="AM13" s="287"/>
      <c r="AN13" s="287"/>
      <c r="AO13" s="287"/>
      <c r="AP13" s="249"/>
    </row>
    <row r="14" spans="1:49" hidden="1" outlineLevel="1">
      <c r="E14" s="248"/>
      <c r="F14" s="8"/>
      <c r="G14" s="8"/>
      <c r="H14" s="8"/>
      <c r="I14" s="278"/>
      <c r="J14" s="289" t="str">
        <f>J13</f>
        <v>ESD</v>
      </c>
      <c r="K14" s="290" t="str">
        <f>K$10</f>
        <v>Govt</v>
      </c>
      <c r="L14" s="208" t="s">
        <v>625</v>
      </c>
      <c r="M14" s="285">
        <f>InputSheet!$E$54</f>
        <v>3.3000000000000002E-2</v>
      </c>
      <c r="N14" s="286">
        <f>VLOOKUP(($E$8&amp;$J14),InputSheet!$A$22:$G$130,7,FALSE)</f>
        <v>1.0247499999999998</v>
      </c>
      <c r="O14" s="834">
        <v>0</v>
      </c>
      <c r="P14" s="834">
        <v>0</v>
      </c>
      <c r="Q14" s="287">
        <f>IF(Q$7="",VLOOKUP($E$8&amp;$J14&amp;Q$8&amp;$K14,Indirects,2,FALSE),VLOOKUP($E$8&amp;$J14&amp;Q$8&amp;Q$7,Indirects,2,FALSE))</f>
        <v>0</v>
      </c>
      <c r="R14" s="287">
        <f t="shared" si="5"/>
        <v>0</v>
      </c>
      <c r="S14" s="834">
        <v>0</v>
      </c>
      <c r="T14" s="834">
        <v>0</v>
      </c>
      <c r="U14" s="834">
        <v>0</v>
      </c>
      <c r="V14" s="287">
        <f t="shared" si="3"/>
        <v>0</v>
      </c>
      <c r="W14" s="291"/>
      <c r="X14" s="209">
        <f t="shared" si="6"/>
        <v>0.08</v>
      </c>
      <c r="Y14" s="8"/>
      <c r="Z14" s="8"/>
      <c r="AA14" s="8"/>
      <c r="AB14" s="1034">
        <f t="shared" si="2"/>
        <v>3.3000000000000002E-2</v>
      </c>
      <c r="AC14" s="1024"/>
      <c r="AD14" s="1024"/>
      <c r="AE14" s="1024"/>
      <c r="AF14" s="287"/>
      <c r="AG14" s="287"/>
      <c r="AH14" s="287"/>
      <c r="AI14" s="287"/>
      <c r="AJ14" s="287"/>
      <c r="AK14" s="287"/>
      <c r="AL14" s="287"/>
      <c r="AM14" s="287"/>
      <c r="AN14" s="287"/>
      <c r="AO14" s="287"/>
      <c r="AP14" s="249"/>
    </row>
    <row r="15" spans="1:49" hidden="1" outlineLevel="1">
      <c r="E15" s="248"/>
      <c r="F15" s="8"/>
      <c r="G15" s="8"/>
      <c r="H15" s="8"/>
      <c r="I15" s="278"/>
      <c r="J15" s="289" t="str">
        <f>InputSheet!I134</f>
        <v>ESD</v>
      </c>
      <c r="K15" s="290" t="str">
        <f>K$9</f>
        <v>Contr</v>
      </c>
      <c r="L15" s="208" t="s">
        <v>784</v>
      </c>
      <c r="M15" s="285">
        <f>InputSheet!$E$101</f>
        <v>3.3000000000000002E-2</v>
      </c>
      <c r="N15" s="286">
        <f>VLOOKUP(($E$8&amp;$J15),InputSheet!$A$22:$G$130,7,FALSE)</f>
        <v>1.0247499999999998</v>
      </c>
      <c r="O15" s="833">
        <v>0</v>
      </c>
      <c r="P15" s="833">
        <v>0</v>
      </c>
      <c r="Q15" s="287">
        <f>IF(Q$7="",VLOOKUP($E$8&amp;$J15&amp;Q$8&amp;$K15,Indirects,2,FALSE),VLOOKUP($E$8&amp;$J15&amp;Q$8&amp;Q$7,Indirects,2,FALSE))</f>
        <v>0</v>
      </c>
      <c r="R15" s="287">
        <f t="shared" si="5"/>
        <v>0</v>
      </c>
      <c r="S15" s="833">
        <v>0</v>
      </c>
      <c r="T15" s="833">
        <v>0</v>
      </c>
      <c r="U15" s="833">
        <v>0</v>
      </c>
      <c r="V15" s="287">
        <f t="shared" si="3"/>
        <v>0</v>
      </c>
      <c r="W15" s="291"/>
      <c r="X15" s="209">
        <f t="shared" si="6"/>
        <v>0.08</v>
      </c>
      <c r="Y15" s="8"/>
      <c r="Z15" s="8"/>
      <c r="AA15" s="8"/>
      <c r="AB15" s="1034">
        <f t="shared" si="2"/>
        <v>3.3000000000000002E-2</v>
      </c>
      <c r="AC15" s="1024"/>
      <c r="AD15" s="1024"/>
      <c r="AE15" s="1024"/>
      <c r="AF15" s="287"/>
      <c r="AG15" s="287"/>
      <c r="AH15" s="287"/>
      <c r="AI15" s="287"/>
      <c r="AJ15" s="287"/>
      <c r="AK15" s="287"/>
      <c r="AL15" s="287"/>
      <c r="AM15" s="287"/>
      <c r="AN15" s="287"/>
      <c r="AO15" s="287"/>
      <c r="AP15" s="249"/>
    </row>
    <row r="16" spans="1:49" hidden="1" outlineLevel="1">
      <c r="E16" s="248"/>
      <c r="F16" s="8"/>
      <c r="G16" s="8"/>
      <c r="H16" s="8"/>
      <c r="I16" s="278"/>
      <c r="J16" s="289" t="str">
        <f>J15</f>
        <v>ESD</v>
      </c>
      <c r="K16" s="290" t="str">
        <f>K$10</f>
        <v>Govt</v>
      </c>
      <c r="L16" s="208" t="s">
        <v>785</v>
      </c>
      <c r="M16" s="285">
        <f>InputSheet!$E$101</f>
        <v>3.3000000000000002E-2</v>
      </c>
      <c r="N16" s="286">
        <f>VLOOKUP(($E$8&amp;$J16),InputSheet!$A$22:$G$130,7,FALSE)</f>
        <v>1.0247499999999998</v>
      </c>
      <c r="O16" s="834">
        <v>0</v>
      </c>
      <c r="P16" s="834">
        <v>0</v>
      </c>
      <c r="Q16" s="287">
        <f t="shared" si="5"/>
        <v>0</v>
      </c>
      <c r="R16" s="287">
        <f t="shared" si="5"/>
        <v>0</v>
      </c>
      <c r="S16" s="834">
        <v>0</v>
      </c>
      <c r="T16" s="834">
        <v>0</v>
      </c>
      <c r="U16" s="834">
        <v>0</v>
      </c>
      <c r="V16" s="287">
        <f t="shared" si="3"/>
        <v>0</v>
      </c>
      <c r="W16" s="291"/>
      <c r="X16" s="209">
        <f t="shared" si="6"/>
        <v>0.08</v>
      </c>
      <c r="Y16" s="8"/>
      <c r="Z16" s="8"/>
      <c r="AA16" s="8"/>
      <c r="AB16" s="1034">
        <f t="shared" si="2"/>
        <v>3.3000000000000002E-2</v>
      </c>
      <c r="AC16" s="1024"/>
      <c r="AD16" s="1024"/>
      <c r="AE16" s="1024"/>
      <c r="AF16" s="287"/>
      <c r="AG16" s="287"/>
      <c r="AH16" s="287"/>
      <c r="AI16" s="287"/>
      <c r="AJ16" s="287"/>
      <c r="AK16" s="287"/>
      <c r="AL16" s="287"/>
      <c r="AM16" s="287"/>
      <c r="AN16" s="287"/>
      <c r="AO16" s="287"/>
      <c r="AP16" s="249"/>
    </row>
    <row r="17" spans="4:49" hidden="1" outlineLevel="1">
      <c r="E17" s="248"/>
      <c r="F17" s="8"/>
      <c r="G17" s="8"/>
      <c r="H17" s="8"/>
      <c r="I17" s="278"/>
      <c r="J17" s="289" t="str">
        <f t="shared" si="4"/>
        <v>IS</v>
      </c>
      <c r="K17" s="290" t="str">
        <f>K$9</f>
        <v>Contr</v>
      </c>
      <c r="L17" s="208" t="s">
        <v>716</v>
      </c>
      <c r="M17" s="285">
        <f>InputSheet!$E$7</f>
        <v>3.3000000000000002E-2</v>
      </c>
      <c r="N17" s="286">
        <f>VLOOKUP(($E$8&amp;$J17),InputSheet!$A$22:$G$130,7,FALSE)</f>
        <v>1.0247499999999998</v>
      </c>
      <c r="O17" s="834">
        <v>0.5</v>
      </c>
      <c r="P17" s="834">
        <v>0</v>
      </c>
      <c r="Q17" s="287">
        <f t="shared" si="5"/>
        <v>0.31240000000000001</v>
      </c>
      <c r="R17" s="287">
        <f t="shared" si="5"/>
        <v>0.1988</v>
      </c>
      <c r="S17" s="834">
        <v>0</v>
      </c>
      <c r="T17" s="834">
        <v>0</v>
      </c>
      <c r="U17" s="834">
        <v>0</v>
      </c>
      <c r="V17" s="287">
        <f t="shared" si="3"/>
        <v>9.4700000000000006E-2</v>
      </c>
      <c r="W17" s="291"/>
      <c r="X17" s="209">
        <f t="shared" si="6"/>
        <v>0.08</v>
      </c>
      <c r="Y17" s="8"/>
      <c r="Z17" s="8"/>
      <c r="AA17" s="8"/>
      <c r="AB17" s="1034">
        <f t="shared" si="2"/>
        <v>3.3000000000000002E-2</v>
      </c>
      <c r="AC17" s="1024"/>
      <c r="AD17" s="1024"/>
      <c r="AE17" s="1024"/>
      <c r="AF17" s="287"/>
      <c r="AG17" s="287"/>
      <c r="AH17" s="287"/>
      <c r="AI17" s="287"/>
      <c r="AJ17" s="287"/>
      <c r="AK17" s="287"/>
      <c r="AL17" s="287"/>
      <c r="AM17" s="287"/>
      <c r="AN17" s="287"/>
      <c r="AO17" s="287"/>
      <c r="AP17" s="249"/>
    </row>
    <row r="18" spans="4:49" hidden="1" outlineLevel="1">
      <c r="E18" s="248"/>
      <c r="F18" s="8"/>
      <c r="G18" s="8"/>
      <c r="H18" s="8"/>
      <c r="I18" s="278"/>
      <c r="J18" s="289" t="str">
        <f t="shared" si="4"/>
        <v>IS</v>
      </c>
      <c r="K18" s="290" t="str">
        <f>K$10</f>
        <v>Govt</v>
      </c>
      <c r="L18" s="208" t="s">
        <v>715</v>
      </c>
      <c r="M18" s="285">
        <f>InputSheet!$E$7</f>
        <v>3.3000000000000002E-2</v>
      </c>
      <c r="N18" s="286">
        <f>VLOOKUP(($E$8&amp;$J18),InputSheet!$A$22:$G$130,7,FALSE)</f>
        <v>1.0247499999999998</v>
      </c>
      <c r="O18" s="834">
        <v>0.5</v>
      </c>
      <c r="P18" s="834">
        <v>0</v>
      </c>
      <c r="Q18" s="287">
        <f t="shared" si="5"/>
        <v>0.31240000000000001</v>
      </c>
      <c r="R18" s="287">
        <f t="shared" si="5"/>
        <v>2.23E-2</v>
      </c>
      <c r="S18" s="834">
        <v>0</v>
      </c>
      <c r="T18" s="834">
        <v>0</v>
      </c>
      <c r="U18" s="834">
        <v>0</v>
      </c>
      <c r="V18" s="287">
        <f t="shared" si="3"/>
        <v>9.4700000000000006E-2</v>
      </c>
      <c r="W18" s="291"/>
      <c r="X18" s="209">
        <f t="shared" si="6"/>
        <v>0.08</v>
      </c>
      <c r="Y18" s="8"/>
      <c r="Z18" s="8"/>
      <c r="AA18" s="8"/>
      <c r="AB18" s="1034">
        <f t="shared" si="2"/>
        <v>3.3000000000000002E-2</v>
      </c>
      <c r="AC18" s="1024"/>
      <c r="AD18" s="1024"/>
      <c r="AE18" s="1024"/>
      <c r="AF18" s="287"/>
      <c r="AG18" s="287"/>
      <c r="AH18" s="287"/>
      <c r="AI18" s="287"/>
      <c r="AJ18" s="287"/>
      <c r="AK18" s="287"/>
      <c r="AL18" s="287"/>
      <c r="AM18" s="287"/>
      <c r="AN18" s="287"/>
      <c r="AO18" s="287"/>
      <c r="AP18" s="249"/>
    </row>
    <row r="19" spans="4:49" hidden="1" outlineLevel="1">
      <c r="E19" s="248"/>
      <c r="F19" s="8"/>
      <c r="G19" s="8"/>
      <c r="H19" s="8"/>
      <c r="I19" s="278"/>
      <c r="J19" s="289" t="str">
        <f t="shared" si="4"/>
        <v>IS</v>
      </c>
      <c r="K19" s="290" t="str">
        <f>K$9</f>
        <v>Contr</v>
      </c>
      <c r="L19" s="208" t="s">
        <v>670</v>
      </c>
      <c r="M19" s="293">
        <v>0</v>
      </c>
      <c r="N19" s="292">
        <v>1</v>
      </c>
      <c r="O19" s="833">
        <v>0.5</v>
      </c>
      <c r="P19" s="833">
        <v>0</v>
      </c>
      <c r="Q19" s="287">
        <f t="shared" si="5"/>
        <v>0.31240000000000001</v>
      </c>
      <c r="R19" s="287">
        <f t="shared" si="5"/>
        <v>0.1988</v>
      </c>
      <c r="S19" s="833">
        <v>0</v>
      </c>
      <c r="T19" s="833">
        <v>0</v>
      </c>
      <c r="U19" s="833">
        <v>0</v>
      </c>
      <c r="V19" s="287">
        <f t="shared" si="3"/>
        <v>9.4700000000000006E-2</v>
      </c>
      <c r="W19" s="291"/>
      <c r="X19" s="209">
        <f t="shared" si="6"/>
        <v>0.08</v>
      </c>
      <c r="Y19" s="8"/>
      <c r="Z19" s="8"/>
      <c r="AA19" s="8"/>
      <c r="AB19" s="1034">
        <f t="shared" si="2"/>
        <v>0</v>
      </c>
      <c r="AC19" s="1024"/>
      <c r="AD19" s="1024"/>
      <c r="AE19" s="1024"/>
      <c r="AF19" s="287"/>
      <c r="AG19" s="287"/>
      <c r="AH19" s="287"/>
      <c r="AI19" s="287"/>
      <c r="AJ19" s="287"/>
      <c r="AK19" s="287"/>
      <c r="AL19" s="287"/>
      <c r="AM19" s="287"/>
      <c r="AN19" s="287"/>
      <c r="AO19" s="287"/>
      <c r="AP19" s="249"/>
    </row>
    <row r="20" spans="4:49" hidden="1" outlineLevel="1">
      <c r="E20" s="248"/>
      <c r="F20" s="8"/>
      <c r="G20" s="8"/>
      <c r="H20" s="8"/>
      <c r="I20" s="278"/>
      <c r="J20" s="289" t="str">
        <f t="shared" si="4"/>
        <v>IS</v>
      </c>
      <c r="K20" s="290" t="str">
        <f>K$10</f>
        <v>Govt</v>
      </c>
      <c r="L20" s="208" t="s">
        <v>669</v>
      </c>
      <c r="M20" s="293">
        <v>0</v>
      </c>
      <c r="N20" s="292">
        <v>1</v>
      </c>
      <c r="O20" s="834">
        <v>0.5</v>
      </c>
      <c r="P20" s="834">
        <v>0</v>
      </c>
      <c r="Q20" s="287">
        <f t="shared" si="5"/>
        <v>0.31240000000000001</v>
      </c>
      <c r="R20" s="287">
        <f t="shared" si="5"/>
        <v>2.23E-2</v>
      </c>
      <c r="S20" s="834">
        <v>0</v>
      </c>
      <c r="T20" s="834">
        <v>0</v>
      </c>
      <c r="U20" s="834">
        <v>0</v>
      </c>
      <c r="V20" s="287">
        <f t="shared" si="3"/>
        <v>9.4700000000000006E-2</v>
      </c>
      <c r="W20" s="291"/>
      <c r="X20" s="209">
        <f t="shared" si="6"/>
        <v>0.08</v>
      </c>
      <c r="Y20" s="8"/>
      <c r="Z20" s="8"/>
      <c r="AA20" s="8"/>
      <c r="AB20" s="1034">
        <f t="shared" si="2"/>
        <v>0</v>
      </c>
      <c r="AC20" s="1024"/>
      <c r="AD20" s="1024"/>
      <c r="AE20" s="1024"/>
      <c r="AF20" s="287"/>
      <c r="AG20" s="287"/>
      <c r="AH20" s="287"/>
      <c r="AI20" s="287"/>
      <c r="AJ20" s="287"/>
      <c r="AK20" s="287"/>
      <c r="AL20" s="287"/>
      <c r="AM20" s="287"/>
      <c r="AN20" s="287"/>
      <c r="AO20" s="287"/>
      <c r="AP20" s="249"/>
    </row>
    <row r="21" spans="4:49" collapsed="1">
      <c r="E21" s="248"/>
      <c r="F21" s="8"/>
      <c r="G21" s="8"/>
      <c r="H21" s="8"/>
      <c r="I21" s="278"/>
      <c r="J21" s="283" t="str">
        <f t="shared" si="4"/>
        <v>IS</v>
      </c>
      <c r="K21" s="284" t="str">
        <f>InputSheet!$D$44</f>
        <v>Contr/Govt</v>
      </c>
      <c r="L21" s="210" t="s">
        <v>684</v>
      </c>
      <c r="M21" s="285">
        <v>0</v>
      </c>
      <c r="N21" s="286">
        <v>1</v>
      </c>
      <c r="O21" s="833">
        <v>0</v>
      </c>
      <c r="P21" s="833">
        <v>0</v>
      </c>
      <c r="Q21" s="287"/>
      <c r="R21" s="287">
        <f>VLOOKUP($E$8&amp;$J21&amp;InputSheet!$C$44&amp;$K21,Indirects,2,FALSE)</f>
        <v>3.0700000000000002E-2</v>
      </c>
      <c r="S21" s="833">
        <v>0</v>
      </c>
      <c r="T21" s="833">
        <v>0</v>
      </c>
      <c r="U21" s="833">
        <v>0</v>
      </c>
      <c r="V21" s="287">
        <f t="shared" si="3"/>
        <v>9.4700000000000006E-2</v>
      </c>
      <c r="W21" s="288"/>
      <c r="X21" s="209">
        <f>'Pricing Summary'!C53</f>
        <v>0.08</v>
      </c>
      <c r="Y21" s="8"/>
      <c r="Z21" s="8"/>
      <c r="AA21" s="8"/>
      <c r="AB21" s="1035">
        <f t="shared" si="2"/>
        <v>0</v>
      </c>
      <c r="AC21" s="1023"/>
      <c r="AD21" s="1023"/>
      <c r="AE21" s="1023"/>
      <c r="AF21" s="287"/>
      <c r="AG21" s="287"/>
      <c r="AH21" s="287"/>
      <c r="AI21" s="287"/>
      <c r="AJ21" s="287"/>
      <c r="AK21" s="287"/>
      <c r="AL21" s="287"/>
      <c r="AM21" s="287"/>
      <c r="AN21" s="287"/>
      <c r="AO21" s="287"/>
      <c r="AP21" s="249"/>
    </row>
    <row r="22" spans="4:49" hidden="1">
      <c r="E22" s="248"/>
      <c r="F22" s="8"/>
      <c r="G22" s="8"/>
      <c r="H22" s="8"/>
      <c r="I22" s="278"/>
      <c r="J22" s="289" t="str">
        <f t="shared" si="4"/>
        <v>IS</v>
      </c>
      <c r="K22" s="290" t="str">
        <f>K21</f>
        <v>Contr/Govt</v>
      </c>
      <c r="L22" s="211" t="s">
        <v>685</v>
      </c>
      <c r="M22" s="807">
        <v>0</v>
      </c>
      <c r="N22" s="294">
        <f>N21</f>
        <v>1</v>
      </c>
      <c r="O22" s="835">
        <v>0</v>
      </c>
      <c r="P22" s="835">
        <v>0</v>
      </c>
      <c r="Q22" s="295"/>
      <c r="R22" s="296">
        <f>VLOOKUP($E$8&amp;$J22&amp;InputSheet!$C$44&amp;$K22,Indirects,2,FALSE)</f>
        <v>3.0700000000000002E-2</v>
      </c>
      <c r="S22" s="835">
        <v>0</v>
      </c>
      <c r="T22" s="835">
        <v>0</v>
      </c>
      <c r="U22" s="835">
        <v>0</v>
      </c>
      <c r="V22" s="296">
        <f t="shared" si="3"/>
        <v>9.4700000000000006E-2</v>
      </c>
      <c r="W22" s="297"/>
      <c r="X22" s="212">
        <f t="shared" si="6"/>
        <v>0.08</v>
      </c>
      <c r="Y22" s="8"/>
      <c r="Z22" s="8"/>
      <c r="AA22" s="8"/>
      <c r="AB22" s="1035">
        <f t="shared" si="2"/>
        <v>0</v>
      </c>
      <c r="AC22" s="1025"/>
      <c r="AD22" s="1025"/>
      <c r="AE22" s="1025"/>
      <c r="AF22" s="295"/>
      <c r="AG22" s="296"/>
      <c r="AH22" s="296"/>
      <c r="AI22" s="296"/>
      <c r="AJ22" s="296"/>
      <c r="AK22" s="296"/>
      <c r="AL22" s="296"/>
      <c r="AM22" s="296"/>
      <c r="AN22" s="296"/>
      <c r="AO22" s="296"/>
      <c r="AP22" s="249"/>
    </row>
    <row r="23" spans="4:49" hidden="1">
      <c r="E23" s="248"/>
      <c r="F23" s="8"/>
      <c r="G23" s="8"/>
      <c r="H23" s="8"/>
      <c r="I23" s="278"/>
      <c r="J23" s="289" t="str">
        <f t="shared" si="4"/>
        <v>IS</v>
      </c>
      <c r="K23" s="290" t="str">
        <f>K22</f>
        <v>Contr/Govt</v>
      </c>
      <c r="L23" s="207" t="s">
        <v>616</v>
      </c>
      <c r="M23" s="808">
        <v>0</v>
      </c>
      <c r="N23" s="298">
        <v>1</v>
      </c>
      <c r="O23" s="836">
        <v>0</v>
      </c>
      <c r="P23" s="836">
        <v>0</v>
      </c>
      <c r="Q23" s="299"/>
      <c r="R23" s="299">
        <f>VLOOKUP($E$8&amp;$J23&amp;InputSheet!$C$44&amp;$K23,Indirects,2,FALSE)</f>
        <v>3.0700000000000002E-2</v>
      </c>
      <c r="S23" s="836">
        <v>0</v>
      </c>
      <c r="T23" s="836">
        <v>0</v>
      </c>
      <c r="U23" s="836">
        <v>0</v>
      </c>
      <c r="V23" s="299">
        <f t="shared" si="3"/>
        <v>9.4700000000000006E-2</v>
      </c>
      <c r="W23" s="300"/>
      <c r="X23" s="213">
        <v>0</v>
      </c>
      <c r="Y23" s="8"/>
      <c r="Z23" s="8"/>
      <c r="AA23" s="8"/>
      <c r="AB23" s="1035">
        <f t="shared" si="2"/>
        <v>0</v>
      </c>
      <c r="AC23" s="1026"/>
      <c r="AD23" s="1026"/>
      <c r="AE23" s="1026"/>
      <c r="AF23" s="299"/>
      <c r="AG23" s="299"/>
      <c r="AH23" s="299"/>
      <c r="AI23" s="299"/>
      <c r="AJ23" s="299"/>
      <c r="AK23" s="299"/>
      <c r="AL23" s="299"/>
      <c r="AM23" s="299"/>
      <c r="AN23" s="299"/>
      <c r="AO23" s="299"/>
      <c r="AP23" s="249"/>
    </row>
    <row r="24" spans="4:49">
      <c r="E24" s="248"/>
      <c r="F24" s="8"/>
      <c r="G24" s="8"/>
      <c r="H24" s="8"/>
      <c r="I24" s="278"/>
      <c r="J24" s="301" t="str">
        <f t="shared" si="4"/>
        <v>IS</v>
      </c>
      <c r="K24" s="302" t="str">
        <f>K23</f>
        <v>Contr/Govt</v>
      </c>
      <c r="L24" s="237" t="s">
        <v>617</v>
      </c>
      <c r="M24" s="809">
        <v>0</v>
      </c>
      <c r="N24" s="303">
        <v>1</v>
      </c>
      <c r="O24" s="837">
        <v>0</v>
      </c>
      <c r="P24" s="837">
        <v>0</v>
      </c>
      <c r="Q24" s="304"/>
      <c r="R24" s="305">
        <f>IF(OR($J$24="MBI - FT",$J$24="MBI - PT"),R23,0)</f>
        <v>0</v>
      </c>
      <c r="S24" s="837">
        <v>0</v>
      </c>
      <c r="T24" s="837">
        <v>0</v>
      </c>
      <c r="U24" s="837">
        <v>0</v>
      </c>
      <c r="V24" s="305">
        <f t="shared" si="3"/>
        <v>9.4700000000000006E-2</v>
      </c>
      <c r="W24" s="306"/>
      <c r="X24" s="238">
        <f>'Pricing Summary'!C54</f>
        <v>0.08</v>
      </c>
      <c r="Y24" s="8"/>
      <c r="Z24" s="8"/>
      <c r="AA24" s="8"/>
      <c r="AB24" s="1035">
        <f t="shared" si="2"/>
        <v>0</v>
      </c>
      <c r="AC24" s="1027"/>
      <c r="AD24" s="1027"/>
      <c r="AE24" s="1027"/>
      <c r="AF24" s="304"/>
      <c r="AG24" s="305"/>
      <c r="AH24" s="305"/>
      <c r="AI24" s="305"/>
      <c r="AJ24" s="305"/>
      <c r="AK24" s="305"/>
      <c r="AL24" s="305"/>
      <c r="AM24" s="305"/>
      <c r="AN24" s="305"/>
      <c r="AO24" s="305"/>
      <c r="AP24" s="249"/>
    </row>
    <row r="25" spans="4:49">
      <c r="E25" s="248"/>
      <c r="F25" s="8"/>
      <c r="G25" s="8"/>
      <c r="H25" s="8"/>
      <c r="I25" s="8"/>
      <c r="J25" s="307"/>
      <c r="K25" s="307"/>
      <c r="L25" s="307"/>
      <c r="M25" s="307"/>
      <c r="N25" s="307"/>
      <c r="O25" s="307"/>
      <c r="P25" s="307"/>
      <c r="Q25" s="307"/>
      <c r="R25" s="307"/>
      <c r="S25" s="307"/>
      <c r="T25" s="307"/>
      <c r="U25" s="307"/>
      <c r="V25" s="307"/>
      <c r="W25" s="307"/>
      <c r="X25" s="307"/>
      <c r="Y25" s="8"/>
      <c r="Z25" s="8"/>
      <c r="AA25" s="8"/>
      <c r="AB25" s="250" t="s">
        <v>920</v>
      </c>
      <c r="AC25" s="8"/>
      <c r="AD25" s="8"/>
      <c r="AE25" s="8"/>
      <c r="AF25" s="8"/>
      <c r="AG25" s="8"/>
      <c r="AH25" s="8"/>
      <c r="AI25" s="8"/>
      <c r="AJ25" s="8"/>
      <c r="AK25" s="8"/>
      <c r="AL25" s="8"/>
      <c r="AM25" s="8"/>
      <c r="AN25" s="8"/>
      <c r="AO25" s="8"/>
      <c r="AP25" s="8"/>
      <c r="AV25" s="308"/>
      <c r="AW25" s="308"/>
    </row>
    <row r="26" spans="4:49" hidden="1" outlineLevel="1">
      <c r="E26" s="248"/>
      <c r="F26" s="8"/>
      <c r="G26" s="8"/>
      <c r="H26" s="8"/>
      <c r="I26" s="8"/>
      <c r="J26" s="8"/>
      <c r="K26" s="8"/>
      <c r="L26" s="8"/>
      <c r="M26" s="309"/>
      <c r="N26" s="310" t="str">
        <f>M$28&amp;"*"&amp;N$5</f>
        <v>A*B%</v>
      </c>
      <c r="O26" s="310"/>
      <c r="P26" s="310"/>
      <c r="Q26" s="310" t="str">
        <f>N$28&amp;"*"&amp;Q$5</f>
        <v>B*C%</v>
      </c>
      <c r="R26" s="310" t="str">
        <f>"("&amp;N28&amp;"+"&amp;Q$28&amp;")"&amp;"*"&amp;R$5</f>
        <v>(B+C)*D%</v>
      </c>
      <c r="S26" s="310"/>
      <c r="T26" s="310"/>
      <c r="U26" s="310"/>
      <c r="V26" s="310" t="str">
        <f>"("&amp;N28&amp;"+"&amp;Q28&amp;"+"&amp;R$28&amp;")"&amp;"*"&amp;V$5</f>
        <v>(B+C+D)*E%</v>
      </c>
      <c r="W26" s="310" t="s">
        <v>776</v>
      </c>
      <c r="X26" s="310" t="str">
        <f>"("&amp;N28&amp;"+"&amp;Q28&amp;"+"&amp;R$28&amp;"+"&amp;V$28&amp;")"&amp;"*"&amp;X$5</f>
        <v>(B+C+D+E)*G%</v>
      </c>
      <c r="Y26" s="8"/>
      <c r="Z26" s="8"/>
      <c r="AA26" s="8"/>
      <c r="AB26" s="250"/>
    </row>
    <row r="27" spans="4:49" ht="8.25" hidden="1" customHeight="1" outlineLevel="1">
      <c r="E27" s="248"/>
      <c r="F27" s="8"/>
      <c r="G27" s="8"/>
      <c r="H27" s="8"/>
      <c r="I27" s="8"/>
      <c r="J27" s="8"/>
      <c r="K27" s="8"/>
      <c r="L27" s="8"/>
      <c r="M27" s="311"/>
      <c r="N27" s="312"/>
      <c r="O27" s="312"/>
      <c r="P27" s="312"/>
      <c r="Q27" s="312"/>
      <c r="R27" s="312"/>
      <c r="S27" s="312"/>
      <c r="T27" s="312"/>
      <c r="U27" s="312"/>
      <c r="V27" s="312"/>
      <c r="W27" s="312"/>
      <c r="X27" s="312"/>
      <c r="Y27" s="8"/>
      <c r="Z27" s="8"/>
      <c r="AA27" s="8"/>
      <c r="AB27" s="250"/>
    </row>
    <row r="28" spans="4:49" hidden="1" outlineLevel="1">
      <c r="E28" s="248"/>
      <c r="F28" s="8"/>
      <c r="G28" s="8"/>
      <c r="H28" s="8"/>
      <c r="I28" s="8"/>
      <c r="J28" s="8"/>
      <c r="K28" s="8"/>
      <c r="L28" s="8"/>
      <c r="M28" s="263" t="s">
        <v>601</v>
      </c>
      <c r="N28" s="263" t="s">
        <v>598</v>
      </c>
      <c r="O28" s="263"/>
      <c r="P28" s="263"/>
      <c r="Q28" s="263" t="s">
        <v>599</v>
      </c>
      <c r="R28" s="263" t="s">
        <v>618</v>
      </c>
      <c r="S28" s="263"/>
      <c r="T28" s="263"/>
      <c r="U28" s="263"/>
      <c r="V28" s="263" t="s">
        <v>645</v>
      </c>
      <c r="W28" s="263" t="s">
        <v>774</v>
      </c>
      <c r="X28" s="263" t="s">
        <v>775</v>
      </c>
      <c r="Y28" s="8"/>
      <c r="Z28" s="8"/>
      <c r="AA28" s="8"/>
      <c r="AB28" s="250"/>
    </row>
    <row r="29" spans="4:49" collapsed="1">
      <c r="E29" s="248"/>
      <c r="F29" s="8"/>
      <c r="G29" s="8"/>
      <c r="H29" s="8"/>
      <c r="I29" s="8"/>
      <c r="J29" s="8"/>
      <c r="K29" s="8"/>
      <c r="L29" s="8"/>
      <c r="M29" s="8"/>
      <c r="N29" s="8"/>
      <c r="O29" s="8"/>
      <c r="P29" s="8"/>
      <c r="Q29" s="8"/>
      <c r="R29" s="8"/>
      <c r="S29" s="8"/>
      <c r="T29" s="8"/>
      <c r="U29" s="8"/>
      <c r="V29" s="8"/>
      <c r="W29" s="313"/>
      <c r="X29" s="8"/>
      <c r="Y29" s="8"/>
      <c r="Z29" s="8"/>
      <c r="AA29" s="8"/>
      <c r="AB29" s="250">
        <v>12</v>
      </c>
      <c r="AP29" s="314"/>
      <c r="AQ29" s="39"/>
      <c r="AR29" s="314"/>
      <c r="AS29" s="39"/>
      <c r="AV29" s="308" t="s">
        <v>778</v>
      </c>
      <c r="AW29" s="308" t="s">
        <v>777</v>
      </c>
    </row>
    <row r="30" spans="4:49" ht="13.5" thickBot="1">
      <c r="E30" s="315" t="s">
        <v>632</v>
      </c>
      <c r="F30" s="37"/>
      <c r="G30" s="37" t="s">
        <v>633</v>
      </c>
      <c r="H30" s="8"/>
      <c r="I30" s="37" t="s">
        <v>634</v>
      </c>
      <c r="J30" s="47" t="s">
        <v>644</v>
      </c>
      <c r="K30" s="47" t="s">
        <v>644</v>
      </c>
      <c r="L30" s="37" t="str">
        <f>L8</f>
        <v>Burden Code</v>
      </c>
      <c r="M30" s="39" t="s">
        <v>635</v>
      </c>
      <c r="N30" s="39" t="s">
        <v>58</v>
      </c>
      <c r="O30" s="39" t="str">
        <f>O8</f>
        <v>Hazard</v>
      </c>
      <c r="P30" s="39" t="str">
        <f>P8</f>
        <v>Harship</v>
      </c>
      <c r="Q30" s="39" t="str">
        <f t="shared" ref="Q30:X30" si="7">Q8</f>
        <v>PRB</v>
      </c>
      <c r="R30" s="39" t="str">
        <f t="shared" si="7"/>
        <v>Overhead</v>
      </c>
      <c r="S30" s="39" t="str">
        <f>S8</f>
        <v>Completion Bonus</v>
      </c>
      <c r="T30" s="39" t="str">
        <f>T8</f>
        <v>War Risk Ins.</v>
      </c>
      <c r="U30" s="39" t="str">
        <f>U8</f>
        <v>DBA Ins.</v>
      </c>
      <c r="V30" s="39" t="str">
        <f t="shared" si="7"/>
        <v>G&amp;A</v>
      </c>
      <c r="W30" s="39" t="str">
        <f t="shared" si="7"/>
        <v>Cost</v>
      </c>
      <c r="X30" s="39" t="str">
        <f t="shared" si="7"/>
        <v>Profit / Fee</v>
      </c>
      <c r="Y30" s="39" t="s">
        <v>908</v>
      </c>
      <c r="Z30" s="39" t="s">
        <v>646</v>
      </c>
      <c r="AA30" s="39" t="s">
        <v>638</v>
      </c>
      <c r="AB30" s="316" t="s">
        <v>907</v>
      </c>
      <c r="AC30" s="314"/>
      <c r="AD30" s="314"/>
      <c r="AE30" s="314"/>
      <c r="AF30" s="314"/>
      <c r="AG30" s="314"/>
      <c r="AH30" s="314"/>
      <c r="AI30" s="314"/>
      <c r="AJ30" s="314"/>
      <c r="AK30" s="314"/>
      <c r="AL30" s="314"/>
      <c r="AM30" s="314"/>
      <c r="AN30" s="314"/>
      <c r="AO30" s="314"/>
      <c r="AP30" s="314"/>
      <c r="AQ30" s="39"/>
      <c r="AR30" s="314"/>
      <c r="AS30" s="39"/>
      <c r="AV30" s="251">
        <v>1</v>
      </c>
      <c r="AW30" s="251">
        <v>1</v>
      </c>
    </row>
    <row r="31" spans="4:49" s="317" customFormat="1" ht="16.5" thickBot="1">
      <c r="E31" s="240" t="s">
        <v>640</v>
      </c>
      <c r="F31" s="202"/>
      <c r="G31" s="202"/>
      <c r="H31" s="203"/>
      <c r="I31" s="202"/>
      <c r="J31" s="201"/>
      <c r="K31" s="201"/>
      <c r="L31" s="202"/>
      <c r="M31" s="204"/>
      <c r="N31" s="204"/>
      <c r="O31" s="204"/>
      <c r="P31" s="204"/>
      <c r="Q31" s="204"/>
      <c r="R31" s="204"/>
      <c r="S31" s="204"/>
      <c r="T31" s="204"/>
      <c r="U31" s="204"/>
      <c r="V31" s="204"/>
      <c r="W31" s="204"/>
      <c r="X31" s="204"/>
      <c r="Y31" s="204"/>
      <c r="Z31" s="204"/>
      <c r="AA31" s="204"/>
      <c r="AB31" s="205"/>
      <c r="AC31" s="206"/>
      <c r="AD31" s="206"/>
      <c r="AE31" s="206" t="s">
        <v>742</v>
      </c>
      <c r="AF31" s="206" t="s">
        <v>741</v>
      </c>
      <c r="AG31" s="206" t="s">
        <v>66</v>
      </c>
      <c r="AH31" s="206"/>
      <c r="AI31" s="206"/>
      <c r="AJ31" s="206"/>
      <c r="AK31" s="206"/>
      <c r="AL31" s="206"/>
      <c r="AM31" s="206"/>
      <c r="AN31" s="206"/>
      <c r="AO31" s="206"/>
      <c r="AP31" s="206"/>
      <c r="AQ31" s="206"/>
      <c r="AR31" s="206"/>
      <c r="AS31" s="318"/>
      <c r="AV31" s="251">
        <v>1</v>
      </c>
      <c r="AW31" s="251">
        <v>1</v>
      </c>
    </row>
    <row r="32" spans="4:49">
      <c r="D32" s="8">
        <v>1</v>
      </c>
      <c r="E32" s="319" t="str">
        <f t="shared" ref="E32:E46" si="8">VLOOKUP($D32,DL,2,FALSE)</f>
        <v xml:space="preserve">LAN/Wan Engineer </v>
      </c>
      <c r="F32" s="8"/>
      <c r="G32" s="363" t="str">
        <f>+InputSheet!E173</f>
        <v>ManTech</v>
      </c>
      <c r="H32" s="8"/>
      <c r="I32" s="320">
        <f t="shared" ref="I32:I46" si="9">VLOOKUP($D32,DL,5,FALSE)</f>
        <v>0</v>
      </c>
      <c r="J32" s="198" t="str">
        <f>G32&amp;D32&amp;I32&amp;L32</f>
        <v>ManTech10Govt</v>
      </c>
      <c r="K32" s="198"/>
      <c r="L32" s="363" t="s">
        <v>623</v>
      </c>
      <c r="M32" s="321">
        <f>IF(G32="ManTech",(VLOOKUP($D32,DL,6,FALSE)),(INDEX('Sub Rates'!$F$9:$IK$48,MATCH(($E32&amp;$L32),'Sub Rates'!$E$9:$E$48,0),MATCH(($E$8&amp;$G32),'Sub Rates'!$F$8:$IK$8,0))))</f>
        <v>29</v>
      </c>
      <c r="N32" s="321">
        <f t="shared" ref="N32:N46" ca="1" si="10">ROUND($M32*(VLOOKUP($L32,$L$9:$X$24,N$6,FALSE)),2)</f>
        <v>29.72</v>
      </c>
      <c r="O32" s="321">
        <f ca="1">$N32*(VLOOKUP($L32,$L$9:$X$24,O$6,FALSE))</f>
        <v>10.401999999999999</v>
      </c>
      <c r="P32" s="321">
        <f ca="1">$N32*(VLOOKUP($L32,$L$9:$X$24,P$6,FALSE))</f>
        <v>10.401999999999999</v>
      </c>
      <c r="Q32" s="321">
        <f ca="1">($N32+O32+P32)*(VLOOKUP($L32,$L$9:$X$24,Q$6,FALSE))</f>
        <v>15.7836976</v>
      </c>
      <c r="R32" s="321">
        <f ca="1">($N32+$Q32+O32+P32)*(VLOOKUP($L32,$L$9:$X$24,R$6,FALSE))</f>
        <v>1.4786616564799999</v>
      </c>
      <c r="S32" s="321">
        <f>$S$10/Z32</f>
        <v>1.4367816091954022</v>
      </c>
      <c r="T32" s="321">
        <f>$T$10/Z32</f>
        <v>0.25875862068965516</v>
      </c>
      <c r="U32" s="321">
        <f ca="1">N32*$U$10</f>
        <v>0.56467999999999996</v>
      </c>
      <c r="V32" s="321">
        <f ca="1">IF($G32="ManTech",(SUM($N32:$U32)*(VLOOKUP($L32,$L$9:$X$24,V$6,FALSE))),(IF(R32=0,((SUM(N32,#REF!))*(VLOOKUP($L32,$L$9:$X$24,V$6,FALSE))),(SUM($R32:$R32)*(VLOOKUP($L32,$L$9:$X$24,V$6,FALSE))))))</f>
        <v>6.6334110773587716</v>
      </c>
      <c r="W32" s="321">
        <f ca="1">SUM(N32:V32)</f>
        <v>76.679990563723834</v>
      </c>
      <c r="X32" s="321">
        <f t="shared" ref="X32:X46" ca="1" si="11">(W32*(VLOOKUP($L32,$L$9:$X$24,X$6,FALSE)))</f>
        <v>6.1343992450979066</v>
      </c>
      <c r="Y32" s="321">
        <f ca="1">ROUND(SUM(W32:X32),2)</f>
        <v>82.81</v>
      </c>
      <c r="Z32" s="214">
        <f>VLOOKUP(D32,InputSheet!B173:O187,12,FALSE)</f>
        <v>3480</v>
      </c>
      <c r="AA32" s="336">
        <f t="shared" ref="AA32:AA46" ca="1" si="12">$Y32*$Z32</f>
        <v>288178.8</v>
      </c>
      <c r="AB32" s="1036">
        <f ca="1">Y32*$AB$29</f>
        <v>993.72</v>
      </c>
      <c r="AC32" s="323"/>
      <c r="AD32" s="323"/>
      <c r="AE32" s="323">
        <f ca="1">W32*Z32</f>
        <v>266846.36716175894</v>
      </c>
      <c r="AF32" s="323">
        <f ca="1">Y32*Z32</f>
        <v>288178.8</v>
      </c>
      <c r="AG32" s="323">
        <f ca="1">AF32-AE32</f>
        <v>21332.432838241046</v>
      </c>
      <c r="AH32" s="20">
        <f ca="1">IF(AG32=0,0,ROUND(AG32/AE32,2))</f>
        <v>0.08</v>
      </c>
      <c r="AI32" s="323"/>
      <c r="AJ32" s="323"/>
      <c r="AK32" s="323"/>
      <c r="AL32" s="323"/>
      <c r="AM32" s="323"/>
      <c r="AN32" s="323"/>
      <c r="AO32" s="323"/>
      <c r="AP32" s="323"/>
      <c r="AQ32" s="60"/>
      <c r="AR32" s="324"/>
      <c r="AS32" s="325"/>
      <c r="AV32" s="251" t="str">
        <f ca="1">IF((OR((Y32=""),(Y32&gt;0))),"1","0")</f>
        <v>1</v>
      </c>
      <c r="AW32" s="251" t="str">
        <f ca="1">IF((OR((AA32=""),(AA32&gt;0))),"1","0")</f>
        <v>1</v>
      </c>
    </row>
    <row r="33" spans="4:49">
      <c r="D33" s="8">
        <f>D32+1</f>
        <v>2</v>
      </c>
      <c r="E33" s="319" t="str">
        <f t="shared" si="8"/>
        <v>Functional Services Administrator</v>
      </c>
      <c r="F33" s="8"/>
      <c r="G33" s="363" t="str">
        <f>+InputSheet!E174</f>
        <v>ManTech</v>
      </c>
      <c r="H33" s="8"/>
      <c r="I33" s="320">
        <f t="shared" si="9"/>
        <v>0</v>
      </c>
      <c r="J33" s="198" t="str">
        <f t="shared" ref="J33:J46" si="13">G33&amp;D33&amp;I33&amp;L33</f>
        <v>ManTech20Govt</v>
      </c>
      <c r="K33" s="198"/>
      <c r="L33" s="363" t="s">
        <v>623</v>
      </c>
      <c r="M33" s="321">
        <f>IF(G33="ManTech",(VLOOKUP($D33,DL,6,FALSE)),(INDEX('Sub Rates'!$F$9:$IK$48,MATCH(($E33&amp;$L33),'Sub Rates'!$E$9:$E$48,0),MATCH(($E$8&amp;$G33),'Sub Rates'!$F$8:$IK$8,0))))</f>
        <v>33.81</v>
      </c>
      <c r="N33" s="321">
        <f t="shared" ca="1" si="10"/>
        <v>34.65</v>
      </c>
      <c r="O33" s="321">
        <f t="shared" ref="O33:P46" ca="1" si="14">$N33*(VLOOKUP($L33,$L$9:$X$24,O$6,FALSE))</f>
        <v>12.1275</v>
      </c>
      <c r="P33" s="321">
        <f t="shared" ca="1" si="14"/>
        <v>12.1275</v>
      </c>
      <c r="Q33" s="321">
        <f t="shared" ref="Q33:Q46" ca="1" si="15">($N33+O33+P33)*(VLOOKUP($L33,$L$9:$X$24,Q$6,FALSE))</f>
        <v>18.401921999999999</v>
      </c>
      <c r="R33" s="321">
        <f t="shared" ref="R33:R46" ca="1" si="16">($N33+$Q33+O33+P33)*(VLOOKUP($L33,$L$9:$X$24,R$6,FALSE))</f>
        <v>1.7239443606</v>
      </c>
      <c r="S33" s="321">
        <f t="shared" ref="S33:S46" si="17">$S$10/Z33</f>
        <v>1.4367816091954022</v>
      </c>
      <c r="T33" s="321">
        <f t="shared" ref="T33:T46" si="18">$T$10/Z33</f>
        <v>0.25875862068965516</v>
      </c>
      <c r="U33" s="321">
        <f t="shared" ref="U33:U46" ca="1" si="19">N33*$U$10</f>
        <v>0.65834999999999999</v>
      </c>
      <c r="V33" s="321">
        <f ca="1">IF($G33="ManTech",(SUM($N33:$U33)*(VLOOKUP($L33,$L$9:$X$24,V$6,FALSE))),(IF(R33=0,((SUM(N33,#REF!))*(VLOOKUP($L33,$L$9:$X$24,V$6,FALSE))),(SUM($R33:$R33)*(VLOOKUP($L33,$L$9:$X$24,V$6,FALSE))))))</f>
        <v>7.7071364491189351</v>
      </c>
      <c r="W33" s="321">
        <f t="shared" ref="W33:W46" ca="1" si="20">SUM(N33:V33)</f>
        <v>89.091893039603988</v>
      </c>
      <c r="X33" s="321">
        <f t="shared" ca="1" si="11"/>
        <v>7.1273514431683189</v>
      </c>
      <c r="Y33" s="321">
        <f t="shared" ref="Y33:Y46" ca="1" si="21">ROUND(SUM(W33:X33),2)</f>
        <v>96.22</v>
      </c>
      <c r="Z33" s="214">
        <f>VLOOKUP(D33,InputSheet!B174:O188,12,FALSE)</f>
        <v>3480</v>
      </c>
      <c r="AA33" s="336">
        <f t="shared" ca="1" si="12"/>
        <v>334845.59999999998</v>
      </c>
      <c r="AB33" s="1036">
        <f t="shared" ref="AB33:AB46" ca="1" si="22">Y33*$AB$29</f>
        <v>1154.6399999999999</v>
      </c>
      <c r="AC33" s="323"/>
      <c r="AD33" s="323"/>
      <c r="AE33" s="323">
        <f t="shared" ref="AE33:AE46" ca="1" si="23">W33*Z33</f>
        <v>310039.78777782188</v>
      </c>
      <c r="AF33" s="323">
        <f t="shared" ref="AF33:AF46" ca="1" si="24">Y33*Z33</f>
        <v>334845.59999999998</v>
      </c>
      <c r="AG33" s="323">
        <f t="shared" ref="AG33:AG46" ca="1" si="25">AF33-AE33</f>
        <v>24805.812222178094</v>
      </c>
      <c r="AH33" s="20">
        <f t="shared" ref="AH33:AH46" ca="1" si="26">IF(AG33=0,0,ROUND(AG33/AE33,2))</f>
        <v>0.08</v>
      </c>
      <c r="AI33" s="323"/>
      <c r="AJ33" s="323"/>
      <c r="AK33" s="323"/>
      <c r="AL33" s="323"/>
      <c r="AM33" s="323"/>
      <c r="AN33" s="323"/>
      <c r="AO33" s="323"/>
      <c r="AP33" s="323"/>
      <c r="AQ33" s="60"/>
      <c r="AR33" s="324"/>
      <c r="AS33" s="325"/>
      <c r="AV33" s="251" t="str">
        <f t="shared" ref="AV33:AV97" ca="1" si="27">IF((OR((Y33=""),(Y33&gt;0))),"1","0")</f>
        <v>1</v>
      </c>
      <c r="AW33" s="251" t="str">
        <f t="shared" ref="AW33:AW97" ca="1" si="28">IF((OR((AA33=""),(AA33&gt;0))),"1","0")</f>
        <v>1</v>
      </c>
    </row>
    <row r="34" spans="4:49">
      <c r="D34" s="8">
        <f t="shared" ref="D34:D42" si="29">D33+1</f>
        <v>3</v>
      </c>
      <c r="E34" s="319" t="str">
        <f t="shared" si="8"/>
        <v>Functional Services Administrator</v>
      </c>
      <c r="F34" s="8"/>
      <c r="G34" s="363" t="str">
        <f>+InputSheet!E175</f>
        <v>ManTech</v>
      </c>
      <c r="H34" s="8"/>
      <c r="I34" s="320">
        <f t="shared" si="9"/>
        <v>0</v>
      </c>
      <c r="J34" s="198" t="str">
        <f t="shared" si="13"/>
        <v>ManTech30Govt</v>
      </c>
      <c r="K34" s="198"/>
      <c r="L34" s="363" t="s">
        <v>623</v>
      </c>
      <c r="M34" s="321">
        <f>IF(G34="ManTech",(VLOOKUP($D34,DL,6,FALSE)),(INDEX('Sub Rates'!$F$9:$IK$48,MATCH(($E34&amp;$L34),'Sub Rates'!$E$9:$E$48,0),MATCH(($E$8&amp;$G34),'Sub Rates'!$F$8:$IK$8,0))))</f>
        <v>33.81</v>
      </c>
      <c r="N34" s="321">
        <f t="shared" ca="1" si="10"/>
        <v>34.65</v>
      </c>
      <c r="O34" s="321">
        <f t="shared" ca="1" si="14"/>
        <v>12.1275</v>
      </c>
      <c r="P34" s="321">
        <f t="shared" ca="1" si="14"/>
        <v>12.1275</v>
      </c>
      <c r="Q34" s="321">
        <f t="shared" ca="1" si="15"/>
        <v>18.401921999999999</v>
      </c>
      <c r="R34" s="321">
        <f t="shared" ca="1" si="16"/>
        <v>1.7239443606</v>
      </c>
      <c r="S34" s="321">
        <f t="shared" si="17"/>
        <v>1.4367816091954022</v>
      </c>
      <c r="T34" s="321">
        <f t="shared" si="18"/>
        <v>0.25875862068965516</v>
      </c>
      <c r="U34" s="321">
        <f t="shared" ca="1" si="19"/>
        <v>0.65834999999999999</v>
      </c>
      <c r="V34" s="321">
        <f ca="1">IF($G34="ManTech",(SUM($N34:$U34)*(VLOOKUP($L34,$L$9:$X$24,V$6,FALSE))),(IF(R34=0,((SUM(N34,#REF!))*(VLOOKUP($L34,$L$9:$X$24,V$6,FALSE))),(SUM($R34:$R34)*(VLOOKUP($L34,$L$9:$X$24,V$6,FALSE))))))</f>
        <v>7.7071364491189351</v>
      </c>
      <c r="W34" s="321">
        <f t="shared" ca="1" si="20"/>
        <v>89.091893039603988</v>
      </c>
      <c r="X34" s="321">
        <f t="shared" ca="1" si="11"/>
        <v>7.1273514431683189</v>
      </c>
      <c r="Y34" s="321">
        <f t="shared" ca="1" si="21"/>
        <v>96.22</v>
      </c>
      <c r="Z34" s="214">
        <f>VLOOKUP(D34,InputSheet!B175:O189,12,FALSE)</f>
        <v>3480</v>
      </c>
      <c r="AA34" s="336">
        <f t="shared" ca="1" si="12"/>
        <v>334845.59999999998</v>
      </c>
      <c r="AB34" s="1036">
        <f t="shared" ca="1" si="22"/>
        <v>1154.6399999999999</v>
      </c>
      <c r="AC34" s="323"/>
      <c r="AD34" s="323"/>
      <c r="AE34" s="323">
        <f t="shared" ca="1" si="23"/>
        <v>310039.78777782188</v>
      </c>
      <c r="AF34" s="323">
        <f t="shared" ca="1" si="24"/>
        <v>334845.59999999998</v>
      </c>
      <c r="AG34" s="323">
        <f t="shared" ca="1" si="25"/>
        <v>24805.812222178094</v>
      </c>
      <c r="AH34" s="20">
        <f t="shared" ca="1" si="26"/>
        <v>0.08</v>
      </c>
      <c r="AI34" s="323"/>
      <c r="AJ34" s="323"/>
      <c r="AK34" s="323"/>
      <c r="AL34" s="323"/>
      <c r="AM34" s="323"/>
      <c r="AN34" s="323"/>
      <c r="AO34" s="323"/>
      <c r="AP34" s="323"/>
      <c r="AQ34" s="60"/>
      <c r="AR34" s="324"/>
      <c r="AS34" s="325"/>
      <c r="AV34" s="251" t="str">
        <f t="shared" ca="1" si="27"/>
        <v>1</v>
      </c>
      <c r="AW34" s="251" t="str">
        <f t="shared" ca="1" si="28"/>
        <v>1</v>
      </c>
    </row>
    <row r="35" spans="4:49">
      <c r="D35" s="8">
        <f t="shared" si="29"/>
        <v>4</v>
      </c>
      <c r="E35" s="319" t="str">
        <f t="shared" si="8"/>
        <v>Functional Services Administrator</v>
      </c>
      <c r="F35" s="8"/>
      <c r="G35" s="363" t="str">
        <f>+InputSheet!E176</f>
        <v>ManTech</v>
      </c>
      <c r="H35" s="8"/>
      <c r="I35" s="320">
        <f t="shared" si="9"/>
        <v>0</v>
      </c>
      <c r="J35" s="198" t="str">
        <f t="shared" si="13"/>
        <v>ManTech40Govt_Sub</v>
      </c>
      <c r="K35" s="198"/>
      <c r="L35" s="363" t="s">
        <v>684</v>
      </c>
      <c r="M35" s="321">
        <f>IF(G35="ManTech",(VLOOKUP($D35,DL,6,FALSE)),(INDEX('Sub Rates'!$F$9:$IK$48,MATCH(($E35&amp;$L35),'Sub Rates'!$E$9:$E$48,0),MATCH(($E$8&amp;$G35),'Sub Rates'!$F$8:$IK$8,0))))</f>
        <v>33.81</v>
      </c>
      <c r="N35" s="321">
        <f t="shared" ca="1" si="10"/>
        <v>33.81</v>
      </c>
      <c r="O35" s="321">
        <f t="shared" ca="1" si="14"/>
        <v>0</v>
      </c>
      <c r="P35" s="321">
        <f t="shared" ca="1" si="14"/>
        <v>0</v>
      </c>
      <c r="Q35" s="321">
        <f t="shared" ca="1" si="15"/>
        <v>0</v>
      </c>
      <c r="R35" s="321">
        <f t="shared" ca="1" si="16"/>
        <v>1.0379670000000001</v>
      </c>
      <c r="S35" s="321">
        <v>0</v>
      </c>
      <c r="T35" s="321">
        <v>0</v>
      </c>
      <c r="U35" s="321">
        <v>0</v>
      </c>
      <c r="V35" s="321">
        <f ca="1">IF($G35="ManTech",(SUM($N35:$U35)*(VLOOKUP($L35,$L$9:$X$24,V$6,FALSE))),(IF(R35=0,((SUM(N35,#REF!))*(VLOOKUP($L35,$L$9:$X$24,V$6,FALSE))),(SUM($R35:$R35)*(VLOOKUP($L35,$L$9:$X$24,V$6,FALSE))))))</f>
        <v>3.3001024749000005</v>
      </c>
      <c r="W35" s="321">
        <f t="shared" ca="1" si="20"/>
        <v>38.148069474900005</v>
      </c>
      <c r="X35" s="321">
        <f t="shared" ca="1" si="11"/>
        <v>3.0518455579920003</v>
      </c>
      <c r="Y35" s="321">
        <f t="shared" ca="1" si="21"/>
        <v>41.2</v>
      </c>
      <c r="Z35" s="214">
        <f>VLOOKUP(D35,InputSheet!B176:O190,12,FALSE)</f>
        <v>3480</v>
      </c>
      <c r="AA35" s="336">
        <f t="shared" ca="1" si="12"/>
        <v>143376</v>
      </c>
      <c r="AB35" s="1036">
        <f t="shared" ca="1" si="22"/>
        <v>494.40000000000003</v>
      </c>
      <c r="AC35" s="323"/>
      <c r="AD35" s="323"/>
      <c r="AE35" s="323">
        <f t="shared" ca="1" si="23"/>
        <v>132755.28177265203</v>
      </c>
      <c r="AF35" s="323">
        <f t="shared" ca="1" si="24"/>
        <v>143376</v>
      </c>
      <c r="AG35" s="323">
        <f t="shared" ca="1" si="25"/>
        <v>10620.71822734797</v>
      </c>
      <c r="AH35" s="20">
        <f t="shared" ca="1" si="26"/>
        <v>0.08</v>
      </c>
      <c r="AI35" s="323"/>
      <c r="AJ35" s="323"/>
      <c r="AK35" s="323"/>
      <c r="AL35" s="323"/>
      <c r="AM35" s="323"/>
      <c r="AN35" s="323"/>
      <c r="AO35" s="323"/>
      <c r="AP35" s="323"/>
      <c r="AQ35" s="60"/>
      <c r="AR35" s="324"/>
      <c r="AS35" s="325"/>
      <c r="AV35" s="251" t="str">
        <f t="shared" ca="1" si="27"/>
        <v>1</v>
      </c>
      <c r="AW35" s="251" t="str">
        <f t="shared" ca="1" si="28"/>
        <v>1</v>
      </c>
    </row>
    <row r="36" spans="4:49">
      <c r="D36" s="8">
        <f t="shared" si="29"/>
        <v>5</v>
      </c>
      <c r="E36" s="319" t="str">
        <f t="shared" si="8"/>
        <v>Service Desk</v>
      </c>
      <c r="F36" s="8"/>
      <c r="G36" s="363" t="str">
        <f>+InputSheet!E177</f>
        <v>ManTech</v>
      </c>
      <c r="H36" s="8"/>
      <c r="I36" s="320">
        <f t="shared" si="9"/>
        <v>0</v>
      </c>
      <c r="J36" s="198" t="str">
        <f t="shared" si="13"/>
        <v>ManTech50Govt</v>
      </c>
      <c r="K36" s="198"/>
      <c r="L36" s="363" t="s">
        <v>623</v>
      </c>
      <c r="M36" s="321">
        <f>IF(G36="ManTech",(VLOOKUP($D36,DL,6,FALSE)),(INDEX('Sub Rates'!$F$9:$IK$48,MATCH(($E36&amp;$L36),'Sub Rates'!$E$9:$E$48,0),MATCH(($E$8&amp;$G36),'Sub Rates'!$F$8:$IK$8,0))))</f>
        <v>26</v>
      </c>
      <c r="N36" s="321">
        <f t="shared" ca="1" si="10"/>
        <v>26.64</v>
      </c>
      <c r="O36" s="321">
        <f t="shared" ca="1" si="14"/>
        <v>9.3239999999999998</v>
      </c>
      <c r="P36" s="321">
        <f t="shared" ca="1" si="14"/>
        <v>9.3239999999999998</v>
      </c>
      <c r="Q36" s="321">
        <f t="shared" ca="1" si="15"/>
        <v>14.147971199999999</v>
      </c>
      <c r="R36" s="321">
        <f t="shared" ca="1" si="16"/>
        <v>1.3254221577600001</v>
      </c>
      <c r="S36" s="321">
        <f t="shared" si="17"/>
        <v>1.4367816091954022</v>
      </c>
      <c r="T36" s="321">
        <f t="shared" si="18"/>
        <v>0.25875862068965516</v>
      </c>
      <c r="U36" s="321">
        <f t="shared" ca="1" si="19"/>
        <v>0.50615999999999994</v>
      </c>
      <c r="V36" s="321">
        <f ca="1">IF($G36="ManTech",(SUM($N36:$U36)*(VLOOKUP($L36,$L$9:$X$24,V$6,FALSE))),(IF(R36=0,((SUM(N36,#REF!))*(VLOOKUP($L36,$L$9:$X$24,V$6,FALSE))),(SUM($R36:$R36)*(VLOOKUP($L36,$L$9:$X$24,V$6,FALSE))))))</f>
        <v>5.9626049627499871</v>
      </c>
      <c r="W36" s="321">
        <f t="shared" ca="1" si="20"/>
        <v>68.92569855039504</v>
      </c>
      <c r="X36" s="321">
        <f t="shared" ca="1" si="11"/>
        <v>5.5140558840316034</v>
      </c>
      <c r="Y36" s="321">
        <f t="shared" ca="1" si="21"/>
        <v>74.44</v>
      </c>
      <c r="Z36" s="214">
        <f>VLOOKUP(D36,InputSheet!B177:O191,12,FALSE)</f>
        <v>3480</v>
      </c>
      <c r="AA36" s="336">
        <f t="shared" ca="1" si="12"/>
        <v>259051.19999999998</v>
      </c>
      <c r="AB36" s="1036">
        <f t="shared" ca="1" si="22"/>
        <v>893.28</v>
      </c>
      <c r="AC36" s="323"/>
      <c r="AD36" s="323"/>
      <c r="AE36" s="323">
        <f t="shared" ca="1" si="23"/>
        <v>239861.43095537473</v>
      </c>
      <c r="AF36" s="323">
        <f t="shared" ca="1" si="24"/>
        <v>259051.19999999998</v>
      </c>
      <c r="AG36" s="323">
        <f t="shared" ca="1" si="25"/>
        <v>19189.769044625253</v>
      </c>
      <c r="AH36" s="20">
        <f t="shared" ca="1" si="26"/>
        <v>0.08</v>
      </c>
      <c r="AI36" s="323"/>
      <c r="AJ36" s="323"/>
      <c r="AK36" s="323"/>
      <c r="AL36" s="323"/>
      <c r="AM36" s="323"/>
      <c r="AN36" s="323"/>
      <c r="AO36" s="323"/>
      <c r="AP36" s="323"/>
      <c r="AQ36" s="60"/>
      <c r="AR36" s="324"/>
      <c r="AS36" s="325"/>
      <c r="AV36" s="251" t="str">
        <f t="shared" ca="1" si="27"/>
        <v>1</v>
      </c>
      <c r="AW36" s="251" t="str">
        <f t="shared" ca="1" si="28"/>
        <v>1</v>
      </c>
    </row>
    <row r="37" spans="4:49">
      <c r="D37" s="8">
        <f t="shared" si="29"/>
        <v>6</v>
      </c>
      <c r="E37" s="319" t="str">
        <f t="shared" si="8"/>
        <v>Service Desk</v>
      </c>
      <c r="F37" s="8"/>
      <c r="G37" s="363" t="str">
        <f>+InputSheet!E178</f>
        <v>ManTech</v>
      </c>
      <c r="H37" s="8"/>
      <c r="I37" s="320">
        <f t="shared" si="9"/>
        <v>0</v>
      </c>
      <c r="J37" s="198" t="str">
        <f t="shared" si="13"/>
        <v>ManTech60Govt</v>
      </c>
      <c r="K37" s="198"/>
      <c r="L37" s="363" t="s">
        <v>623</v>
      </c>
      <c r="M37" s="321">
        <f>IF(G37="ManTech",(VLOOKUP($D37,DL,6,FALSE)),(INDEX('Sub Rates'!$F$9:$IK$48,MATCH(($E37&amp;$L37),'Sub Rates'!$E$9:$E$48,0),MATCH(($E$8&amp;$G37),'Sub Rates'!$F$8:$IK$8,0))))</f>
        <v>26</v>
      </c>
      <c r="N37" s="321">
        <f t="shared" ca="1" si="10"/>
        <v>26.64</v>
      </c>
      <c r="O37" s="321">
        <f t="shared" ca="1" si="14"/>
        <v>9.3239999999999998</v>
      </c>
      <c r="P37" s="321">
        <f t="shared" ca="1" si="14"/>
        <v>9.3239999999999998</v>
      </c>
      <c r="Q37" s="321">
        <f t="shared" ca="1" si="15"/>
        <v>14.147971199999999</v>
      </c>
      <c r="R37" s="321">
        <f t="shared" ca="1" si="16"/>
        <v>1.3254221577600001</v>
      </c>
      <c r="S37" s="321">
        <f t="shared" si="17"/>
        <v>1.4367816091954022</v>
      </c>
      <c r="T37" s="321">
        <f t="shared" si="18"/>
        <v>0.25875862068965516</v>
      </c>
      <c r="U37" s="321">
        <f t="shared" ca="1" si="19"/>
        <v>0.50615999999999994</v>
      </c>
      <c r="V37" s="321">
        <f ca="1">IF($G37="ManTech",(SUM($N37:$U37)*(VLOOKUP($L37,$L$9:$X$24,V$6,FALSE))),(IF(R37=0,((SUM(N37,#REF!))*(VLOOKUP($L37,$L$9:$X$24,V$6,FALSE))),(SUM($R37:$R37)*(VLOOKUP($L37,$L$9:$X$24,V$6,FALSE))))))</f>
        <v>5.9626049627499871</v>
      </c>
      <c r="W37" s="321">
        <f t="shared" ca="1" si="20"/>
        <v>68.92569855039504</v>
      </c>
      <c r="X37" s="321">
        <f t="shared" ca="1" si="11"/>
        <v>5.5140558840316034</v>
      </c>
      <c r="Y37" s="321">
        <f ca="1">ROUND(SUM(W37:X37),2)</f>
        <v>74.44</v>
      </c>
      <c r="Z37" s="214">
        <f>VLOOKUP(D37,InputSheet!B178:O192,12,FALSE)</f>
        <v>3480</v>
      </c>
      <c r="AA37" s="336">
        <f t="shared" ca="1" si="12"/>
        <v>259051.19999999998</v>
      </c>
      <c r="AB37" s="1036">
        <f t="shared" ca="1" si="22"/>
        <v>893.28</v>
      </c>
      <c r="AC37" s="323"/>
      <c r="AD37" s="323"/>
      <c r="AE37" s="323">
        <f t="shared" ca="1" si="23"/>
        <v>239861.43095537473</v>
      </c>
      <c r="AF37" s="323">
        <f t="shared" ca="1" si="24"/>
        <v>259051.19999999998</v>
      </c>
      <c r="AG37" s="323">
        <f t="shared" ca="1" si="25"/>
        <v>19189.769044625253</v>
      </c>
      <c r="AH37" s="20">
        <f t="shared" ca="1" si="26"/>
        <v>0.08</v>
      </c>
      <c r="AI37" s="323"/>
      <c r="AJ37" s="323"/>
      <c r="AK37" s="323"/>
      <c r="AL37" s="323"/>
      <c r="AM37" s="323"/>
      <c r="AN37" s="323"/>
      <c r="AO37" s="323"/>
      <c r="AP37" s="323"/>
      <c r="AQ37" s="60"/>
      <c r="AR37" s="324"/>
      <c r="AS37" s="325"/>
      <c r="AV37" s="251" t="str">
        <f t="shared" ca="1" si="27"/>
        <v>1</v>
      </c>
      <c r="AW37" s="251" t="str">
        <f t="shared" ca="1" si="28"/>
        <v>1</v>
      </c>
    </row>
    <row r="38" spans="4:49">
      <c r="D38" s="8">
        <f t="shared" si="29"/>
        <v>7</v>
      </c>
      <c r="E38" s="319" t="str">
        <f t="shared" si="8"/>
        <v>CIS Training Supervisor</v>
      </c>
      <c r="F38" s="8"/>
      <c r="G38" s="363" t="str">
        <f>+InputSheet!E179</f>
        <v>Segovia, Inc.</v>
      </c>
      <c r="H38" s="8"/>
      <c r="I38" s="320">
        <f t="shared" si="9"/>
        <v>0</v>
      </c>
      <c r="J38" s="198" t="str">
        <f t="shared" si="13"/>
        <v>Segovia, Inc.70Govt_Sub</v>
      </c>
      <c r="K38" s="198"/>
      <c r="L38" s="363" t="s">
        <v>684</v>
      </c>
      <c r="M38" s="321">
        <f>IF(G38="ManTech",(VLOOKUP($D38,DL,6,FALSE)),(INDEX('Sub Rates'!$F$9:$IK$48,MATCH(($E38&amp;$L38),'Sub Rates'!$E$9:$E$48,0),MATCH(($E$8&amp;$G38),'Sub Rates'!$F$8:$IK$8,0))))</f>
        <v>76.75</v>
      </c>
      <c r="N38" s="321">
        <f t="shared" ca="1" si="10"/>
        <v>76.75</v>
      </c>
      <c r="O38" s="321">
        <f t="shared" ca="1" si="14"/>
        <v>0</v>
      </c>
      <c r="P38" s="321">
        <f t="shared" ca="1" si="14"/>
        <v>0</v>
      </c>
      <c r="Q38" s="321">
        <f t="shared" ca="1" si="15"/>
        <v>0</v>
      </c>
      <c r="R38" s="321">
        <f t="shared" ca="1" si="16"/>
        <v>2.3562250000000002</v>
      </c>
      <c r="S38" s="321">
        <v>0</v>
      </c>
      <c r="T38" s="321">
        <v>0</v>
      </c>
      <c r="U38" s="321">
        <v>0</v>
      </c>
      <c r="V38" s="321">
        <f ca="1">IF($G38="ManTech",(SUM($N38:$U38)*(VLOOKUP($L38,$L$9:$X$24,V$6,FALSE))),(IF(R38=0,((SUM(N38,#REF!))*(VLOOKUP($L38,$L$9:$X$24,V$6,FALSE))),(SUM($R38:$R38)*(VLOOKUP($L38,$L$9:$X$24,V$6,FALSE))))))</f>
        <v>0.22313450750000005</v>
      </c>
      <c r="W38" s="321">
        <f t="shared" ca="1" si="20"/>
        <v>79.329359507500001</v>
      </c>
      <c r="X38" s="321">
        <f t="shared" ca="1" si="11"/>
        <v>6.3463487606000006</v>
      </c>
      <c r="Y38" s="321">
        <f t="shared" ca="1" si="21"/>
        <v>85.68</v>
      </c>
      <c r="Z38" s="214">
        <f>VLOOKUP(D38,InputSheet!B179:O193,12,FALSE)</f>
        <v>3480</v>
      </c>
      <c r="AA38" s="336">
        <f t="shared" ca="1" si="12"/>
        <v>298166.40000000002</v>
      </c>
      <c r="AB38" s="1036">
        <f t="shared" ca="1" si="22"/>
        <v>1028.1600000000001</v>
      </c>
      <c r="AC38" s="323"/>
      <c r="AD38" s="323"/>
      <c r="AE38" s="323">
        <f t="shared" ca="1" si="23"/>
        <v>276066.17108609999</v>
      </c>
      <c r="AF38" s="323">
        <f t="shared" ca="1" si="24"/>
        <v>298166.40000000002</v>
      </c>
      <c r="AG38" s="323">
        <f t="shared" ca="1" si="25"/>
        <v>22100.228913900035</v>
      </c>
      <c r="AH38" s="20">
        <f t="shared" ca="1" si="26"/>
        <v>0.08</v>
      </c>
      <c r="AI38" s="323"/>
      <c r="AJ38" s="323"/>
      <c r="AK38" s="323"/>
      <c r="AL38" s="323"/>
      <c r="AM38" s="323"/>
      <c r="AN38" s="323"/>
      <c r="AO38" s="323"/>
      <c r="AP38" s="323"/>
      <c r="AQ38" s="60"/>
      <c r="AR38" s="324"/>
      <c r="AS38" s="325"/>
      <c r="AV38" s="251" t="str">
        <f t="shared" ca="1" si="27"/>
        <v>1</v>
      </c>
      <c r="AW38" s="251" t="str">
        <f t="shared" ca="1" si="28"/>
        <v>1</v>
      </c>
    </row>
    <row r="39" spans="4:49">
      <c r="D39" s="8">
        <f t="shared" si="29"/>
        <v>8</v>
      </c>
      <c r="E39" s="319" t="str">
        <f t="shared" si="8"/>
        <v>CIS Trainer</v>
      </c>
      <c r="F39" s="8"/>
      <c r="G39" s="363" t="str">
        <f>+InputSheet!E180</f>
        <v>Segovia, Inc.</v>
      </c>
      <c r="H39" s="8"/>
      <c r="I39" s="320">
        <f t="shared" si="9"/>
        <v>0</v>
      </c>
      <c r="J39" s="198" t="str">
        <f t="shared" si="13"/>
        <v>Segovia, Inc.80Govt_Sub</v>
      </c>
      <c r="K39" s="198"/>
      <c r="L39" s="363" t="s">
        <v>684</v>
      </c>
      <c r="M39" s="321">
        <f>IF(G39="ManTech",(VLOOKUP($D39,DL,6,FALSE)),(INDEX('Sub Rates'!$F$9:$IK$48,MATCH(($E39&amp;$L39),'Sub Rates'!$E$9:$E$48,0),MATCH(($E$8&amp;$G39),'Sub Rates'!$F$8:$IK$8,0))))</f>
        <v>65.416666666666671</v>
      </c>
      <c r="N39" s="321">
        <f t="shared" ca="1" si="10"/>
        <v>65.42</v>
      </c>
      <c r="O39" s="321">
        <f t="shared" ca="1" si="14"/>
        <v>0</v>
      </c>
      <c r="P39" s="321">
        <f t="shared" ca="1" si="14"/>
        <v>0</v>
      </c>
      <c r="Q39" s="321">
        <f t="shared" ca="1" si="15"/>
        <v>0</v>
      </c>
      <c r="R39" s="321">
        <f t="shared" ca="1" si="16"/>
        <v>2.008394</v>
      </c>
      <c r="S39" s="321">
        <v>0</v>
      </c>
      <c r="T39" s="321">
        <v>0</v>
      </c>
      <c r="U39" s="321">
        <v>0</v>
      </c>
      <c r="V39" s="321">
        <f ca="1">IF($G39="ManTech",(SUM($N39:$U39)*(VLOOKUP($L39,$L$9:$X$24,V$6,FALSE))),(IF(R39=0,((SUM(N39,#REF!))*(VLOOKUP($L39,$L$9:$X$24,V$6,FALSE))),(SUM($R39:$R39)*(VLOOKUP($L39,$L$9:$X$24,V$6,FALSE))))))</f>
        <v>0.1901949118</v>
      </c>
      <c r="W39" s="321">
        <f t="shared" ca="1" si="20"/>
        <v>67.618588911800003</v>
      </c>
      <c r="X39" s="321">
        <f t="shared" ca="1" si="11"/>
        <v>5.4094871129440003</v>
      </c>
      <c r="Y39" s="321">
        <f t="shared" ca="1" si="21"/>
        <v>73.03</v>
      </c>
      <c r="Z39" s="214">
        <f>VLOOKUP(D39,InputSheet!B180:O194,12,FALSE)</f>
        <v>3480</v>
      </c>
      <c r="AA39" s="336">
        <f t="shared" ca="1" si="12"/>
        <v>254144.4</v>
      </c>
      <c r="AB39" s="1036">
        <f t="shared" ca="1" si="22"/>
        <v>876.36</v>
      </c>
      <c r="AC39" s="323"/>
      <c r="AD39" s="323"/>
      <c r="AE39" s="323">
        <f t="shared" ca="1" si="23"/>
        <v>235312.68941306401</v>
      </c>
      <c r="AF39" s="323">
        <f t="shared" ca="1" si="24"/>
        <v>254144.4</v>
      </c>
      <c r="AG39" s="323">
        <f t="shared" ca="1" si="25"/>
        <v>18831.71058693598</v>
      </c>
      <c r="AH39" s="20">
        <f t="shared" ca="1" si="26"/>
        <v>0.08</v>
      </c>
      <c r="AI39" s="323"/>
      <c r="AJ39" s="323"/>
      <c r="AK39" s="323"/>
      <c r="AL39" s="323"/>
      <c r="AM39" s="323"/>
      <c r="AN39" s="323"/>
      <c r="AO39" s="323"/>
      <c r="AP39" s="323"/>
      <c r="AQ39" s="60"/>
      <c r="AR39" s="324"/>
      <c r="AS39" s="325"/>
      <c r="AV39" s="251" t="str">
        <f t="shared" ca="1" si="27"/>
        <v>1</v>
      </c>
      <c r="AW39" s="251" t="str">
        <f t="shared" ca="1" si="28"/>
        <v>1</v>
      </c>
    </row>
    <row r="40" spans="4:49">
      <c r="D40" s="8">
        <f t="shared" si="29"/>
        <v>9</v>
      </c>
      <c r="E40" s="319" t="str">
        <f t="shared" si="8"/>
        <v>Radio Technician</v>
      </c>
      <c r="F40" s="8"/>
      <c r="G40" s="363" t="str">
        <f>+InputSheet!E181</f>
        <v>Segovia, Inc.</v>
      </c>
      <c r="H40" s="8"/>
      <c r="I40" s="320">
        <f t="shared" si="9"/>
        <v>0</v>
      </c>
      <c r="J40" s="198" t="str">
        <f t="shared" si="13"/>
        <v>Segovia, Inc.90Govt_Sub</v>
      </c>
      <c r="K40" s="198"/>
      <c r="L40" s="363" t="s">
        <v>684</v>
      </c>
      <c r="M40" s="321">
        <f>IF(G40="ManTech",(VLOOKUP($D40,DL,6,FALSE)),(INDEX('Sub Rates'!$F$9:$IK$48,MATCH(($E40&amp;$L40),'Sub Rates'!$E$9:$E$48,0),MATCH(($E$8&amp;$G40),'Sub Rates'!$F$8:$IK$8,0))))</f>
        <v>57.416666666666664</v>
      </c>
      <c r="N40" s="321">
        <f t="shared" ca="1" si="10"/>
        <v>57.42</v>
      </c>
      <c r="O40" s="321">
        <f t="shared" ca="1" si="14"/>
        <v>0</v>
      </c>
      <c r="P40" s="321">
        <f t="shared" ca="1" si="14"/>
        <v>0</v>
      </c>
      <c r="Q40" s="321">
        <f t="shared" ca="1" si="15"/>
        <v>0</v>
      </c>
      <c r="R40" s="321">
        <f t="shared" ca="1" si="16"/>
        <v>1.7627940000000002</v>
      </c>
      <c r="S40" s="321">
        <v>0</v>
      </c>
      <c r="T40" s="321">
        <v>0</v>
      </c>
      <c r="U40" s="321">
        <v>0</v>
      </c>
      <c r="V40" s="321">
        <f ca="1">IF($G40="ManTech",(SUM($N40:$U40)*(VLOOKUP($L40,$L$9:$X$24,V$6,FALSE))),(IF(R40=0,((SUM(N40,#REF!))*(VLOOKUP($L40,$L$9:$X$24,V$6,FALSE))),(SUM($R40:$R40)*(VLOOKUP($L40,$L$9:$X$24,V$6,FALSE))))))</f>
        <v>0.16693659180000003</v>
      </c>
      <c r="W40" s="321">
        <f t="shared" ca="1" si="20"/>
        <v>59.349730591800004</v>
      </c>
      <c r="X40" s="321">
        <f t="shared" ca="1" si="11"/>
        <v>4.7479784473440008</v>
      </c>
      <c r="Y40" s="321">
        <f t="shared" ca="1" si="21"/>
        <v>64.099999999999994</v>
      </c>
      <c r="Z40" s="214">
        <f>VLOOKUP(D40,InputSheet!B181:O195,12,FALSE)</f>
        <v>3480</v>
      </c>
      <c r="AA40" s="336">
        <f t="shared" ca="1" si="12"/>
        <v>223067.99999999997</v>
      </c>
      <c r="AB40" s="1036">
        <f t="shared" ca="1" si="22"/>
        <v>769.19999999999993</v>
      </c>
      <c r="AC40" s="323"/>
      <c r="AD40" s="323"/>
      <c r="AE40" s="323">
        <f t="shared" ca="1" si="23"/>
        <v>206537.06245946401</v>
      </c>
      <c r="AF40" s="323">
        <f t="shared" ca="1" si="24"/>
        <v>223067.99999999997</v>
      </c>
      <c r="AG40" s="323">
        <f t="shared" ca="1" si="25"/>
        <v>16530.937540535961</v>
      </c>
      <c r="AH40" s="20">
        <f t="shared" ca="1" si="26"/>
        <v>0.08</v>
      </c>
      <c r="AI40" s="323"/>
      <c r="AJ40" s="323"/>
      <c r="AK40" s="323"/>
      <c r="AL40" s="323"/>
      <c r="AM40" s="323"/>
      <c r="AN40" s="323"/>
      <c r="AO40" s="323"/>
      <c r="AP40" s="323"/>
      <c r="AQ40" s="60"/>
      <c r="AR40" s="324"/>
      <c r="AS40" s="325"/>
      <c r="AV40" s="251" t="str">
        <f t="shared" ca="1" si="27"/>
        <v>1</v>
      </c>
      <c r="AW40" s="251" t="str">
        <f t="shared" ca="1" si="28"/>
        <v>1</v>
      </c>
    </row>
    <row r="41" spans="4:49">
      <c r="D41" s="8">
        <f t="shared" si="29"/>
        <v>10</v>
      </c>
      <c r="E41" s="319" t="str">
        <f t="shared" si="8"/>
        <v>Radio Technician</v>
      </c>
      <c r="F41" s="8"/>
      <c r="G41" s="363" t="str">
        <f>+InputSheet!E182</f>
        <v>Segovia, Inc.</v>
      </c>
      <c r="H41" s="8"/>
      <c r="I41" s="320">
        <f t="shared" si="9"/>
        <v>0</v>
      </c>
      <c r="J41" s="198" t="str">
        <f t="shared" si="13"/>
        <v>Segovia, Inc.100Govt_Sub</v>
      </c>
      <c r="K41" s="198"/>
      <c r="L41" s="363" t="s">
        <v>684</v>
      </c>
      <c r="M41" s="321">
        <f>IF(G41="ManTech",(VLOOKUP($D41,DL,6,FALSE)),(INDEX('Sub Rates'!$F$9:$IK$48,MATCH(($E41&amp;$L41),'Sub Rates'!$E$9:$E$48,0),MATCH(($E$8&amp;$G41),'Sub Rates'!$F$8:$IK$8,0))))</f>
        <v>57.416666666666664</v>
      </c>
      <c r="N41" s="321">
        <f t="shared" ca="1" si="10"/>
        <v>57.42</v>
      </c>
      <c r="O41" s="321">
        <f t="shared" ca="1" si="14"/>
        <v>0</v>
      </c>
      <c r="P41" s="321">
        <f t="shared" ca="1" si="14"/>
        <v>0</v>
      </c>
      <c r="Q41" s="321">
        <f t="shared" ca="1" si="15"/>
        <v>0</v>
      </c>
      <c r="R41" s="321">
        <f t="shared" ca="1" si="16"/>
        <v>1.7627940000000002</v>
      </c>
      <c r="S41" s="321">
        <v>0</v>
      </c>
      <c r="T41" s="321">
        <v>0</v>
      </c>
      <c r="U41" s="321">
        <v>0</v>
      </c>
      <c r="V41" s="321">
        <f ca="1">IF($G41="ManTech",(SUM($N41:$U41)*(VLOOKUP($L41,$L$9:$X$24,V$6,FALSE))),(IF(R41=0,((SUM(N41,#REF!))*(VLOOKUP($L41,$L$9:$X$24,V$6,FALSE))),(SUM($R41:$R41)*(VLOOKUP($L41,$L$9:$X$24,V$6,FALSE))))))</f>
        <v>0.16693659180000003</v>
      </c>
      <c r="W41" s="321">
        <f t="shared" ca="1" si="20"/>
        <v>59.349730591800004</v>
      </c>
      <c r="X41" s="321">
        <f t="shared" ca="1" si="11"/>
        <v>4.7479784473440008</v>
      </c>
      <c r="Y41" s="321">
        <f t="shared" ca="1" si="21"/>
        <v>64.099999999999994</v>
      </c>
      <c r="Z41" s="214">
        <f>VLOOKUP(D41,InputSheet!B182:O196,12,FALSE)</f>
        <v>3480</v>
      </c>
      <c r="AA41" s="336">
        <f t="shared" ca="1" si="12"/>
        <v>223067.99999999997</v>
      </c>
      <c r="AB41" s="1036">
        <f t="shared" ca="1" si="22"/>
        <v>769.19999999999993</v>
      </c>
      <c r="AC41" s="323"/>
      <c r="AD41" s="323"/>
      <c r="AE41" s="323">
        <f t="shared" ca="1" si="23"/>
        <v>206537.06245946401</v>
      </c>
      <c r="AF41" s="323">
        <f t="shared" ca="1" si="24"/>
        <v>223067.99999999997</v>
      </c>
      <c r="AG41" s="323">
        <f t="shared" ca="1" si="25"/>
        <v>16530.937540535961</v>
      </c>
      <c r="AH41" s="20">
        <f t="shared" ca="1" si="26"/>
        <v>0.08</v>
      </c>
      <c r="AI41" s="323"/>
      <c r="AJ41" s="323"/>
      <c r="AK41" s="323"/>
      <c r="AL41" s="323"/>
      <c r="AM41" s="323"/>
      <c r="AN41" s="323"/>
      <c r="AO41" s="323"/>
      <c r="AP41" s="323"/>
      <c r="AQ41" s="60"/>
      <c r="AR41" s="324"/>
      <c r="AS41" s="325"/>
      <c r="AV41" s="251" t="str">
        <f t="shared" ca="1" si="27"/>
        <v>1</v>
      </c>
      <c r="AW41" s="251" t="str">
        <f t="shared" ca="1" si="28"/>
        <v>1</v>
      </c>
    </row>
    <row r="42" spans="4:49">
      <c r="D42" s="8">
        <f t="shared" si="29"/>
        <v>11</v>
      </c>
      <c r="E42" s="319" t="str">
        <f t="shared" si="8"/>
        <v>Network Administrator</v>
      </c>
      <c r="F42" s="8"/>
      <c r="G42" s="363" t="str">
        <f>+InputSheet!E183</f>
        <v>ManTech</v>
      </c>
      <c r="H42" s="8"/>
      <c r="I42" s="320">
        <f t="shared" si="9"/>
        <v>0</v>
      </c>
      <c r="J42" s="198" t="str">
        <f t="shared" si="13"/>
        <v>ManTech110Govt</v>
      </c>
      <c r="K42" s="198"/>
      <c r="L42" s="363" t="s">
        <v>623</v>
      </c>
      <c r="M42" s="321">
        <f>IF(G42="ManTech",(VLOOKUP($D42,DL,6,FALSE)),(INDEX('Sub Rates'!$F$9:$IK$48,MATCH(($E42&amp;$L42),'Sub Rates'!$E$9:$E$48,0),MATCH(($E$8&amp;$G42),'Sub Rates'!$F$8:$IK$8,0))))</f>
        <v>27.5</v>
      </c>
      <c r="N42" s="321">
        <f t="shared" ca="1" si="10"/>
        <v>28.18</v>
      </c>
      <c r="O42" s="321">
        <f t="shared" ca="1" si="14"/>
        <v>9.8629999999999995</v>
      </c>
      <c r="P42" s="321">
        <f t="shared" ca="1" si="14"/>
        <v>9.8629999999999995</v>
      </c>
      <c r="Q42" s="321">
        <f t="shared" ca="1" si="15"/>
        <v>14.9658344</v>
      </c>
      <c r="R42" s="321">
        <f t="shared" ca="1" si="16"/>
        <v>1.4020419071199999</v>
      </c>
      <c r="S42" s="321">
        <f t="shared" si="17"/>
        <v>1.4367816091954022</v>
      </c>
      <c r="T42" s="321">
        <f t="shared" si="18"/>
        <v>0.25875862068965516</v>
      </c>
      <c r="U42" s="321">
        <f t="shared" ca="1" si="19"/>
        <v>0.53542000000000001</v>
      </c>
      <c r="V42" s="321">
        <f ca="1">IF($G42="ManTech",(SUM($N42:$U42)*(VLOOKUP($L42,$L$9:$X$24,V$6,FALSE))),(IF(R42=0,((SUM(N42,#REF!))*(VLOOKUP($L42,$L$9:$X$24,V$6,FALSE))),(SUM($R42:$R42)*(VLOOKUP($L42,$L$9:$X$24,V$6,FALSE))))))</f>
        <v>6.2980080200543798</v>
      </c>
      <c r="W42" s="321">
        <f t="shared" ca="1" si="20"/>
        <v>72.802844557059444</v>
      </c>
      <c r="X42" s="321">
        <f t="shared" ca="1" si="11"/>
        <v>5.8242275645647554</v>
      </c>
      <c r="Y42" s="321">
        <f t="shared" ca="1" si="21"/>
        <v>78.63</v>
      </c>
      <c r="Z42" s="214">
        <f>VLOOKUP(D42,InputSheet!B183:O197,12,FALSE)</f>
        <v>3480</v>
      </c>
      <c r="AA42" s="336">
        <f t="shared" ca="1" si="12"/>
        <v>273632.39999999997</v>
      </c>
      <c r="AB42" s="1036">
        <f t="shared" ca="1" si="22"/>
        <v>943.56</v>
      </c>
      <c r="AC42" s="323"/>
      <c r="AD42" s="323"/>
      <c r="AE42" s="323">
        <f t="shared" ca="1" si="23"/>
        <v>253353.89905856687</v>
      </c>
      <c r="AF42" s="323">
        <f t="shared" ca="1" si="24"/>
        <v>273632.39999999997</v>
      </c>
      <c r="AG42" s="323">
        <f t="shared" ca="1" si="25"/>
        <v>20278.5009414331</v>
      </c>
      <c r="AH42" s="20">
        <f t="shared" ca="1" si="26"/>
        <v>0.08</v>
      </c>
      <c r="AI42" s="323"/>
      <c r="AJ42" s="323"/>
      <c r="AK42" s="323"/>
      <c r="AL42" s="323"/>
      <c r="AM42" s="323"/>
      <c r="AN42" s="323"/>
      <c r="AO42" s="323"/>
      <c r="AP42" s="323"/>
      <c r="AQ42" s="60"/>
      <c r="AR42" s="324"/>
      <c r="AS42" s="325"/>
      <c r="AV42" s="251" t="str">
        <f t="shared" ca="1" si="27"/>
        <v>1</v>
      </c>
      <c r="AW42" s="251" t="str">
        <f t="shared" ca="1" si="28"/>
        <v>1</v>
      </c>
    </row>
    <row r="43" spans="4:49">
      <c r="D43" s="8">
        <f>D42+1</f>
        <v>12</v>
      </c>
      <c r="E43" s="319" t="str">
        <f t="shared" si="8"/>
        <v>System Administrator</v>
      </c>
      <c r="F43" s="8"/>
      <c r="G43" s="363" t="str">
        <f>+InputSheet!E184</f>
        <v>ManTech</v>
      </c>
      <c r="H43" s="8"/>
      <c r="I43" s="320">
        <f t="shared" si="9"/>
        <v>0</v>
      </c>
      <c r="J43" s="198" t="str">
        <f t="shared" si="13"/>
        <v>ManTech120Govt</v>
      </c>
      <c r="K43" s="198"/>
      <c r="L43" s="363" t="s">
        <v>623</v>
      </c>
      <c r="M43" s="321">
        <f>IF(G43="ManTech",(VLOOKUP($D43,DL,6,FALSE)),(INDEX('Sub Rates'!$F$9:$IK$48,MATCH(($E43&amp;$L43),'Sub Rates'!$E$9:$E$48,0),MATCH(($E$8&amp;$G43),'Sub Rates'!$F$8:$IK$8,0))))</f>
        <v>28</v>
      </c>
      <c r="N43" s="321">
        <f t="shared" ca="1" si="10"/>
        <v>28.69</v>
      </c>
      <c r="O43" s="321">
        <f t="shared" ca="1" si="14"/>
        <v>10.041499999999999</v>
      </c>
      <c r="P43" s="321">
        <f t="shared" ca="1" si="14"/>
        <v>10.041499999999999</v>
      </c>
      <c r="Q43" s="321">
        <f t="shared" ca="1" si="15"/>
        <v>15.2366852</v>
      </c>
      <c r="R43" s="321">
        <f t="shared" ca="1" si="16"/>
        <v>1.4274159799600001</v>
      </c>
      <c r="S43" s="321">
        <f t="shared" si="17"/>
        <v>1.4367816091954022</v>
      </c>
      <c r="T43" s="321">
        <f t="shared" si="18"/>
        <v>0.25875862068965516</v>
      </c>
      <c r="U43" s="321">
        <f t="shared" ca="1" si="19"/>
        <v>0.54510999999999998</v>
      </c>
      <c r="V43" s="321">
        <f ca="1">IF($G43="ManTech",(SUM($N43:$U43)*(VLOOKUP($L43,$L$9:$X$24,V$6,FALSE))),(IF(R43=0,((SUM(N43,#REF!))*(VLOOKUP($L43,$L$9:$X$24,V$6,FALSE))),(SUM($R43:$R43)*(VLOOKUP($L43,$L$9:$X$24,V$6,FALSE))))))</f>
        <v>6.4090830585123273</v>
      </c>
      <c r="W43" s="321">
        <f t="shared" ca="1" si="20"/>
        <v>74.086834468357381</v>
      </c>
      <c r="X43" s="321">
        <f t="shared" ca="1" si="11"/>
        <v>5.926946757468591</v>
      </c>
      <c r="Y43" s="321">
        <f t="shared" ca="1" si="21"/>
        <v>80.010000000000005</v>
      </c>
      <c r="Z43" s="214">
        <f>VLOOKUP(D43,InputSheet!B184:O198,12,FALSE)</f>
        <v>3480</v>
      </c>
      <c r="AA43" s="336">
        <f t="shared" ca="1" si="12"/>
        <v>278434.80000000005</v>
      </c>
      <c r="AB43" s="1036">
        <f t="shared" ca="1" si="22"/>
        <v>960.12000000000012</v>
      </c>
      <c r="AC43" s="323"/>
      <c r="AD43" s="323"/>
      <c r="AE43" s="323">
        <f t="shared" ca="1" si="23"/>
        <v>257822.18394988368</v>
      </c>
      <c r="AF43" s="323">
        <f t="shared" ca="1" si="24"/>
        <v>278434.80000000005</v>
      </c>
      <c r="AG43" s="323">
        <f t="shared" ca="1" si="25"/>
        <v>20612.616050116369</v>
      </c>
      <c r="AH43" s="20">
        <f t="shared" ca="1" si="26"/>
        <v>0.08</v>
      </c>
      <c r="AI43" s="323"/>
      <c r="AJ43" s="323"/>
      <c r="AK43" s="323"/>
      <c r="AL43" s="323"/>
      <c r="AM43" s="323"/>
      <c r="AN43" s="323"/>
      <c r="AO43" s="323"/>
      <c r="AP43" s="323"/>
      <c r="AQ43" s="60"/>
      <c r="AR43" s="324"/>
      <c r="AS43" s="325"/>
      <c r="AV43" s="251" t="str">
        <f t="shared" ca="1" si="27"/>
        <v>1</v>
      </c>
      <c r="AW43" s="251" t="str">
        <f t="shared" ca="1" si="28"/>
        <v>1</v>
      </c>
    </row>
    <row r="44" spans="4:49">
      <c r="D44" s="8">
        <f>D43+1</f>
        <v>13</v>
      </c>
      <c r="E44" s="319" t="str">
        <f t="shared" si="8"/>
        <v>Configuration Manager</v>
      </c>
      <c r="F44" s="8"/>
      <c r="G44" s="363" t="str">
        <f>+InputSheet!E185</f>
        <v>ManTech</v>
      </c>
      <c r="H44" s="8"/>
      <c r="I44" s="320">
        <f t="shared" si="9"/>
        <v>0</v>
      </c>
      <c r="J44" s="198" t="str">
        <f t="shared" si="13"/>
        <v>ManTech130Govt</v>
      </c>
      <c r="K44" s="198"/>
      <c r="L44" s="363" t="s">
        <v>623</v>
      </c>
      <c r="M44" s="321">
        <f>IF(G44="ManTech",(VLOOKUP($D44,DL,6,FALSE)),(INDEX('Sub Rates'!$F$9:$IK$48,MATCH(($E44&amp;$L44),'Sub Rates'!$E$9:$E$48,0),MATCH(($E$8&amp;$G44),'Sub Rates'!$F$8:$IK$8,0))))</f>
        <v>26</v>
      </c>
      <c r="N44" s="321">
        <f t="shared" ca="1" si="10"/>
        <v>26.64</v>
      </c>
      <c r="O44" s="321">
        <f t="shared" ca="1" si="14"/>
        <v>9.3239999999999998</v>
      </c>
      <c r="P44" s="321">
        <f t="shared" ca="1" si="14"/>
        <v>9.3239999999999998</v>
      </c>
      <c r="Q44" s="321">
        <f t="shared" ca="1" si="15"/>
        <v>14.147971199999999</v>
      </c>
      <c r="R44" s="321">
        <f t="shared" ca="1" si="16"/>
        <v>1.3254221577600001</v>
      </c>
      <c r="S44" s="321">
        <f t="shared" si="17"/>
        <v>1.4367816091954022</v>
      </c>
      <c r="T44" s="321">
        <f t="shared" si="18"/>
        <v>0.25875862068965516</v>
      </c>
      <c r="U44" s="321">
        <f t="shared" ca="1" si="19"/>
        <v>0.50615999999999994</v>
      </c>
      <c r="V44" s="321">
        <f ca="1">IF($G44="ManTech",(SUM($N44:$U44)*(VLOOKUP($L44,$L$9:$X$24,V$6,FALSE))),(IF(R44=0,((SUM(N44,#REF!))*(VLOOKUP($L44,$L$9:$X$24,V$6,FALSE))),(SUM($R44:$R44)*(VLOOKUP($L44,$L$9:$X$24,V$6,FALSE))))))</f>
        <v>5.9626049627499871</v>
      </c>
      <c r="W44" s="321">
        <f t="shared" ca="1" si="20"/>
        <v>68.92569855039504</v>
      </c>
      <c r="X44" s="321">
        <f t="shared" ca="1" si="11"/>
        <v>5.5140558840316034</v>
      </c>
      <c r="Y44" s="321">
        <f t="shared" ca="1" si="21"/>
        <v>74.44</v>
      </c>
      <c r="Z44" s="214">
        <f>VLOOKUP(D44,InputSheet!B185:O199,12,FALSE)</f>
        <v>3480</v>
      </c>
      <c r="AA44" s="336">
        <f t="shared" ca="1" si="12"/>
        <v>259051.19999999998</v>
      </c>
      <c r="AB44" s="1036">
        <f t="shared" ca="1" si="22"/>
        <v>893.28</v>
      </c>
      <c r="AC44" s="323"/>
      <c r="AD44" s="323"/>
      <c r="AE44" s="323">
        <f t="shared" ca="1" si="23"/>
        <v>239861.43095537473</v>
      </c>
      <c r="AF44" s="323">
        <f t="shared" ca="1" si="24"/>
        <v>259051.19999999998</v>
      </c>
      <c r="AG44" s="323">
        <f t="shared" ca="1" si="25"/>
        <v>19189.769044625253</v>
      </c>
      <c r="AH44" s="20">
        <f t="shared" ca="1" si="26"/>
        <v>0.08</v>
      </c>
      <c r="AI44" s="323"/>
      <c r="AJ44" s="323"/>
      <c r="AK44" s="323"/>
      <c r="AL44" s="323"/>
      <c r="AM44" s="323"/>
      <c r="AN44" s="323"/>
      <c r="AO44" s="323"/>
      <c r="AP44" s="323"/>
      <c r="AQ44" s="60"/>
      <c r="AR44" s="324"/>
      <c r="AS44" s="325"/>
      <c r="AV44" s="251" t="str">
        <f t="shared" ca="1" si="27"/>
        <v>1</v>
      </c>
      <c r="AW44" s="251" t="str">
        <f t="shared" ca="1" si="28"/>
        <v>1</v>
      </c>
    </row>
    <row r="45" spans="4:49">
      <c r="D45" s="8">
        <f>D44+1</f>
        <v>14</v>
      </c>
      <c r="E45" s="319" t="str">
        <f t="shared" si="8"/>
        <v>Hardware Technician</v>
      </c>
      <c r="F45" s="8"/>
      <c r="G45" s="363" t="str">
        <f>+InputSheet!E186</f>
        <v>ManTech</v>
      </c>
      <c r="H45" s="8"/>
      <c r="I45" s="320">
        <f t="shared" si="9"/>
        <v>0</v>
      </c>
      <c r="J45" s="198" t="str">
        <f t="shared" si="13"/>
        <v>ManTech140Govt</v>
      </c>
      <c r="K45" s="198"/>
      <c r="L45" s="363" t="s">
        <v>623</v>
      </c>
      <c r="M45" s="321">
        <f>IF(G45="ManTech",(VLOOKUP($D45,DL,6,FALSE)),(INDEX('Sub Rates'!$F$9:$IK$48,MATCH(($E45&amp;$L45),'Sub Rates'!$E$9:$E$48,0),MATCH(($E$8&amp;$G45),'Sub Rates'!$F$8:$IK$8,0))))</f>
        <v>26</v>
      </c>
      <c r="N45" s="321">
        <f t="shared" ca="1" si="10"/>
        <v>26.64</v>
      </c>
      <c r="O45" s="321">
        <f t="shared" ca="1" si="14"/>
        <v>9.3239999999999998</v>
      </c>
      <c r="P45" s="321">
        <f t="shared" ca="1" si="14"/>
        <v>9.3239999999999998</v>
      </c>
      <c r="Q45" s="321">
        <f t="shared" ca="1" si="15"/>
        <v>14.147971199999999</v>
      </c>
      <c r="R45" s="321">
        <f t="shared" ca="1" si="16"/>
        <v>1.3254221577600001</v>
      </c>
      <c r="S45" s="321">
        <f t="shared" si="17"/>
        <v>1.4367816091954022</v>
      </c>
      <c r="T45" s="321">
        <f t="shared" si="18"/>
        <v>0.25875862068965516</v>
      </c>
      <c r="U45" s="321">
        <f t="shared" ca="1" si="19"/>
        <v>0.50615999999999994</v>
      </c>
      <c r="V45" s="321">
        <f ca="1">IF($G45="ManTech",(SUM($N45:$U45)*(VLOOKUP($L45,$L$9:$X$24,V$6,FALSE))),(IF(R45=0,((SUM(N45,#REF!))*(VLOOKUP($L45,$L$9:$X$24,V$6,FALSE))),(SUM($R45:$R45)*(VLOOKUP($L45,$L$9:$X$24,V$6,FALSE))))))</f>
        <v>5.9626049627499871</v>
      </c>
      <c r="W45" s="321">
        <f t="shared" ca="1" si="20"/>
        <v>68.92569855039504</v>
      </c>
      <c r="X45" s="321">
        <f t="shared" ca="1" si="11"/>
        <v>5.5140558840316034</v>
      </c>
      <c r="Y45" s="321">
        <f t="shared" ca="1" si="21"/>
        <v>74.44</v>
      </c>
      <c r="Z45" s="214">
        <f>VLOOKUP(D45,InputSheet!B186:O200,12,FALSE)</f>
        <v>3480</v>
      </c>
      <c r="AA45" s="336">
        <f t="shared" ca="1" si="12"/>
        <v>259051.19999999998</v>
      </c>
      <c r="AB45" s="1036">
        <f t="shared" ca="1" si="22"/>
        <v>893.28</v>
      </c>
      <c r="AC45" s="323"/>
      <c r="AD45" s="323"/>
      <c r="AE45" s="323">
        <f t="shared" ca="1" si="23"/>
        <v>239861.43095537473</v>
      </c>
      <c r="AF45" s="323">
        <f t="shared" ca="1" si="24"/>
        <v>259051.19999999998</v>
      </c>
      <c r="AG45" s="323">
        <f t="shared" ca="1" si="25"/>
        <v>19189.769044625253</v>
      </c>
      <c r="AH45" s="20">
        <f t="shared" ca="1" si="26"/>
        <v>0.08</v>
      </c>
      <c r="AI45" s="323"/>
      <c r="AJ45" s="323"/>
      <c r="AK45" s="323"/>
      <c r="AL45" s="323"/>
      <c r="AM45" s="323"/>
      <c r="AN45" s="323"/>
      <c r="AO45" s="323"/>
      <c r="AP45" s="323"/>
      <c r="AQ45" s="60"/>
      <c r="AR45" s="324"/>
      <c r="AS45" s="325"/>
      <c r="AV45" s="251" t="str">
        <f t="shared" ca="1" si="27"/>
        <v>1</v>
      </c>
      <c r="AW45" s="251" t="str">
        <f t="shared" ca="1" si="28"/>
        <v>1</v>
      </c>
    </row>
    <row r="46" spans="4:49">
      <c r="D46" s="8">
        <f>D45+1</f>
        <v>15</v>
      </c>
      <c r="E46" s="319" t="str">
        <f t="shared" si="8"/>
        <v>Repair/Exchange Specialist</v>
      </c>
      <c r="F46" s="8"/>
      <c r="G46" s="363" t="str">
        <f>+InputSheet!E187</f>
        <v>ManTech</v>
      </c>
      <c r="H46" s="8"/>
      <c r="I46" s="320">
        <f t="shared" si="9"/>
        <v>0</v>
      </c>
      <c r="J46" s="198" t="str">
        <f t="shared" si="13"/>
        <v>ManTech150Govt</v>
      </c>
      <c r="K46" s="198"/>
      <c r="L46" s="363" t="s">
        <v>623</v>
      </c>
      <c r="M46" s="321">
        <f>IF(G46="ManTech",(VLOOKUP($D46,DL,6,FALSE)),(INDEX('Sub Rates'!$F$9:$IK$48,MATCH(($E46&amp;$L46),'Sub Rates'!$E$9:$E$48,0),MATCH(($E$8&amp;$G46),'Sub Rates'!$F$8:$IK$8,0))))</f>
        <v>25</v>
      </c>
      <c r="N46" s="321">
        <f t="shared" ca="1" si="10"/>
        <v>25.62</v>
      </c>
      <c r="O46" s="321">
        <f t="shared" ca="1" si="14"/>
        <v>8.9670000000000005</v>
      </c>
      <c r="P46" s="321">
        <f t="shared" ca="1" si="14"/>
        <v>8.9670000000000005</v>
      </c>
      <c r="Q46" s="321">
        <f t="shared" ca="1" si="15"/>
        <v>13.606269600000001</v>
      </c>
      <c r="R46" s="321">
        <f t="shared" ca="1" si="16"/>
        <v>1.27467401208</v>
      </c>
      <c r="S46" s="321">
        <f t="shared" si="17"/>
        <v>1.4367816091954022</v>
      </c>
      <c r="T46" s="321">
        <f t="shared" si="18"/>
        <v>0.25875862068965516</v>
      </c>
      <c r="U46" s="321">
        <f t="shared" ca="1" si="19"/>
        <v>0.48677999999999999</v>
      </c>
      <c r="V46" s="321">
        <f ca="1">IF($G46="ManTech",(SUM($N46:$U46)*(VLOOKUP($L46,$L$9:$X$24,V$6,FALSE))),(IF(R46=0,((SUM(N46,#REF!))*(VLOOKUP($L46,$L$9:$X$24,V$6,FALSE))),(SUM($R46:$R46)*(VLOOKUP($L46,$L$9:$X$24,V$6,FALSE))))))</f>
        <v>5.740454885834092</v>
      </c>
      <c r="W46" s="321">
        <f t="shared" ca="1" si="20"/>
        <v>66.357718727799153</v>
      </c>
      <c r="X46" s="321">
        <f t="shared" ca="1" si="11"/>
        <v>5.3086174982239323</v>
      </c>
      <c r="Y46" s="321">
        <f t="shared" ca="1" si="21"/>
        <v>71.67</v>
      </c>
      <c r="Z46" s="214">
        <f>VLOOKUP(D46,InputSheet!B187:O201,12,FALSE)</f>
        <v>3480</v>
      </c>
      <c r="AA46" s="336">
        <f t="shared" ca="1" si="12"/>
        <v>249411.6</v>
      </c>
      <c r="AB46" s="1036">
        <f t="shared" ca="1" si="22"/>
        <v>860.04</v>
      </c>
      <c r="AC46" s="323"/>
      <c r="AD46" s="323"/>
      <c r="AE46" s="323">
        <f t="shared" ca="1" si="23"/>
        <v>230924.86117274105</v>
      </c>
      <c r="AF46" s="323">
        <f t="shared" ca="1" si="24"/>
        <v>249411.6</v>
      </c>
      <c r="AG46" s="323">
        <f t="shared" ca="1" si="25"/>
        <v>18486.73882725896</v>
      </c>
      <c r="AH46" s="20">
        <f t="shared" ca="1" si="26"/>
        <v>0.08</v>
      </c>
      <c r="AI46" s="323"/>
      <c r="AJ46" s="323"/>
      <c r="AK46" s="323"/>
      <c r="AL46" s="323"/>
      <c r="AM46" s="323"/>
      <c r="AN46" s="323"/>
      <c r="AO46" s="323"/>
      <c r="AP46" s="323"/>
      <c r="AQ46" s="60"/>
      <c r="AR46" s="324"/>
      <c r="AS46" s="325"/>
      <c r="AV46" s="251" t="str">
        <f t="shared" ca="1" si="27"/>
        <v>1</v>
      </c>
      <c r="AW46" s="251" t="str">
        <f t="shared" ca="1" si="28"/>
        <v>1</v>
      </c>
    </row>
    <row r="47" spans="4:49">
      <c r="E47" s="326"/>
      <c r="F47" s="327"/>
      <c r="G47" s="327"/>
      <c r="H47" s="327"/>
      <c r="I47" s="328"/>
      <c r="J47" s="329"/>
      <c r="K47" s="329"/>
      <c r="L47" s="364"/>
      <c r="M47" s="330"/>
      <c r="N47" s="330"/>
      <c r="O47" s="330"/>
      <c r="P47" s="330"/>
      <c r="Q47" s="330"/>
      <c r="R47" s="330"/>
      <c r="S47" s="330"/>
      <c r="T47" s="330"/>
      <c r="U47" s="330"/>
      <c r="V47" s="330"/>
      <c r="W47" s="330"/>
      <c r="X47" s="330"/>
      <c r="Y47" s="330"/>
      <c r="Z47" s="218"/>
      <c r="AA47" s="339"/>
      <c r="AB47" s="1037"/>
      <c r="AC47" s="332"/>
      <c r="AD47" s="332"/>
      <c r="AE47" s="332"/>
      <c r="AF47" s="332"/>
      <c r="AG47" s="332"/>
      <c r="AH47" s="332"/>
      <c r="AI47" s="332"/>
      <c r="AJ47" s="332"/>
      <c r="AK47" s="332"/>
      <c r="AL47" s="332"/>
      <c r="AM47" s="332"/>
      <c r="AN47" s="332"/>
      <c r="AO47" s="332"/>
      <c r="AP47" s="332"/>
      <c r="AQ47" s="332"/>
      <c r="AR47" s="333"/>
      <c r="AS47" s="325"/>
      <c r="AV47" s="251" t="str">
        <f t="shared" si="27"/>
        <v>1</v>
      </c>
      <c r="AW47" s="251" t="str">
        <f t="shared" si="28"/>
        <v>1</v>
      </c>
    </row>
    <row r="48" spans="4:49">
      <c r="E48" s="248"/>
      <c r="F48" s="8"/>
      <c r="G48" s="8"/>
      <c r="H48" s="8"/>
      <c r="I48" s="8"/>
      <c r="J48" s="8"/>
      <c r="K48" s="8"/>
      <c r="L48" s="8"/>
      <c r="M48" s="321"/>
      <c r="N48" s="321"/>
      <c r="O48" s="321"/>
      <c r="P48" s="321"/>
      <c r="Q48" s="321"/>
      <c r="R48" s="321"/>
      <c r="S48" s="321"/>
      <c r="T48" s="321"/>
      <c r="U48" s="321"/>
      <c r="V48" s="321"/>
      <c r="W48" s="321"/>
      <c r="X48" s="321"/>
      <c r="Y48" s="321"/>
      <c r="Z48" s="321"/>
      <c r="AA48" s="321"/>
      <c r="AB48" s="250"/>
      <c r="AC48" s="323"/>
      <c r="AD48" s="323"/>
      <c r="AE48" s="323"/>
      <c r="AF48" s="323"/>
      <c r="AG48" s="323"/>
      <c r="AH48" s="323"/>
      <c r="AI48" s="323"/>
      <c r="AJ48" s="323"/>
      <c r="AK48" s="323"/>
      <c r="AL48" s="323"/>
      <c r="AM48" s="323"/>
      <c r="AN48" s="323"/>
      <c r="AO48" s="323"/>
      <c r="AP48" s="323"/>
      <c r="AQ48" s="60"/>
      <c r="AR48" s="324"/>
      <c r="AS48" s="325"/>
      <c r="AV48" s="251" t="str">
        <f t="shared" si="27"/>
        <v>1</v>
      </c>
      <c r="AW48" s="251" t="str">
        <f t="shared" si="28"/>
        <v>1</v>
      </c>
    </row>
    <row r="49" spans="1:49">
      <c r="E49" s="248"/>
      <c r="F49" s="8"/>
      <c r="G49" s="8"/>
      <c r="H49" s="8"/>
      <c r="I49" s="8"/>
      <c r="J49" s="8"/>
      <c r="K49" s="8"/>
      <c r="L49" s="8"/>
      <c r="M49" s="8"/>
      <c r="N49" s="8"/>
      <c r="O49" s="8"/>
      <c r="P49" s="8"/>
      <c r="Q49" s="8"/>
      <c r="R49" s="8"/>
      <c r="S49" s="8"/>
      <c r="T49" s="8"/>
      <c r="U49" s="8"/>
      <c r="V49" s="8"/>
      <c r="W49" s="8"/>
      <c r="X49" s="8"/>
      <c r="Y49" s="313" t="s">
        <v>647</v>
      </c>
      <c r="Z49" s="334">
        <f>SUBTOTAL(9,Z$31:Z$48)</f>
        <v>52200</v>
      </c>
      <c r="AA49" s="1028">
        <f ca="1">SUBTOTAL(9,AA$31:AA$48)</f>
        <v>3937376.4</v>
      </c>
      <c r="AB49" s="250"/>
      <c r="AC49" s="323"/>
      <c r="AD49" s="323"/>
      <c r="AE49" s="323"/>
      <c r="AF49" s="323"/>
      <c r="AG49" s="323"/>
      <c r="AH49" s="323"/>
      <c r="AI49" s="323"/>
      <c r="AJ49" s="323"/>
      <c r="AK49" s="323"/>
      <c r="AL49" s="323"/>
      <c r="AM49" s="323"/>
      <c r="AN49" s="323"/>
      <c r="AO49" s="323"/>
      <c r="AP49" s="323"/>
      <c r="AQ49" s="60"/>
      <c r="AR49" s="324"/>
      <c r="AS49" s="325"/>
      <c r="AV49" s="251" t="str">
        <f t="shared" si="27"/>
        <v>1</v>
      </c>
      <c r="AW49" s="251" t="str">
        <f t="shared" ca="1" si="28"/>
        <v>1</v>
      </c>
    </row>
    <row r="50" spans="1:49" ht="13.5" thickBot="1">
      <c r="B50" s="8" t="s">
        <v>854</v>
      </c>
      <c r="E50" s="248"/>
      <c r="F50" s="8"/>
      <c r="G50" s="8"/>
      <c r="H50" s="8"/>
      <c r="I50" s="8"/>
      <c r="J50" s="8"/>
      <c r="K50" s="8"/>
      <c r="L50" s="8"/>
      <c r="M50" s="8"/>
      <c r="N50" s="8"/>
      <c r="O50" s="8"/>
      <c r="P50" s="8"/>
      <c r="Q50" s="8"/>
      <c r="R50" s="8"/>
      <c r="S50" s="8"/>
      <c r="T50" s="8"/>
      <c r="U50" s="8"/>
      <c r="V50" s="8"/>
      <c r="W50" s="8"/>
      <c r="X50" s="8"/>
      <c r="Y50" s="313"/>
      <c r="Z50" s="57"/>
      <c r="AA50" s="60"/>
      <c r="AB50" s="250"/>
      <c r="AN50" s="13"/>
      <c r="AO50" s="335"/>
      <c r="AV50" s="251" t="str">
        <f t="shared" si="27"/>
        <v>1</v>
      </c>
      <c r="AW50" s="251" t="str">
        <f t="shared" si="28"/>
        <v>1</v>
      </c>
    </row>
    <row r="51" spans="1:49" s="317" customFormat="1" ht="16.5" thickBot="1">
      <c r="B51" s="919">
        <v>1.4735</v>
      </c>
      <c r="E51" s="240" t="s">
        <v>737</v>
      </c>
      <c r="F51" s="202"/>
      <c r="G51" s="202"/>
      <c r="H51" s="203"/>
      <c r="I51" s="202"/>
      <c r="J51" s="201"/>
      <c r="K51" s="201"/>
      <c r="L51" s="202"/>
      <c r="M51" s="204"/>
      <c r="N51" s="204"/>
      <c r="O51" s="204"/>
      <c r="P51" s="204"/>
      <c r="Q51" s="204"/>
      <c r="R51" s="204"/>
      <c r="S51" s="204"/>
      <c r="T51" s="204"/>
      <c r="U51" s="204"/>
      <c r="V51" s="204"/>
      <c r="W51" s="204"/>
      <c r="X51" s="204"/>
      <c r="Y51" s="204"/>
      <c r="Z51" s="204"/>
      <c r="AA51" s="204"/>
      <c r="AB51" s="1038"/>
      <c r="AC51" s="206"/>
      <c r="AD51" s="206"/>
      <c r="AE51" s="206"/>
      <c r="AF51" s="206"/>
      <c r="AG51" s="206"/>
      <c r="AH51" s="206"/>
      <c r="AI51" s="206"/>
      <c r="AJ51" s="206"/>
      <c r="AK51" s="206"/>
      <c r="AL51" s="206"/>
      <c r="AM51" s="206"/>
      <c r="AN51" s="206"/>
      <c r="AO51" s="206"/>
      <c r="AP51" s="206"/>
      <c r="AQ51" s="206"/>
      <c r="AR51" s="206"/>
      <c r="AS51" s="318"/>
      <c r="AV51" s="251" t="str">
        <f t="shared" si="27"/>
        <v>1</v>
      </c>
      <c r="AW51" s="251" t="str">
        <f t="shared" si="28"/>
        <v>1</v>
      </c>
    </row>
    <row r="52" spans="1:49" s="317" customFormat="1" ht="15.75">
      <c r="B52" s="919"/>
      <c r="E52" s="1059" t="s">
        <v>939</v>
      </c>
      <c r="F52" s="1060"/>
      <c r="G52" s="1060"/>
      <c r="H52" s="1061"/>
      <c r="I52" s="1060"/>
      <c r="J52" s="1062"/>
      <c r="K52" s="1062"/>
      <c r="L52" s="1060"/>
      <c r="M52" s="1063"/>
      <c r="N52" s="1063"/>
      <c r="O52" s="1063"/>
      <c r="P52" s="1063"/>
      <c r="Q52" s="1063"/>
      <c r="R52" s="1063"/>
      <c r="S52" s="1063"/>
      <c r="T52" s="1063"/>
      <c r="U52" s="1063"/>
      <c r="V52" s="1063"/>
      <c r="W52" s="1063"/>
      <c r="X52" s="1063"/>
      <c r="Y52" s="1063"/>
      <c r="Z52" s="1063"/>
      <c r="AA52" s="1063"/>
      <c r="AB52" s="1064"/>
      <c r="AC52" s="1065"/>
      <c r="AD52" s="1065"/>
      <c r="AE52" s="1065"/>
      <c r="AF52" s="1065"/>
      <c r="AG52" s="1065"/>
      <c r="AH52" s="1065"/>
      <c r="AI52" s="1065"/>
      <c r="AJ52" s="1065"/>
      <c r="AK52" s="1065"/>
      <c r="AL52" s="1065"/>
      <c r="AM52" s="1065"/>
      <c r="AN52" s="1065"/>
      <c r="AO52" s="1065"/>
      <c r="AP52" s="1065"/>
      <c r="AQ52" s="1065"/>
      <c r="AR52" s="1065"/>
      <c r="AS52" s="318"/>
      <c r="AV52" s="251"/>
      <c r="AW52" s="251"/>
    </row>
    <row r="53" spans="1:49">
      <c r="A53" s="918">
        <v>275</v>
      </c>
      <c r="B53" s="57">
        <f>B51*A53</f>
        <v>405.21250000000003</v>
      </c>
      <c r="E53" s="832" t="s">
        <v>852</v>
      </c>
      <c r="F53" s="8"/>
      <c r="G53" s="8"/>
      <c r="H53" s="8"/>
      <c r="I53" s="8" t="s">
        <v>853</v>
      </c>
      <c r="J53" s="8"/>
      <c r="K53" s="8"/>
      <c r="L53" s="363" t="s">
        <v>617</v>
      </c>
      <c r="M53" s="336">
        <f>+B53</f>
        <v>405.21250000000003</v>
      </c>
      <c r="N53" s="336">
        <f ca="1">ROUND($M53*(VLOOKUP($L53,$L$9:$X$24,N$6,FALSE)),2)</f>
        <v>405.21</v>
      </c>
      <c r="O53" s="336">
        <f t="shared" ref="O53:Q54" ca="1" si="30">ROUND($N53*(VLOOKUP($L53,$L$9:$X$24,O$6,FALSE)),2)</f>
        <v>0</v>
      </c>
      <c r="P53" s="336">
        <f t="shared" ca="1" si="30"/>
        <v>0</v>
      </c>
      <c r="Q53" s="336">
        <f t="shared" ca="1" si="30"/>
        <v>0</v>
      </c>
      <c r="R53" s="336">
        <f ca="1">ROUND(($N53+$Q53)*(VLOOKUP($L53,$L$9:$X$24,R$6,FALSE)),2)</f>
        <v>0</v>
      </c>
      <c r="S53" s="336">
        <f t="shared" ref="S53:U54" ca="1" si="31">ROUND($N53*(VLOOKUP($L53,$L$9:$X$24,S$6,FALSE)),2)</f>
        <v>0</v>
      </c>
      <c r="T53" s="336">
        <f t="shared" ca="1" si="31"/>
        <v>0</v>
      </c>
      <c r="U53" s="336">
        <f t="shared" ca="1" si="31"/>
        <v>0</v>
      </c>
      <c r="V53" s="336">
        <f ca="1">IF($R53=0,ROUND(SUM($N53:$R53)*(VLOOKUP($L53,$L$9:$X$24,V$6,FALSE)),2),ROUND(SUM($R53:$R53)*(VLOOKUP($L53,$L$9:$X$24,V$6,FALSE)),2))</f>
        <v>38.369999999999997</v>
      </c>
      <c r="W53" s="336">
        <f ca="1">SUM(N53:V53)</f>
        <v>443.58</v>
      </c>
      <c r="X53" s="336">
        <f ca="1">ROUND(W53*(VLOOKUP($L53,$L$9:$X$24,X$6,FALSE)),2)</f>
        <v>35.49</v>
      </c>
      <c r="Y53" s="336">
        <f ca="1">SUM(W53:X53)</f>
        <v>479.07</v>
      </c>
      <c r="Z53" s="214">
        <v>1</v>
      </c>
      <c r="AA53" s="336">
        <f ca="1">$Y53*$Z53</f>
        <v>479.07</v>
      </c>
      <c r="AB53" s="250"/>
      <c r="AC53" s="337"/>
      <c r="AD53" s="337"/>
      <c r="AE53" s="323">
        <f ca="1">W53*Z53</f>
        <v>443.58</v>
      </c>
      <c r="AF53" s="323">
        <f ca="1">Y53*Z53</f>
        <v>479.07</v>
      </c>
      <c r="AG53" s="323">
        <f ca="1">AF53-AE53</f>
        <v>35.490000000000009</v>
      </c>
      <c r="AH53" s="20">
        <f ca="1">IF(AG53=0,0,ROUND(AG53/AE53,2))</f>
        <v>0.08</v>
      </c>
      <c r="AI53" s="337"/>
      <c r="AJ53" s="337"/>
      <c r="AK53" s="337"/>
      <c r="AL53" s="337"/>
      <c r="AM53" s="337"/>
      <c r="AN53" s="323"/>
      <c r="AO53" s="337"/>
      <c r="AP53" s="323"/>
      <c r="AQ53" s="60"/>
      <c r="AR53" s="324"/>
      <c r="AS53" s="325"/>
      <c r="AV53" s="251" t="str">
        <f t="shared" ca="1" si="27"/>
        <v>1</v>
      </c>
      <c r="AW53" s="251" t="str">
        <f t="shared" ca="1" si="28"/>
        <v>1</v>
      </c>
    </row>
    <row r="54" spans="1:49">
      <c r="A54" s="918"/>
      <c r="B54" s="57"/>
      <c r="E54" s="832" t="s">
        <v>917</v>
      </c>
      <c r="F54" s="8"/>
      <c r="G54" s="8"/>
      <c r="H54" s="8"/>
      <c r="I54" s="8"/>
      <c r="J54" s="8"/>
      <c r="K54" s="8"/>
      <c r="L54" s="363" t="s">
        <v>617</v>
      </c>
      <c r="M54" s="336">
        <f>'Travel - Year 1'!P18</f>
        <v>1048</v>
      </c>
      <c r="N54" s="336">
        <f ca="1">ROUND($M54*(VLOOKUP($L54,$L$9:$X$24,N$6,FALSE)),2)</f>
        <v>1048</v>
      </c>
      <c r="O54" s="336">
        <f t="shared" ca="1" si="30"/>
        <v>0</v>
      </c>
      <c r="P54" s="336">
        <f t="shared" ca="1" si="30"/>
        <v>0</v>
      </c>
      <c r="Q54" s="336">
        <f t="shared" ca="1" si="30"/>
        <v>0</v>
      </c>
      <c r="R54" s="336">
        <f ca="1">ROUND(($N54+$Q54)*(VLOOKUP($L54,$L$9:$X$24,R$6,FALSE)),2)</f>
        <v>0</v>
      </c>
      <c r="S54" s="336">
        <f t="shared" ca="1" si="31"/>
        <v>0</v>
      </c>
      <c r="T54" s="336">
        <f t="shared" ca="1" si="31"/>
        <v>0</v>
      </c>
      <c r="U54" s="336">
        <f t="shared" ca="1" si="31"/>
        <v>0</v>
      </c>
      <c r="V54" s="336">
        <f ca="1">IF($R54=0,ROUND(SUM($N54:$R54)*(VLOOKUP($L54,$L$9:$X$24,V$6,FALSE)),2),ROUND(SUM($R54:$R54)*(VLOOKUP($L54,$L$9:$X$24,V$6,FALSE)),2))</f>
        <v>99.25</v>
      </c>
      <c r="W54" s="336">
        <f ca="1">SUM(N54:V54)</f>
        <v>1147.25</v>
      </c>
      <c r="X54" s="336">
        <f ca="1">ROUND(W54*(VLOOKUP($L54,$L$9:$X$24,X$6,FALSE)),2)</f>
        <v>91.78</v>
      </c>
      <c r="Y54" s="336">
        <f ca="1">SUM(W54:X54)</f>
        <v>1239.03</v>
      </c>
      <c r="Z54" s="214">
        <v>1</v>
      </c>
      <c r="AA54" s="336">
        <f ca="1">$Y54*$Z54</f>
        <v>1239.03</v>
      </c>
      <c r="AB54" s="250"/>
      <c r="AC54" s="337"/>
      <c r="AD54" s="337"/>
      <c r="AE54" s="323">
        <f ca="1">W54*Z54</f>
        <v>1147.25</v>
      </c>
      <c r="AF54" s="323">
        <f ca="1">Y54*Z54</f>
        <v>1239.03</v>
      </c>
      <c r="AG54" s="323">
        <f ca="1">AF54-AE54</f>
        <v>91.779999999999973</v>
      </c>
      <c r="AH54" s="20">
        <f ca="1">IF(AG54=0,0,ROUND(AG54/AE54,2))</f>
        <v>0.08</v>
      </c>
      <c r="AI54" s="337"/>
      <c r="AJ54" s="337"/>
      <c r="AK54" s="337"/>
      <c r="AL54" s="337"/>
      <c r="AM54" s="337"/>
      <c r="AN54" s="323"/>
      <c r="AO54" s="337"/>
      <c r="AP54" s="323"/>
      <c r="AQ54" s="60"/>
      <c r="AR54" s="324"/>
      <c r="AS54" s="325"/>
      <c r="AV54" s="251" t="str">
        <f ca="1">IF((OR((Y54=""),(Y54&gt;0))),"1","0")</f>
        <v>1</v>
      </c>
      <c r="AW54" s="251" t="str">
        <f ca="1">IF((OR((AA54=""),(AA54&gt;0))),"1","0")</f>
        <v>1</v>
      </c>
    </row>
    <row r="55" spans="1:49">
      <c r="A55" s="918"/>
      <c r="B55" s="57"/>
      <c r="E55" s="832"/>
      <c r="F55" s="8"/>
      <c r="G55" s="8"/>
      <c r="H55" s="8"/>
      <c r="I55" s="8"/>
      <c r="J55" s="8"/>
      <c r="K55" s="8"/>
      <c r="L55" s="363"/>
      <c r="M55" s="336"/>
      <c r="N55" s="336"/>
      <c r="O55" s="336"/>
      <c r="P55" s="336"/>
      <c r="Q55" s="336"/>
      <c r="R55" s="336"/>
      <c r="S55" s="336"/>
      <c r="T55" s="336"/>
      <c r="U55" s="336"/>
      <c r="V55" s="336"/>
      <c r="W55" s="336"/>
      <c r="X55" s="336"/>
      <c r="Y55" s="336" t="s">
        <v>942</v>
      </c>
      <c r="Z55" s="214"/>
      <c r="AA55" s="336">
        <f ca="1">SUBTOTAL(9,AA53:AA54)</f>
        <v>1718.1</v>
      </c>
      <c r="AB55" s="250"/>
      <c r="AC55" s="337"/>
      <c r="AD55" s="337"/>
      <c r="AE55" s="323"/>
      <c r="AF55" s="323"/>
      <c r="AG55" s="323"/>
      <c r="AH55" s="20"/>
      <c r="AI55" s="337"/>
      <c r="AJ55" s="337"/>
      <c r="AK55" s="337"/>
      <c r="AL55" s="337"/>
      <c r="AM55" s="337"/>
      <c r="AN55" s="323"/>
      <c r="AO55" s="337"/>
      <c r="AP55" s="323"/>
      <c r="AQ55" s="60"/>
      <c r="AR55" s="324"/>
      <c r="AS55" s="325"/>
    </row>
    <row r="56" spans="1:49" ht="15.75">
      <c r="A56" s="918"/>
      <c r="B56" s="57"/>
      <c r="E56" s="1059" t="s">
        <v>940</v>
      </c>
      <c r="F56" s="1060"/>
      <c r="G56" s="1060"/>
      <c r="H56" s="1061"/>
      <c r="I56" s="1060"/>
      <c r="J56" s="1062"/>
      <c r="K56" s="1062"/>
      <c r="L56" s="1060"/>
      <c r="M56" s="1063"/>
      <c r="N56" s="1063"/>
      <c r="O56" s="1063"/>
      <c r="P56" s="1063"/>
      <c r="Q56" s="1063"/>
      <c r="R56" s="1063"/>
      <c r="S56" s="1063"/>
      <c r="T56" s="1063"/>
      <c r="U56" s="1063"/>
      <c r="V56" s="1063"/>
      <c r="W56" s="1063"/>
      <c r="X56" s="1063"/>
      <c r="Y56" s="1063"/>
      <c r="Z56" s="1063"/>
      <c r="AA56" s="1063"/>
      <c r="AB56" s="1064"/>
      <c r="AC56" s="337"/>
      <c r="AD56" s="337"/>
      <c r="AE56" s="323"/>
      <c r="AF56" s="323"/>
      <c r="AG56" s="323"/>
      <c r="AH56" s="20"/>
      <c r="AI56" s="337"/>
      <c r="AJ56" s="337"/>
      <c r="AK56" s="337"/>
      <c r="AL56" s="337"/>
      <c r="AM56" s="337"/>
      <c r="AN56" s="323"/>
      <c r="AO56" s="337"/>
      <c r="AP56" s="323"/>
      <c r="AQ56" s="60"/>
      <c r="AR56" s="324"/>
      <c r="AS56" s="325"/>
    </row>
    <row r="57" spans="1:49">
      <c r="A57" s="918"/>
      <c r="B57" s="57"/>
      <c r="E57" s="832" t="s">
        <v>915</v>
      </c>
      <c r="F57" s="8"/>
      <c r="G57" s="8"/>
      <c r="H57" s="8"/>
      <c r="I57" s="8"/>
      <c r="J57" s="8"/>
      <c r="K57" s="8"/>
      <c r="L57" s="363" t="s">
        <v>617</v>
      </c>
      <c r="M57" s="336">
        <f>'Travel - Year 1'!P16</f>
        <v>3011</v>
      </c>
      <c r="N57" s="336">
        <f ca="1">ROUND($M57*(VLOOKUP($L57,$L$9:$X$24,N$6,FALSE)),2)</f>
        <v>3011</v>
      </c>
      <c r="O57" s="336">
        <f t="shared" ref="O57:Q59" ca="1" si="32">ROUND($N57*(VLOOKUP($L57,$L$9:$X$24,O$6,FALSE)),2)</f>
        <v>0</v>
      </c>
      <c r="P57" s="336">
        <f t="shared" ca="1" si="32"/>
        <v>0</v>
      </c>
      <c r="Q57" s="336">
        <f t="shared" ca="1" si="32"/>
        <v>0</v>
      </c>
      <c r="R57" s="336">
        <f ca="1">ROUND(($N57+$Q57)*(VLOOKUP($L57,$L$9:$X$24,R$6,FALSE)),2)</f>
        <v>0</v>
      </c>
      <c r="S57" s="336">
        <f t="shared" ref="S57:U59" ca="1" si="33">ROUND($N57*(VLOOKUP($L57,$L$9:$X$24,S$6,FALSE)),2)</f>
        <v>0</v>
      </c>
      <c r="T57" s="336">
        <f t="shared" ca="1" si="33"/>
        <v>0</v>
      </c>
      <c r="U57" s="336">
        <f t="shared" ca="1" si="33"/>
        <v>0</v>
      </c>
      <c r="V57" s="336">
        <f ca="1">IF($R57=0,ROUND(SUM($N57:$R57)*(VLOOKUP($L57,$L$9:$X$24,V$6,FALSE)),2),ROUND(SUM($R57:$R57)*(VLOOKUP($L57,$L$9:$X$24,V$6,FALSE)),2))</f>
        <v>285.14</v>
      </c>
      <c r="W57" s="336">
        <f ca="1">SUM(N57:V57)</f>
        <v>3296.14</v>
      </c>
      <c r="X57" s="336">
        <f ca="1">ROUND(W57*(VLOOKUP($L57,$L$9:$X$24,X$6,FALSE)),2)</f>
        <v>263.69</v>
      </c>
      <c r="Y57" s="336">
        <f ca="1">SUM(W57:X57)</f>
        <v>3559.83</v>
      </c>
      <c r="Z57" s="214">
        <v>1</v>
      </c>
      <c r="AA57" s="336">
        <f ca="1">$Y57*$Z57</f>
        <v>3559.83</v>
      </c>
      <c r="AB57" s="250"/>
      <c r="AC57" s="337"/>
      <c r="AD57" s="337"/>
      <c r="AE57" s="323">
        <f ca="1">W57*Z57</f>
        <v>3296.14</v>
      </c>
      <c r="AF57" s="323">
        <f ca="1">Y57*Z57</f>
        <v>3559.83</v>
      </c>
      <c r="AG57" s="323">
        <f ca="1">AF57-AE57</f>
        <v>263.69000000000005</v>
      </c>
      <c r="AH57" s="20">
        <f ca="1">IF(AG57=0,0,ROUND(AG57/AE57,2))</f>
        <v>0.08</v>
      </c>
      <c r="AI57" s="337"/>
      <c r="AJ57" s="337"/>
      <c r="AK57" s="337"/>
      <c r="AL57" s="337"/>
      <c r="AM57" s="337"/>
      <c r="AN57" s="323"/>
      <c r="AO57" s="337"/>
      <c r="AP57" s="323"/>
      <c r="AQ57" s="60"/>
      <c r="AR57" s="324"/>
      <c r="AS57" s="325"/>
      <c r="AV57" s="251" t="str">
        <f ca="1">IF((OR((Y57=""),(Y57&gt;0))),"1","0")</f>
        <v>1</v>
      </c>
      <c r="AW57" s="251" t="str">
        <f ca="1">IF((OR((AA57=""),(AA57&gt;0))),"1","0")</f>
        <v>1</v>
      </c>
    </row>
    <row r="58" spans="1:49">
      <c r="A58" s="918"/>
      <c r="B58" s="57"/>
      <c r="E58" s="832" t="s">
        <v>916</v>
      </c>
      <c r="F58" s="8"/>
      <c r="G58" s="8"/>
      <c r="H58" s="8"/>
      <c r="I58" s="8"/>
      <c r="J58" s="8"/>
      <c r="K58" s="8"/>
      <c r="L58" s="363" t="s">
        <v>617</v>
      </c>
      <c r="M58" s="336">
        <f>'Travel - Year 1'!P17</f>
        <v>3078</v>
      </c>
      <c r="N58" s="336">
        <f ca="1">ROUND($M58*(VLOOKUP($L58,$L$9:$X$24,N$6,FALSE)),2)</f>
        <v>3078</v>
      </c>
      <c r="O58" s="336">
        <f t="shared" ca="1" si="32"/>
        <v>0</v>
      </c>
      <c r="P58" s="336">
        <f t="shared" ca="1" si="32"/>
        <v>0</v>
      </c>
      <c r="Q58" s="336">
        <f t="shared" ca="1" si="32"/>
        <v>0</v>
      </c>
      <c r="R58" s="336">
        <f ca="1">ROUND(($N58+$Q58)*(VLOOKUP($L58,$L$9:$X$24,R$6,FALSE)),2)</f>
        <v>0</v>
      </c>
      <c r="S58" s="336">
        <f t="shared" ca="1" si="33"/>
        <v>0</v>
      </c>
      <c r="T58" s="336">
        <f t="shared" ca="1" si="33"/>
        <v>0</v>
      </c>
      <c r="U58" s="336">
        <f t="shared" ca="1" si="33"/>
        <v>0</v>
      </c>
      <c r="V58" s="336">
        <f ca="1">IF($R58=0,ROUND(SUM($N58:$R58)*(VLOOKUP($L58,$L$9:$X$24,V$6,FALSE)),2),ROUND(SUM($R58:$R58)*(VLOOKUP($L58,$L$9:$X$24,V$6,FALSE)),2))</f>
        <v>291.49</v>
      </c>
      <c r="W58" s="336">
        <f ca="1">SUM(N58:V58)</f>
        <v>3369.49</v>
      </c>
      <c r="X58" s="336">
        <f ca="1">ROUND(W58*(VLOOKUP($L58,$L$9:$X$24,X$6,FALSE)),2)</f>
        <v>269.56</v>
      </c>
      <c r="Y58" s="336">
        <f ca="1">SUM(W58:X58)</f>
        <v>3639.0499999999997</v>
      </c>
      <c r="Z58" s="214">
        <v>1</v>
      </c>
      <c r="AA58" s="336">
        <f ca="1">$Y58*$Z58</f>
        <v>3639.0499999999997</v>
      </c>
      <c r="AB58" s="250"/>
      <c r="AC58" s="337"/>
      <c r="AD58" s="337"/>
      <c r="AE58" s="323">
        <f ca="1">W58*Z58</f>
        <v>3369.49</v>
      </c>
      <c r="AF58" s="323">
        <f ca="1">Y58*Z58</f>
        <v>3639.0499999999997</v>
      </c>
      <c r="AG58" s="323">
        <f ca="1">AF58-AE58</f>
        <v>269.55999999999995</v>
      </c>
      <c r="AH58" s="20">
        <f ca="1">IF(AG58=0,0,ROUND(AG58/AE58,2))</f>
        <v>0.08</v>
      </c>
      <c r="AI58" s="337"/>
      <c r="AJ58" s="337"/>
      <c r="AK58" s="337"/>
      <c r="AL58" s="337"/>
      <c r="AM58" s="337"/>
      <c r="AN58" s="323"/>
      <c r="AO58" s="337"/>
      <c r="AP58" s="323"/>
      <c r="AQ58" s="60"/>
      <c r="AR58" s="324"/>
      <c r="AS58" s="325"/>
      <c r="AV58" s="251" t="str">
        <f ca="1">IF((OR((Y58=""),(Y58&gt;0))),"1","0")</f>
        <v>1</v>
      </c>
      <c r="AW58" s="251" t="str">
        <f ca="1">IF((OR((AA58=""),(AA58&gt;0))),"1","0")</f>
        <v>1</v>
      </c>
    </row>
    <row r="59" spans="1:49">
      <c r="A59" s="918"/>
      <c r="B59" s="57"/>
      <c r="E59" s="832" t="s">
        <v>918</v>
      </c>
      <c r="F59" s="8"/>
      <c r="G59" s="8"/>
      <c r="H59" s="8"/>
      <c r="I59" s="8"/>
      <c r="J59" s="8"/>
      <c r="K59" s="8"/>
      <c r="L59" s="363" t="s">
        <v>617</v>
      </c>
      <c r="M59" s="336" t="e">
        <f>'Travel - Year 1'!#REF!</f>
        <v>#REF!</v>
      </c>
      <c r="N59" s="336" t="e">
        <f ca="1">ROUND($M59*(VLOOKUP($L59,$L$9:$X$24,N$6,FALSE)),2)</f>
        <v>#REF!</v>
      </c>
      <c r="O59" s="336" t="e">
        <f t="shared" ca="1" si="32"/>
        <v>#REF!</v>
      </c>
      <c r="P59" s="336" t="e">
        <f t="shared" ca="1" si="32"/>
        <v>#REF!</v>
      </c>
      <c r="Q59" s="336" t="e">
        <f t="shared" ca="1" si="32"/>
        <v>#REF!</v>
      </c>
      <c r="R59" s="336" t="e">
        <f ca="1">ROUND(($N59+$Q59)*(VLOOKUP($L59,$L$9:$X$24,R$6,FALSE)),2)</f>
        <v>#REF!</v>
      </c>
      <c r="S59" s="336" t="e">
        <f t="shared" ca="1" si="33"/>
        <v>#REF!</v>
      </c>
      <c r="T59" s="336" t="e">
        <f t="shared" ca="1" si="33"/>
        <v>#REF!</v>
      </c>
      <c r="U59" s="336" t="e">
        <f t="shared" ca="1" si="33"/>
        <v>#REF!</v>
      </c>
      <c r="V59" s="336" t="e">
        <f ca="1">IF($R59=0,ROUND(SUM($N59:$R59)*(VLOOKUP($L59,$L$9:$X$24,V$6,FALSE)),2),ROUND(SUM($R59:$R59)*(VLOOKUP($L59,$L$9:$X$24,V$6,FALSE)),2))</f>
        <v>#REF!</v>
      </c>
      <c r="W59" s="336" t="e">
        <f ca="1">SUM(N59:V59)</f>
        <v>#REF!</v>
      </c>
      <c r="X59" s="336" t="e">
        <f ca="1">ROUND(W59*(VLOOKUP($L59,$L$9:$X$24,X$6,FALSE)),2)</f>
        <v>#REF!</v>
      </c>
      <c r="Y59" s="336" t="e">
        <f ca="1">SUM(W59:X59)</f>
        <v>#REF!</v>
      </c>
      <c r="Z59" s="214">
        <v>1</v>
      </c>
      <c r="AA59" s="336" t="e">
        <f ca="1">$Y59*$Z59</f>
        <v>#REF!</v>
      </c>
      <c r="AB59" s="250"/>
      <c r="AC59" s="337"/>
      <c r="AD59" s="337"/>
      <c r="AE59" s="323" t="e">
        <f ca="1">W59*Z59</f>
        <v>#REF!</v>
      </c>
      <c r="AF59" s="323" t="e">
        <f ca="1">Y59*Z59</f>
        <v>#REF!</v>
      </c>
      <c r="AG59" s="323" t="e">
        <f ca="1">AF59-AE59</f>
        <v>#REF!</v>
      </c>
      <c r="AH59" s="20" t="e">
        <f ca="1">IF(AG59=0,0,ROUND(AG59/AE59,2))</f>
        <v>#REF!</v>
      </c>
      <c r="AI59" s="337"/>
      <c r="AJ59" s="337"/>
      <c r="AK59" s="337"/>
      <c r="AL59" s="337"/>
      <c r="AM59" s="337"/>
      <c r="AN59" s="323"/>
      <c r="AO59" s="337"/>
      <c r="AP59" s="323"/>
      <c r="AQ59" s="60"/>
      <c r="AR59" s="324"/>
      <c r="AS59" s="325"/>
      <c r="AV59" s="251" t="e">
        <f ca="1">IF((OR((Y59=""),(Y59&gt;0))),"1","0")</f>
        <v>#REF!</v>
      </c>
      <c r="AW59" s="251" t="e">
        <f ca="1">IF((OR((AA59=""),(AA59&gt;0))),"1","0")</f>
        <v>#REF!</v>
      </c>
    </row>
    <row r="60" spans="1:49">
      <c r="A60" s="918"/>
      <c r="B60" s="57"/>
      <c r="E60" s="832"/>
      <c r="F60" s="8"/>
      <c r="G60" s="8"/>
      <c r="H60" s="8"/>
      <c r="I60" s="8"/>
      <c r="J60" s="8"/>
      <c r="K60" s="8"/>
      <c r="L60" s="363"/>
      <c r="M60" s="336"/>
      <c r="N60" s="336"/>
      <c r="O60" s="336"/>
      <c r="P60" s="336"/>
      <c r="Q60" s="336"/>
      <c r="R60" s="336"/>
      <c r="S60" s="336"/>
      <c r="T60" s="336"/>
      <c r="U60" s="336"/>
      <c r="V60" s="336"/>
      <c r="W60" s="336"/>
      <c r="X60" s="336"/>
      <c r="Y60" s="336" t="s">
        <v>942</v>
      </c>
      <c r="Z60" s="214"/>
      <c r="AA60" s="336" t="e">
        <f ca="1">SUBTOTAL(9,AA57:AA59)</f>
        <v>#REF!</v>
      </c>
      <c r="AB60" s="250"/>
      <c r="AC60" s="337"/>
      <c r="AD60" s="337"/>
      <c r="AE60" s="323"/>
      <c r="AF60" s="323"/>
      <c r="AG60" s="323"/>
      <c r="AH60" s="20"/>
      <c r="AI60" s="337"/>
      <c r="AJ60" s="337"/>
      <c r="AK60" s="337"/>
      <c r="AL60" s="337"/>
      <c r="AM60" s="337"/>
      <c r="AN60" s="323"/>
      <c r="AO60" s="337"/>
      <c r="AP60" s="323"/>
      <c r="AQ60" s="60"/>
      <c r="AR60" s="324"/>
      <c r="AS60" s="325"/>
    </row>
    <row r="61" spans="1:49" ht="15.75">
      <c r="E61" s="1059" t="s">
        <v>941</v>
      </c>
      <c r="F61" s="1060"/>
      <c r="G61" s="1060"/>
      <c r="H61" s="1061"/>
      <c r="I61" s="1060"/>
      <c r="J61" s="1062"/>
      <c r="K61" s="1062"/>
      <c r="L61" s="1060"/>
      <c r="M61" s="1063"/>
      <c r="N61" s="1063"/>
      <c r="O61" s="1063"/>
      <c r="P61" s="1063"/>
      <c r="Q61" s="1063"/>
      <c r="R61" s="1063"/>
      <c r="S61" s="1063"/>
      <c r="T61" s="1063"/>
      <c r="U61" s="1063"/>
      <c r="V61" s="1063"/>
      <c r="W61" s="1063"/>
      <c r="X61" s="1063"/>
      <c r="Y61" s="1063"/>
      <c r="Z61" s="1063"/>
      <c r="AA61" s="1063"/>
      <c r="AB61" s="1064"/>
      <c r="AC61" s="337"/>
      <c r="AD61" s="337"/>
      <c r="AE61" s="323"/>
      <c r="AF61" s="323"/>
      <c r="AG61" s="323"/>
      <c r="AH61" s="20"/>
      <c r="AI61" s="337"/>
      <c r="AJ61" s="337"/>
      <c r="AK61" s="337"/>
      <c r="AL61" s="337"/>
      <c r="AM61" s="337"/>
      <c r="AN61" s="323"/>
      <c r="AO61" s="337"/>
      <c r="AP61" s="323"/>
      <c r="AQ61" s="60"/>
      <c r="AR61" s="324"/>
      <c r="AS61" s="325"/>
    </row>
    <row r="62" spans="1:49">
      <c r="E62" s="832" t="s">
        <v>912</v>
      </c>
      <c r="F62" s="8"/>
      <c r="G62" s="8"/>
      <c r="H62" s="8"/>
      <c r="I62" s="8"/>
      <c r="J62" s="8"/>
      <c r="K62" s="8"/>
      <c r="L62" s="363" t="s">
        <v>617</v>
      </c>
      <c r="M62" s="336">
        <f>'[6]Service Quote'!$E$23</f>
        <v>499.95</v>
      </c>
      <c r="N62" s="336">
        <f ca="1">ROUND($M62*(VLOOKUP($L62,$L$9:$X$24,N$6,FALSE)),2)</f>
        <v>499.95</v>
      </c>
      <c r="O62" s="336">
        <f t="shared" ref="O62:Q64" ca="1" si="34">ROUND($N62*(VLOOKUP($L62,$L$9:$X$24,O$6,FALSE)),2)</f>
        <v>0</v>
      </c>
      <c r="P62" s="336">
        <f t="shared" ca="1" si="34"/>
        <v>0</v>
      </c>
      <c r="Q62" s="336">
        <f t="shared" ca="1" si="34"/>
        <v>0</v>
      </c>
      <c r="R62" s="336">
        <f ca="1">ROUND(($N62+$Q62)*(VLOOKUP($L62,$L$9:$X$24,R$6,FALSE)),2)</f>
        <v>0</v>
      </c>
      <c r="S62" s="336">
        <f t="shared" ref="S62:U64" ca="1" si="35">ROUND($N62*(VLOOKUP($L62,$L$9:$X$24,S$6,FALSE)),2)</f>
        <v>0</v>
      </c>
      <c r="T62" s="336">
        <f t="shared" ca="1" si="35"/>
        <v>0</v>
      </c>
      <c r="U62" s="336">
        <f t="shared" ca="1" si="35"/>
        <v>0</v>
      </c>
      <c r="V62" s="336">
        <f ca="1">IF($R62=0,ROUND(SUM($N62:$R62)*(VLOOKUP($L62,$L$9:$X$24,V$6,FALSE)),2),ROUND(SUM($R62:$R62)*(VLOOKUP($L62,$L$9:$X$24,V$6,FALSE)),2))</f>
        <v>47.35</v>
      </c>
      <c r="W62" s="336">
        <f ca="1">SUM(N62:V62)</f>
        <v>547.29999999999995</v>
      </c>
      <c r="X62" s="336">
        <f ca="1">ROUND(W62*(VLOOKUP($L62,$L$9:$X$24,X$6,FALSE)),2)</f>
        <v>43.78</v>
      </c>
      <c r="Y62" s="336">
        <f ca="1">SUM(W62:X62)</f>
        <v>591.07999999999993</v>
      </c>
      <c r="Z62" s="214">
        <v>1</v>
      </c>
      <c r="AA62" s="336">
        <f ca="1">$Y62*$Z62</f>
        <v>591.07999999999993</v>
      </c>
      <c r="AB62" s="250"/>
      <c r="AC62" s="337"/>
      <c r="AD62" s="337"/>
      <c r="AE62" s="323">
        <f ca="1">W62*Z62</f>
        <v>547.29999999999995</v>
      </c>
      <c r="AF62" s="323">
        <f ca="1">Y62*Z62</f>
        <v>591.07999999999993</v>
      </c>
      <c r="AG62" s="323">
        <f ca="1">AF62-AE62</f>
        <v>43.779999999999973</v>
      </c>
      <c r="AH62" s="20">
        <f ca="1">IF(AG62=0,0,ROUND(AG62/AE62,2))</f>
        <v>0.08</v>
      </c>
      <c r="AI62" s="337"/>
      <c r="AJ62" s="337"/>
      <c r="AK62" s="337"/>
      <c r="AL62" s="337"/>
      <c r="AM62" s="337"/>
      <c r="AN62" s="323"/>
      <c r="AO62" s="337"/>
      <c r="AP62" s="323"/>
      <c r="AQ62" s="60"/>
      <c r="AR62" s="324"/>
      <c r="AS62" s="325"/>
      <c r="AV62" s="251" t="str">
        <f ca="1">IF((OR((Y62=""),(Y62&gt;0))),"1","0")</f>
        <v>1</v>
      </c>
      <c r="AW62" s="251" t="str">
        <f ca="1">IF((OR((AA62=""),(AA62&gt;0))),"1","0")</f>
        <v>1</v>
      </c>
    </row>
    <row r="63" spans="1:49">
      <c r="E63" s="832" t="s">
        <v>913</v>
      </c>
      <c r="F63" s="8"/>
      <c r="G63" s="8"/>
      <c r="H63" s="8"/>
      <c r="I63" s="8"/>
      <c r="J63" s="8"/>
      <c r="K63" s="8"/>
      <c r="L63" s="363" t="s">
        <v>617</v>
      </c>
      <c r="M63" s="336">
        <f>'[6]Service Quote'!$E$26</f>
        <v>359</v>
      </c>
      <c r="N63" s="336">
        <f ca="1">ROUND($M63*(VLOOKUP($L63,$L$9:$X$24,N$6,FALSE)),2)</f>
        <v>359</v>
      </c>
      <c r="O63" s="336">
        <f t="shared" ca="1" si="34"/>
        <v>0</v>
      </c>
      <c r="P63" s="336">
        <f t="shared" ca="1" si="34"/>
        <v>0</v>
      </c>
      <c r="Q63" s="336">
        <f t="shared" ca="1" si="34"/>
        <v>0</v>
      </c>
      <c r="R63" s="336">
        <f ca="1">ROUND(($N63+$Q63)*(VLOOKUP($L63,$L$9:$X$24,R$6,FALSE)),2)</f>
        <v>0</v>
      </c>
      <c r="S63" s="336">
        <f t="shared" ca="1" si="35"/>
        <v>0</v>
      </c>
      <c r="T63" s="336">
        <f t="shared" ca="1" si="35"/>
        <v>0</v>
      </c>
      <c r="U63" s="336">
        <f t="shared" ca="1" si="35"/>
        <v>0</v>
      </c>
      <c r="V63" s="336">
        <f ca="1">IF($R63=0,ROUND(SUM($N63:$R63)*(VLOOKUP($L63,$L$9:$X$24,V$6,FALSE)),2),ROUND(SUM($R63:$R63)*(VLOOKUP($L63,$L$9:$X$24,V$6,FALSE)),2))</f>
        <v>34</v>
      </c>
      <c r="W63" s="336">
        <f ca="1">SUM(N63:V63)</f>
        <v>393</v>
      </c>
      <c r="X63" s="336">
        <f ca="1">ROUND(W63*(VLOOKUP($L63,$L$9:$X$24,X$6,FALSE)),2)</f>
        <v>31.44</v>
      </c>
      <c r="Y63" s="336">
        <f ca="1">SUM(W63:X63)</f>
        <v>424.44</v>
      </c>
      <c r="Z63" s="214">
        <v>1</v>
      </c>
      <c r="AA63" s="336">
        <f ca="1">$Y63*$Z63</f>
        <v>424.44</v>
      </c>
      <c r="AB63" s="250"/>
      <c r="AC63" s="337"/>
      <c r="AD63" s="337"/>
      <c r="AE63" s="323">
        <f ca="1">W63*Z63</f>
        <v>393</v>
      </c>
      <c r="AF63" s="323">
        <f ca="1">Y63*Z63</f>
        <v>424.44</v>
      </c>
      <c r="AG63" s="323">
        <f ca="1">AF63-AE63</f>
        <v>31.439999999999998</v>
      </c>
      <c r="AH63" s="20">
        <f ca="1">IF(AG63=0,0,ROUND(AG63/AE63,2))</f>
        <v>0.08</v>
      </c>
      <c r="AI63" s="337"/>
      <c r="AJ63" s="337"/>
      <c r="AK63" s="337"/>
      <c r="AL63" s="337"/>
      <c r="AM63" s="337"/>
      <c r="AN63" s="323"/>
      <c r="AO63" s="337"/>
      <c r="AP63" s="323"/>
      <c r="AQ63" s="60"/>
      <c r="AR63" s="324"/>
      <c r="AS63" s="325"/>
      <c r="AV63" s="251" t="str">
        <f ca="1">IF((OR((Y63=""),(Y63&gt;0))),"1","0")</f>
        <v>1</v>
      </c>
      <c r="AW63" s="251" t="str">
        <f ca="1">IF((OR((AA63=""),(AA63&gt;0))),"1","0")</f>
        <v>1</v>
      </c>
    </row>
    <row r="64" spans="1:49">
      <c r="E64" s="832" t="s">
        <v>914</v>
      </c>
      <c r="F64" s="8"/>
      <c r="G64" s="8"/>
      <c r="H64" s="8"/>
      <c r="I64" s="8"/>
      <c r="J64" s="8"/>
      <c r="K64" s="8"/>
      <c r="L64" s="363" t="s">
        <v>617</v>
      </c>
      <c r="M64" s="336">
        <f>'[6]Service Quote'!$E$29</f>
        <v>199.95</v>
      </c>
      <c r="N64" s="336">
        <f ca="1">ROUND($M64*(VLOOKUP($L64,$L$9:$X$24,N$6,FALSE)),2)</f>
        <v>199.95</v>
      </c>
      <c r="O64" s="336">
        <f t="shared" ca="1" si="34"/>
        <v>0</v>
      </c>
      <c r="P64" s="336">
        <f t="shared" ca="1" si="34"/>
        <v>0</v>
      </c>
      <c r="Q64" s="336">
        <f t="shared" ca="1" si="34"/>
        <v>0</v>
      </c>
      <c r="R64" s="336">
        <f ca="1">ROUND(($N64+$Q64)*(VLOOKUP($L64,$L$9:$X$24,R$6,FALSE)),2)</f>
        <v>0</v>
      </c>
      <c r="S64" s="336">
        <f t="shared" ca="1" si="35"/>
        <v>0</v>
      </c>
      <c r="T64" s="336">
        <f t="shared" ca="1" si="35"/>
        <v>0</v>
      </c>
      <c r="U64" s="336">
        <f t="shared" ca="1" si="35"/>
        <v>0</v>
      </c>
      <c r="V64" s="336">
        <f ca="1">IF($R64=0,ROUND(SUM($N64:$R64)*(VLOOKUP($L64,$L$9:$X$24,V$6,FALSE)),2),ROUND(SUM($R64:$R64)*(VLOOKUP($L64,$L$9:$X$24,V$6,FALSE)),2))</f>
        <v>18.940000000000001</v>
      </c>
      <c r="W64" s="336">
        <f ca="1">SUM(N64:V64)</f>
        <v>218.89</v>
      </c>
      <c r="X64" s="336">
        <f ca="1">ROUND(W64*(VLOOKUP($L64,$L$9:$X$24,X$6,FALSE)),2)</f>
        <v>17.510000000000002</v>
      </c>
      <c r="Y64" s="336">
        <f ca="1">SUM(W64:X64)</f>
        <v>236.39999999999998</v>
      </c>
      <c r="Z64" s="214">
        <v>1</v>
      </c>
      <c r="AA64" s="336">
        <f ca="1">$Y64*$Z64</f>
        <v>236.39999999999998</v>
      </c>
      <c r="AB64" s="250"/>
      <c r="AC64" s="337"/>
      <c r="AD64" s="337"/>
      <c r="AE64" s="323">
        <f ca="1">W64*Z64</f>
        <v>218.89</v>
      </c>
      <c r="AF64" s="323">
        <f ca="1">Y64*Z64</f>
        <v>236.39999999999998</v>
      </c>
      <c r="AG64" s="323">
        <f ca="1">AF64-AE64</f>
        <v>17.509999999999991</v>
      </c>
      <c r="AH64" s="20">
        <f ca="1">IF(AG64=0,0,ROUND(AG64/AE64,2))</f>
        <v>0.08</v>
      </c>
      <c r="AI64" s="337"/>
      <c r="AJ64" s="337"/>
      <c r="AK64" s="337"/>
      <c r="AL64" s="337"/>
      <c r="AM64" s="337"/>
      <c r="AN64" s="323"/>
      <c r="AO64" s="337"/>
      <c r="AP64" s="323"/>
      <c r="AQ64" s="60"/>
      <c r="AR64" s="324"/>
      <c r="AS64" s="325"/>
    </row>
    <row r="65" spans="5:49">
      <c r="E65" s="832"/>
      <c r="F65" s="8"/>
      <c r="G65" s="8"/>
      <c r="H65" s="8"/>
      <c r="I65" s="8"/>
      <c r="J65" s="8"/>
      <c r="K65" s="8"/>
      <c r="L65" s="363"/>
      <c r="M65" s="336"/>
      <c r="N65" s="336"/>
      <c r="O65" s="336"/>
      <c r="P65" s="336"/>
      <c r="Q65" s="336"/>
      <c r="R65" s="336"/>
      <c r="S65" s="336"/>
      <c r="T65" s="336"/>
      <c r="U65" s="336"/>
      <c r="V65" s="336"/>
      <c r="W65" s="336"/>
      <c r="X65" s="336"/>
      <c r="Y65" s="336" t="s">
        <v>942</v>
      </c>
      <c r="Z65" s="214"/>
      <c r="AA65" s="336">
        <f ca="1">SUBTOTAL(9,AA62:AA64)</f>
        <v>1251.92</v>
      </c>
      <c r="AB65" s="250"/>
      <c r="AC65" s="337"/>
      <c r="AD65" s="337"/>
      <c r="AE65" s="323"/>
      <c r="AF65" s="323"/>
      <c r="AG65" s="323"/>
      <c r="AH65" s="20"/>
      <c r="AI65" s="337"/>
      <c r="AJ65" s="337"/>
      <c r="AK65" s="337"/>
      <c r="AL65" s="337"/>
      <c r="AM65" s="337"/>
      <c r="AN65" s="323"/>
      <c r="AO65" s="337"/>
      <c r="AP65" s="323"/>
      <c r="AQ65" s="60"/>
      <c r="AR65" s="324"/>
      <c r="AS65" s="325"/>
    </row>
    <row r="66" spans="5:49">
      <c r="E66" s="338"/>
      <c r="F66" s="327"/>
      <c r="G66" s="327"/>
      <c r="H66" s="327"/>
      <c r="I66" s="327"/>
      <c r="J66" s="327"/>
      <c r="K66" s="327"/>
      <c r="L66" s="327"/>
      <c r="M66" s="339"/>
      <c r="N66" s="339"/>
      <c r="O66" s="339"/>
      <c r="P66" s="339"/>
      <c r="Q66" s="339"/>
      <c r="R66" s="339"/>
      <c r="S66" s="339"/>
      <c r="T66" s="339"/>
      <c r="U66" s="339"/>
      <c r="V66" s="339"/>
      <c r="W66" s="339"/>
      <c r="X66" s="339"/>
      <c r="Y66" s="339"/>
      <c r="Z66" s="331"/>
      <c r="AA66" s="339"/>
      <c r="AB66" s="1037"/>
      <c r="AC66" s="339"/>
      <c r="AD66" s="339"/>
      <c r="AE66" s="339"/>
      <c r="AF66" s="339"/>
      <c r="AG66" s="339"/>
      <c r="AH66" s="339"/>
      <c r="AI66" s="339"/>
      <c r="AJ66" s="339"/>
      <c r="AK66" s="339"/>
      <c r="AL66" s="339"/>
      <c r="AM66" s="339"/>
      <c r="AN66" s="332"/>
      <c r="AO66" s="339"/>
      <c r="AP66" s="332"/>
      <c r="AQ66" s="332"/>
      <c r="AR66" s="333"/>
      <c r="AS66" s="325"/>
      <c r="AV66" s="251" t="str">
        <f t="shared" si="27"/>
        <v>1</v>
      </c>
      <c r="AW66" s="251" t="str">
        <f t="shared" si="28"/>
        <v>1</v>
      </c>
    </row>
    <row r="67" spans="5:49">
      <c r="E67" s="248"/>
      <c r="F67" s="8"/>
      <c r="G67" s="8"/>
      <c r="H67" s="8"/>
      <c r="I67" s="8"/>
      <c r="J67" s="8"/>
      <c r="K67" s="8"/>
      <c r="L67" s="8"/>
      <c r="M67" s="8"/>
      <c r="N67" s="8"/>
      <c r="O67" s="8"/>
      <c r="P67" s="8"/>
      <c r="Q67" s="8"/>
      <c r="R67" s="8"/>
      <c r="S67" s="8"/>
      <c r="T67" s="8"/>
      <c r="U67" s="8"/>
      <c r="V67" s="8"/>
      <c r="W67" s="8"/>
      <c r="X67" s="8"/>
      <c r="Y67" s="8"/>
      <c r="Z67" s="8"/>
      <c r="AA67" s="336"/>
      <c r="AB67" s="250"/>
      <c r="AV67" s="251" t="str">
        <f t="shared" si="27"/>
        <v>1</v>
      </c>
      <c r="AW67" s="251" t="str">
        <f t="shared" si="28"/>
        <v>1</v>
      </c>
    </row>
    <row r="68" spans="5:49">
      <c r="E68" s="248"/>
      <c r="F68" s="8"/>
      <c r="G68" s="8"/>
      <c r="H68" s="8"/>
      <c r="I68" s="8"/>
      <c r="J68" s="8"/>
      <c r="K68" s="8"/>
      <c r="L68" s="8"/>
      <c r="M68" s="8"/>
      <c r="N68" s="8"/>
      <c r="O68" s="8"/>
      <c r="P68" s="8"/>
      <c r="Q68" s="8"/>
      <c r="R68" s="8"/>
      <c r="S68" s="8"/>
      <c r="T68" s="8"/>
      <c r="U68" s="8"/>
      <c r="V68" s="8"/>
      <c r="W68" s="8"/>
      <c r="X68" s="8"/>
      <c r="Y68" s="313" t="s">
        <v>648</v>
      </c>
      <c r="Z68" s="322"/>
      <c r="AA68" s="1029" t="e">
        <f ca="1">SUBTOTAL(9,AA$51:AA$67)</f>
        <v>#REF!</v>
      </c>
      <c r="AB68" s="250"/>
      <c r="AC68" s="337"/>
      <c r="AD68" s="337"/>
      <c r="AE68" s="337" t="e">
        <f ca="1">SUM(AE32:AE64)</f>
        <v>#REF!</v>
      </c>
      <c r="AF68" s="337" t="e">
        <f ca="1">SUM(AF32:AF64)</f>
        <v>#REF!</v>
      </c>
      <c r="AG68" s="337" t="e">
        <f ca="1">SUM(AG32:AG64)</f>
        <v>#REF!</v>
      </c>
      <c r="AH68" s="20" t="e">
        <f ca="1">IF(AG68=0,0,ROUND(AG68/AE68,2))</f>
        <v>#REF!</v>
      </c>
      <c r="AI68" s="337"/>
      <c r="AJ68" s="337"/>
      <c r="AK68" s="337"/>
      <c r="AL68" s="337"/>
      <c r="AM68" s="337"/>
      <c r="AN68" s="337"/>
      <c r="AO68" s="337"/>
      <c r="AP68" s="337"/>
      <c r="AQ68" s="336"/>
      <c r="AR68" s="324"/>
      <c r="AS68" s="325"/>
      <c r="AV68" s="251" t="str">
        <f t="shared" si="27"/>
        <v>1</v>
      </c>
      <c r="AW68" s="251" t="e">
        <f t="shared" ca="1" si="28"/>
        <v>#REF!</v>
      </c>
    </row>
    <row r="69" spans="5:49">
      <c r="E69" s="248"/>
      <c r="F69" s="8"/>
      <c r="G69" s="8"/>
      <c r="H69" s="8"/>
      <c r="I69" s="8"/>
      <c r="J69" s="8"/>
      <c r="K69" s="8"/>
      <c r="L69" s="8"/>
      <c r="M69" s="8"/>
      <c r="N69" s="8"/>
      <c r="O69" s="8"/>
      <c r="P69" s="8"/>
      <c r="Q69" s="8"/>
      <c r="R69" s="8"/>
      <c r="S69" s="8"/>
      <c r="T69" s="8"/>
      <c r="U69" s="8"/>
      <c r="V69" s="8"/>
      <c r="W69" s="8"/>
      <c r="X69" s="8"/>
      <c r="Y69" s="8"/>
      <c r="Z69" s="8"/>
      <c r="AA69" s="8"/>
      <c r="AB69" s="250"/>
      <c r="AN69" s="13"/>
      <c r="AO69" s="335"/>
      <c r="AV69" s="251" t="str">
        <f t="shared" si="27"/>
        <v>1</v>
      </c>
      <c r="AW69" s="251" t="str">
        <f t="shared" si="28"/>
        <v>1</v>
      </c>
    </row>
    <row r="70" spans="5:49">
      <c r="E70" s="340"/>
      <c r="F70" s="307"/>
      <c r="G70" s="307"/>
      <c r="H70" s="307"/>
      <c r="I70" s="307"/>
      <c r="J70" s="307"/>
      <c r="K70" s="307"/>
      <c r="L70" s="307"/>
      <c r="M70" s="307"/>
      <c r="N70" s="307"/>
      <c r="O70" s="307"/>
      <c r="P70" s="307"/>
      <c r="Q70" s="307"/>
      <c r="R70" s="307"/>
      <c r="S70" s="307"/>
      <c r="T70" s="307"/>
      <c r="U70" s="307"/>
      <c r="V70" s="307"/>
      <c r="W70" s="307"/>
      <c r="X70" s="307"/>
      <c r="Y70" s="307"/>
      <c r="Z70" s="307"/>
      <c r="AA70" s="307"/>
      <c r="AB70" s="341"/>
      <c r="AC70" s="307"/>
      <c r="AD70" s="307"/>
      <c r="AE70" s="307"/>
      <c r="AF70" s="307"/>
      <c r="AG70" s="307"/>
      <c r="AH70" s="307"/>
      <c r="AI70" s="307"/>
      <c r="AJ70" s="307"/>
      <c r="AK70" s="307"/>
      <c r="AL70" s="307"/>
      <c r="AM70" s="307"/>
      <c r="AN70" s="307"/>
      <c r="AO70" s="307"/>
      <c r="AP70" s="307"/>
      <c r="AR70" s="307"/>
      <c r="AV70" s="251" t="str">
        <f t="shared" si="27"/>
        <v>1</v>
      </c>
      <c r="AW70" s="251" t="str">
        <f t="shared" si="28"/>
        <v>1</v>
      </c>
    </row>
    <row r="71" spans="5:49" ht="13.5" thickBot="1">
      <c r="E71" s="252"/>
      <c r="F71" s="254"/>
      <c r="G71" s="254"/>
      <c r="H71" s="254"/>
      <c r="I71" s="254"/>
      <c r="J71" s="254"/>
      <c r="K71" s="254"/>
      <c r="L71" s="254"/>
      <c r="M71" s="254"/>
      <c r="N71" s="254"/>
      <c r="O71" s="254"/>
      <c r="P71" s="254"/>
      <c r="Q71" s="254"/>
      <c r="R71" s="254"/>
      <c r="S71" s="254"/>
      <c r="T71" s="254"/>
      <c r="U71" s="254"/>
      <c r="V71" s="254"/>
      <c r="W71" s="254"/>
      <c r="X71" s="254"/>
      <c r="Y71" s="342" t="s">
        <v>649</v>
      </c>
      <c r="Z71" s="343">
        <f>Z49</f>
        <v>52200</v>
      </c>
      <c r="AA71" s="1030" t="e">
        <f ca="1">SUBTOTAL(9,AA$31:AA$70)</f>
        <v>#REF!</v>
      </c>
      <c r="AB71" s="258"/>
      <c r="AC71" s="323"/>
      <c r="AD71" s="323"/>
      <c r="AE71" s="323"/>
      <c r="AF71" s="323"/>
      <c r="AG71" s="323"/>
      <c r="AH71" s="323"/>
      <c r="AI71" s="323"/>
      <c r="AJ71" s="323"/>
      <c r="AK71" s="323"/>
      <c r="AL71" s="323"/>
      <c r="AM71" s="323"/>
      <c r="AN71" s="323"/>
      <c r="AO71" s="323"/>
      <c r="AP71" s="323"/>
      <c r="AQ71" s="60"/>
      <c r="AR71" s="324"/>
      <c r="AS71" s="325"/>
      <c r="AV71" s="251" t="str">
        <f t="shared" si="27"/>
        <v>1</v>
      </c>
      <c r="AW71" s="251" t="e">
        <f t="shared" ca="1" si="28"/>
        <v>#REF!</v>
      </c>
    </row>
    <row r="72" spans="5:49">
      <c r="AN72" s="344"/>
      <c r="AO72" s="345"/>
      <c r="AV72" s="251" t="str">
        <f t="shared" si="27"/>
        <v>1</v>
      </c>
      <c r="AW72" s="251" t="str">
        <f t="shared" si="28"/>
        <v>1</v>
      </c>
    </row>
    <row r="73" spans="5:49">
      <c r="AV73" s="251" t="str">
        <f t="shared" si="27"/>
        <v>1</v>
      </c>
      <c r="AW73" s="251" t="str">
        <f t="shared" si="28"/>
        <v>1</v>
      </c>
    </row>
    <row r="74" spans="5:49">
      <c r="O74" s="346"/>
      <c r="P74" s="346"/>
      <c r="R74" s="280" t="s">
        <v>633</v>
      </c>
      <c r="S74" s="346"/>
      <c r="T74" s="346"/>
      <c r="U74" s="346"/>
      <c r="V74" s="282" t="s">
        <v>61</v>
      </c>
      <c r="W74" s="281" t="s">
        <v>60</v>
      </c>
      <c r="X74" s="282" t="s">
        <v>63</v>
      </c>
      <c r="Y74" s="281" t="s">
        <v>59</v>
      </c>
      <c r="Z74" s="282" t="s">
        <v>602</v>
      </c>
      <c r="AA74" s="281" t="s">
        <v>638</v>
      </c>
      <c r="AV74" s="251" t="str">
        <f t="shared" si="27"/>
        <v>1</v>
      </c>
      <c r="AW74" s="251" t="str">
        <f t="shared" si="28"/>
        <v>1</v>
      </c>
    </row>
    <row r="75" spans="5:49">
      <c r="O75" s="8"/>
      <c r="P75" s="8"/>
      <c r="R75" s="347" t="s">
        <v>643</v>
      </c>
      <c r="S75" s="8"/>
      <c r="T75" s="8"/>
      <c r="U75" s="8"/>
      <c r="V75" s="348">
        <f>IF(Z75=0,0,(Z75/Z$96))</f>
        <v>0.73333333333333328</v>
      </c>
      <c r="W75" s="349">
        <f ca="1">IF(AA75=0,0,(AA75/AA$96))</f>
        <v>0.74641824947190716</v>
      </c>
      <c r="X75" s="350" t="s">
        <v>62</v>
      </c>
      <c r="Y75" s="269" t="s">
        <v>62</v>
      </c>
      <c r="Z75" s="351">
        <f t="shared" ref="Z75:AA95" si="36">SUMIF($G$31:$G$50,$R75,Z$31:Z$69)</f>
        <v>38280</v>
      </c>
      <c r="AA75" s="352">
        <f t="shared" ca="1" si="36"/>
        <v>2938929.6</v>
      </c>
      <c r="AB75" s="6" t="str">
        <f t="shared" ref="AB75:AB95" si="37">R75</f>
        <v>ManTech</v>
      </c>
      <c r="AC75" s="60"/>
      <c r="AD75" s="60"/>
      <c r="AE75" s="60"/>
      <c r="AF75" s="60"/>
      <c r="AG75" s="60"/>
      <c r="AH75" s="60"/>
      <c r="AI75" s="60"/>
      <c r="AJ75" s="60"/>
      <c r="AK75" s="60"/>
      <c r="AL75" s="60"/>
      <c r="AM75" s="60"/>
      <c r="AN75" s="60"/>
      <c r="AO75" s="60"/>
      <c r="AP75" s="60"/>
      <c r="AQ75" s="60"/>
      <c r="AR75" s="324"/>
      <c r="AS75" s="325"/>
      <c r="AV75" s="251" t="str">
        <f t="shared" si="27"/>
        <v>1</v>
      </c>
      <c r="AW75" s="251" t="str">
        <f t="shared" ca="1" si="28"/>
        <v>1</v>
      </c>
    </row>
    <row r="76" spans="5:49">
      <c r="M76" s="11"/>
      <c r="O76" s="8"/>
      <c r="P76" s="8"/>
      <c r="R76" s="347" t="str">
        <f>InputSheet!C149</f>
        <v>Segovia, Inc.</v>
      </c>
      <c r="S76" s="8"/>
      <c r="T76" s="8"/>
      <c r="U76" s="8"/>
      <c r="V76" s="348">
        <f t="shared" ref="V76:W95" si="38">IF(Z76=0,0,(Z76/Z$96))</f>
        <v>0.26666666666666666</v>
      </c>
      <c r="W76" s="349">
        <f t="shared" ca="1" si="38"/>
        <v>0.25358175052809273</v>
      </c>
      <c r="X76" s="348">
        <f>IF(Z76=0,0,(Z76/(Z$96-Z$75)))</f>
        <v>1</v>
      </c>
      <c r="Y76" s="353">
        <f ca="1">IF(AA76=0,0,(AA76/(AA$96-AA$75)))</f>
        <v>0.99999999999999978</v>
      </c>
      <c r="Z76" s="351">
        <f t="shared" si="36"/>
        <v>13920</v>
      </c>
      <c r="AA76" s="352">
        <f t="shared" ca="1" si="36"/>
        <v>998446.8</v>
      </c>
      <c r="AB76" s="6" t="str">
        <f t="shared" si="37"/>
        <v>Segovia, Inc.</v>
      </c>
      <c r="AC76" s="60"/>
      <c r="AD76" s="60"/>
      <c r="AE76" s="60"/>
      <c r="AF76" s="60"/>
      <c r="AG76" s="60"/>
      <c r="AH76" s="60"/>
      <c r="AI76" s="60"/>
      <c r="AJ76" s="60"/>
      <c r="AK76" s="60"/>
      <c r="AL76" s="60"/>
      <c r="AM76" s="60"/>
      <c r="AN76" s="60"/>
      <c r="AO76" s="60"/>
      <c r="AP76" s="60"/>
      <c r="AQ76" s="60"/>
      <c r="AR76" s="324"/>
      <c r="AS76" s="325"/>
      <c r="AV76" s="251" t="str">
        <f t="shared" ca="1" si="27"/>
        <v>1</v>
      </c>
      <c r="AW76" s="251" t="str">
        <f t="shared" ca="1" si="28"/>
        <v>1</v>
      </c>
    </row>
    <row r="77" spans="5:49">
      <c r="M77" s="11"/>
      <c r="O77" s="8"/>
      <c r="P77" s="8"/>
      <c r="R77" s="347" t="str">
        <f>InputSheet!C150</f>
        <v>Briggs and Sons</v>
      </c>
      <c r="S77" s="8"/>
      <c r="T77" s="8"/>
      <c r="U77" s="8"/>
      <c r="V77" s="348">
        <f t="shared" si="38"/>
        <v>0</v>
      </c>
      <c r="W77" s="349">
        <f t="shared" si="38"/>
        <v>0</v>
      </c>
      <c r="X77" s="348">
        <f t="shared" ref="X77:Y95" si="39">IF(Z77=0,0,(Z77/(Z$96-Z$75)))</f>
        <v>0</v>
      </c>
      <c r="Y77" s="353">
        <f t="shared" si="39"/>
        <v>0</v>
      </c>
      <c r="Z77" s="351">
        <f t="shared" si="36"/>
        <v>0</v>
      </c>
      <c r="AA77" s="352">
        <f t="shared" si="36"/>
        <v>0</v>
      </c>
      <c r="AB77" s="6" t="str">
        <f t="shared" si="37"/>
        <v>Briggs and Sons</v>
      </c>
      <c r="AC77" s="60"/>
      <c r="AD77" s="60"/>
      <c r="AE77" s="60"/>
      <c r="AF77" s="60"/>
      <c r="AG77" s="60"/>
      <c r="AH77" s="60"/>
      <c r="AI77" s="60"/>
      <c r="AJ77" s="60"/>
      <c r="AK77" s="60"/>
      <c r="AL77" s="60"/>
      <c r="AM77" s="60"/>
      <c r="AN77" s="60"/>
      <c r="AO77" s="60"/>
      <c r="AP77" s="60"/>
      <c r="AQ77" s="60"/>
      <c r="AR77" s="324"/>
      <c r="AS77" s="325"/>
      <c r="AV77" s="251" t="str">
        <f t="shared" si="27"/>
        <v>0</v>
      </c>
      <c r="AW77" s="251" t="str">
        <f t="shared" si="28"/>
        <v>0</v>
      </c>
    </row>
    <row r="78" spans="5:49">
      <c r="M78" s="11"/>
      <c r="O78" s="8"/>
      <c r="P78" s="8"/>
      <c r="R78" s="347" t="str">
        <f>InputSheet!C151</f>
        <v>Yvan</v>
      </c>
      <c r="S78" s="8"/>
      <c r="T78" s="8"/>
      <c r="U78" s="8"/>
      <c r="V78" s="348">
        <f t="shared" si="38"/>
        <v>0</v>
      </c>
      <c r="W78" s="349">
        <f t="shared" si="38"/>
        <v>0</v>
      </c>
      <c r="X78" s="348">
        <f t="shared" si="39"/>
        <v>0</v>
      </c>
      <c r="Y78" s="353">
        <f t="shared" si="39"/>
        <v>0</v>
      </c>
      <c r="Z78" s="351">
        <f t="shared" si="36"/>
        <v>0</v>
      </c>
      <c r="AA78" s="352">
        <f t="shared" si="36"/>
        <v>0</v>
      </c>
      <c r="AB78" s="6" t="str">
        <f t="shared" si="37"/>
        <v>Yvan</v>
      </c>
      <c r="AC78" s="60"/>
      <c r="AD78" s="60"/>
      <c r="AE78" s="60"/>
      <c r="AF78" s="60"/>
      <c r="AG78" s="60"/>
      <c r="AH78" s="60"/>
      <c r="AI78" s="60"/>
      <c r="AJ78" s="60"/>
      <c r="AK78" s="60"/>
      <c r="AL78" s="60"/>
      <c r="AM78" s="60"/>
      <c r="AN78" s="60"/>
      <c r="AO78" s="60"/>
      <c r="AP78" s="60"/>
      <c r="AQ78" s="60"/>
      <c r="AR78" s="324"/>
      <c r="AS78" s="325"/>
      <c r="AV78" s="251" t="str">
        <f t="shared" si="27"/>
        <v>0</v>
      </c>
      <c r="AW78" s="251" t="str">
        <f t="shared" si="28"/>
        <v>0</v>
      </c>
    </row>
    <row r="79" spans="5:49">
      <c r="O79" s="8"/>
      <c r="P79" s="8"/>
      <c r="R79" s="347" t="str">
        <f>InputSheet!C152</f>
        <v>Sub 4</v>
      </c>
      <c r="S79" s="8"/>
      <c r="T79" s="8"/>
      <c r="U79" s="8"/>
      <c r="V79" s="348">
        <f t="shared" si="38"/>
        <v>0</v>
      </c>
      <c r="W79" s="349">
        <f t="shared" si="38"/>
        <v>0</v>
      </c>
      <c r="X79" s="348">
        <f t="shared" si="39"/>
        <v>0</v>
      </c>
      <c r="Y79" s="353">
        <f t="shared" si="39"/>
        <v>0</v>
      </c>
      <c r="Z79" s="351">
        <f t="shared" si="36"/>
        <v>0</v>
      </c>
      <c r="AA79" s="352">
        <f t="shared" si="36"/>
        <v>0</v>
      </c>
      <c r="AB79" s="6" t="str">
        <f t="shared" si="37"/>
        <v>Sub 4</v>
      </c>
      <c r="AC79" s="60"/>
      <c r="AD79" s="60"/>
      <c r="AE79" s="60"/>
      <c r="AF79" s="60"/>
      <c r="AG79" s="60"/>
      <c r="AH79" s="60"/>
      <c r="AI79" s="60"/>
      <c r="AJ79" s="60"/>
      <c r="AK79" s="60"/>
      <c r="AL79" s="60"/>
      <c r="AM79" s="60"/>
      <c r="AN79" s="60"/>
      <c r="AO79" s="60"/>
      <c r="AP79" s="60"/>
      <c r="AQ79" s="60"/>
      <c r="AR79" s="324"/>
      <c r="AS79" s="325"/>
      <c r="AV79" s="251" t="str">
        <f t="shared" si="27"/>
        <v>0</v>
      </c>
      <c r="AW79" s="251" t="str">
        <f t="shared" si="28"/>
        <v>0</v>
      </c>
    </row>
    <row r="80" spans="5:49">
      <c r="O80" s="8"/>
      <c r="P80" s="8"/>
      <c r="R80" s="347" t="str">
        <f>InputSheet!C153</f>
        <v>Sub 5</v>
      </c>
      <c r="S80" s="8"/>
      <c r="T80" s="8"/>
      <c r="U80" s="8"/>
      <c r="V80" s="348">
        <f t="shared" si="38"/>
        <v>0</v>
      </c>
      <c r="W80" s="349">
        <f t="shared" si="38"/>
        <v>0</v>
      </c>
      <c r="X80" s="348">
        <f t="shared" si="39"/>
        <v>0</v>
      </c>
      <c r="Y80" s="353">
        <f t="shared" si="39"/>
        <v>0</v>
      </c>
      <c r="Z80" s="351">
        <f t="shared" si="36"/>
        <v>0</v>
      </c>
      <c r="AA80" s="352">
        <f t="shared" si="36"/>
        <v>0</v>
      </c>
      <c r="AB80" s="6" t="str">
        <f t="shared" si="37"/>
        <v>Sub 5</v>
      </c>
      <c r="AC80" s="60"/>
      <c r="AD80" s="60"/>
      <c r="AE80" s="60"/>
      <c r="AF80" s="60"/>
      <c r="AG80" s="60"/>
      <c r="AH80" s="60"/>
      <c r="AI80" s="60"/>
      <c r="AJ80" s="60"/>
      <c r="AK80" s="60"/>
      <c r="AL80" s="60"/>
      <c r="AM80" s="60"/>
      <c r="AN80" s="60"/>
      <c r="AO80" s="60"/>
      <c r="AP80" s="60"/>
      <c r="AQ80" s="60"/>
      <c r="AR80" s="324"/>
      <c r="AS80" s="325"/>
      <c r="AV80" s="251" t="str">
        <f t="shared" si="27"/>
        <v>0</v>
      </c>
      <c r="AW80" s="251" t="str">
        <f t="shared" si="28"/>
        <v>0</v>
      </c>
    </row>
    <row r="81" spans="15:49">
      <c r="O81" s="8"/>
      <c r="P81" s="8"/>
      <c r="R81" s="347" t="str">
        <f>InputSheet!C154</f>
        <v>Sub 6</v>
      </c>
      <c r="S81" s="8"/>
      <c r="T81" s="8"/>
      <c r="U81" s="8"/>
      <c r="V81" s="348">
        <f t="shared" si="38"/>
        <v>0</v>
      </c>
      <c r="W81" s="349">
        <f t="shared" si="38"/>
        <v>0</v>
      </c>
      <c r="X81" s="348">
        <f t="shared" si="39"/>
        <v>0</v>
      </c>
      <c r="Y81" s="353">
        <f t="shared" si="39"/>
        <v>0</v>
      </c>
      <c r="Z81" s="351">
        <f t="shared" si="36"/>
        <v>0</v>
      </c>
      <c r="AA81" s="352">
        <f t="shared" si="36"/>
        <v>0</v>
      </c>
      <c r="AB81" s="6" t="str">
        <f t="shared" si="37"/>
        <v>Sub 6</v>
      </c>
      <c r="AC81" s="60"/>
      <c r="AD81" s="60"/>
      <c r="AE81" s="60"/>
      <c r="AF81" s="60"/>
      <c r="AG81" s="60"/>
      <c r="AH81" s="60"/>
      <c r="AI81" s="60"/>
      <c r="AJ81" s="60"/>
      <c r="AK81" s="60"/>
      <c r="AL81" s="60"/>
      <c r="AM81" s="60"/>
      <c r="AN81" s="60"/>
      <c r="AO81" s="60"/>
      <c r="AP81" s="60"/>
      <c r="AQ81" s="60"/>
      <c r="AR81" s="324"/>
      <c r="AS81" s="325"/>
      <c r="AV81" s="251" t="str">
        <f t="shared" si="27"/>
        <v>0</v>
      </c>
      <c r="AW81" s="251" t="str">
        <f t="shared" si="28"/>
        <v>0</v>
      </c>
    </row>
    <row r="82" spans="15:49">
      <c r="O82" s="8"/>
      <c r="P82" s="8"/>
      <c r="R82" s="347" t="str">
        <f>InputSheet!C155</f>
        <v>Sub 7</v>
      </c>
      <c r="S82" s="8"/>
      <c r="T82" s="8"/>
      <c r="U82" s="8"/>
      <c r="V82" s="348">
        <f t="shared" si="38"/>
        <v>0</v>
      </c>
      <c r="W82" s="349">
        <f t="shared" si="38"/>
        <v>0</v>
      </c>
      <c r="X82" s="348">
        <f t="shared" si="39"/>
        <v>0</v>
      </c>
      <c r="Y82" s="353">
        <f t="shared" si="39"/>
        <v>0</v>
      </c>
      <c r="Z82" s="351">
        <f t="shared" si="36"/>
        <v>0</v>
      </c>
      <c r="AA82" s="352">
        <f t="shared" si="36"/>
        <v>0</v>
      </c>
      <c r="AB82" s="6" t="str">
        <f t="shared" si="37"/>
        <v>Sub 7</v>
      </c>
      <c r="AC82" s="60"/>
      <c r="AD82" s="60"/>
      <c r="AE82" s="60"/>
      <c r="AF82" s="60"/>
      <c r="AG82" s="60"/>
      <c r="AH82" s="60"/>
      <c r="AI82" s="60"/>
      <c r="AJ82" s="60"/>
      <c r="AK82" s="60"/>
      <c r="AL82" s="60"/>
      <c r="AM82" s="60"/>
      <c r="AN82" s="60"/>
      <c r="AO82" s="60"/>
      <c r="AP82" s="60"/>
      <c r="AQ82" s="60"/>
      <c r="AR82" s="324"/>
      <c r="AS82" s="325"/>
      <c r="AV82" s="251" t="str">
        <f t="shared" si="27"/>
        <v>0</v>
      </c>
      <c r="AW82" s="251" t="str">
        <f t="shared" si="28"/>
        <v>0</v>
      </c>
    </row>
    <row r="83" spans="15:49">
      <c r="O83" s="8"/>
      <c r="P83" s="8"/>
      <c r="R83" s="347" t="str">
        <f>InputSheet!C156</f>
        <v>Sub 8</v>
      </c>
      <c r="S83" s="8"/>
      <c r="T83" s="8"/>
      <c r="U83" s="8"/>
      <c r="V83" s="348">
        <f t="shared" si="38"/>
        <v>0</v>
      </c>
      <c r="W83" s="349">
        <f t="shared" si="38"/>
        <v>0</v>
      </c>
      <c r="X83" s="348">
        <f t="shared" si="39"/>
        <v>0</v>
      </c>
      <c r="Y83" s="353">
        <f t="shared" si="39"/>
        <v>0</v>
      </c>
      <c r="Z83" s="351">
        <f t="shared" si="36"/>
        <v>0</v>
      </c>
      <c r="AA83" s="352">
        <f t="shared" si="36"/>
        <v>0</v>
      </c>
      <c r="AB83" s="6" t="str">
        <f t="shared" si="37"/>
        <v>Sub 8</v>
      </c>
      <c r="AC83" s="60"/>
      <c r="AD83" s="60"/>
      <c r="AE83" s="60"/>
      <c r="AF83" s="60"/>
      <c r="AG83" s="60"/>
      <c r="AH83" s="60"/>
      <c r="AI83" s="60"/>
      <c r="AJ83" s="60"/>
      <c r="AK83" s="60"/>
      <c r="AL83" s="60"/>
      <c r="AM83" s="60"/>
      <c r="AN83" s="60"/>
      <c r="AO83" s="60"/>
      <c r="AP83" s="60"/>
      <c r="AQ83" s="60"/>
      <c r="AR83" s="324"/>
      <c r="AS83" s="325"/>
      <c r="AV83" s="251" t="str">
        <f t="shared" si="27"/>
        <v>0</v>
      </c>
      <c r="AW83" s="251" t="str">
        <f t="shared" si="28"/>
        <v>0</v>
      </c>
    </row>
    <row r="84" spans="15:49">
      <c r="O84" s="8"/>
      <c r="P84" s="8"/>
      <c r="R84" s="347" t="str">
        <f>InputSheet!C157</f>
        <v>Sub 9</v>
      </c>
      <c r="S84" s="8"/>
      <c r="T84" s="8"/>
      <c r="U84" s="8"/>
      <c r="V84" s="348">
        <f t="shared" si="38"/>
        <v>0</v>
      </c>
      <c r="W84" s="349">
        <f t="shared" si="38"/>
        <v>0</v>
      </c>
      <c r="X84" s="348">
        <f t="shared" si="39"/>
        <v>0</v>
      </c>
      <c r="Y84" s="353">
        <f t="shared" si="39"/>
        <v>0</v>
      </c>
      <c r="Z84" s="351">
        <f t="shared" si="36"/>
        <v>0</v>
      </c>
      <c r="AA84" s="352">
        <f t="shared" si="36"/>
        <v>0</v>
      </c>
      <c r="AB84" s="6" t="str">
        <f t="shared" si="37"/>
        <v>Sub 9</v>
      </c>
      <c r="AC84" s="60"/>
      <c r="AD84" s="60"/>
      <c r="AE84" s="60"/>
      <c r="AF84" s="60"/>
      <c r="AG84" s="60"/>
      <c r="AH84" s="60"/>
      <c r="AI84" s="60"/>
      <c r="AJ84" s="60"/>
      <c r="AK84" s="60"/>
      <c r="AL84" s="60"/>
      <c r="AM84" s="60"/>
      <c r="AN84" s="60"/>
      <c r="AO84" s="60"/>
      <c r="AP84" s="60"/>
      <c r="AQ84" s="60"/>
      <c r="AR84" s="324"/>
      <c r="AS84" s="325"/>
      <c r="AV84" s="251" t="str">
        <f t="shared" si="27"/>
        <v>0</v>
      </c>
      <c r="AW84" s="251" t="str">
        <f t="shared" si="28"/>
        <v>0</v>
      </c>
    </row>
    <row r="85" spans="15:49">
      <c r="O85" s="8"/>
      <c r="P85" s="8"/>
      <c r="R85" s="347" t="str">
        <f>InputSheet!C158</f>
        <v>Sub 10</v>
      </c>
      <c r="S85" s="8"/>
      <c r="T85" s="8"/>
      <c r="U85" s="8"/>
      <c r="V85" s="348">
        <f t="shared" si="38"/>
        <v>0</v>
      </c>
      <c r="W85" s="349">
        <f t="shared" si="38"/>
        <v>0</v>
      </c>
      <c r="X85" s="348">
        <f t="shared" si="39"/>
        <v>0</v>
      </c>
      <c r="Y85" s="353">
        <f t="shared" si="39"/>
        <v>0</v>
      </c>
      <c r="Z85" s="351">
        <f t="shared" si="36"/>
        <v>0</v>
      </c>
      <c r="AA85" s="352">
        <f t="shared" si="36"/>
        <v>0</v>
      </c>
      <c r="AB85" s="6" t="str">
        <f t="shared" si="37"/>
        <v>Sub 10</v>
      </c>
      <c r="AC85" s="60"/>
      <c r="AD85" s="60"/>
      <c r="AE85" s="60"/>
      <c r="AF85" s="60"/>
      <c r="AG85" s="60"/>
      <c r="AH85" s="60"/>
      <c r="AI85" s="60"/>
      <c r="AJ85" s="60"/>
      <c r="AK85" s="60"/>
      <c r="AL85" s="60"/>
      <c r="AM85" s="60"/>
      <c r="AN85" s="60"/>
      <c r="AO85" s="60"/>
      <c r="AP85" s="60"/>
      <c r="AQ85" s="60"/>
      <c r="AR85" s="324"/>
      <c r="AS85" s="325"/>
      <c r="AV85" s="251" t="str">
        <f t="shared" si="27"/>
        <v>0</v>
      </c>
      <c r="AW85" s="251" t="str">
        <f t="shared" si="28"/>
        <v>0</v>
      </c>
    </row>
    <row r="86" spans="15:49">
      <c r="O86" s="8"/>
      <c r="P86" s="8"/>
      <c r="R86" s="347" t="str">
        <f>InputSheet!C159</f>
        <v>Sub 11</v>
      </c>
      <c r="S86" s="8"/>
      <c r="T86" s="8"/>
      <c r="U86" s="8"/>
      <c r="V86" s="348">
        <f t="shared" si="38"/>
        <v>0</v>
      </c>
      <c r="W86" s="349">
        <f t="shared" si="38"/>
        <v>0</v>
      </c>
      <c r="X86" s="348">
        <f t="shared" si="39"/>
        <v>0</v>
      </c>
      <c r="Y86" s="353">
        <f t="shared" si="39"/>
        <v>0</v>
      </c>
      <c r="Z86" s="351">
        <f t="shared" si="36"/>
        <v>0</v>
      </c>
      <c r="AA86" s="352">
        <f t="shared" si="36"/>
        <v>0</v>
      </c>
      <c r="AB86" s="6" t="str">
        <f t="shared" si="37"/>
        <v>Sub 11</v>
      </c>
      <c r="AC86" s="60"/>
      <c r="AD86" s="60"/>
      <c r="AE86" s="60"/>
      <c r="AF86" s="60"/>
      <c r="AG86" s="60"/>
      <c r="AH86" s="60"/>
      <c r="AI86" s="60"/>
      <c r="AJ86" s="60"/>
      <c r="AK86" s="60"/>
      <c r="AL86" s="60"/>
      <c r="AM86" s="60"/>
      <c r="AN86" s="60"/>
      <c r="AO86" s="60"/>
      <c r="AP86" s="60"/>
      <c r="AQ86" s="60"/>
      <c r="AR86" s="324"/>
      <c r="AS86" s="325"/>
      <c r="AV86" s="251" t="str">
        <f t="shared" si="27"/>
        <v>0</v>
      </c>
      <c r="AW86" s="251" t="str">
        <f t="shared" si="28"/>
        <v>0</v>
      </c>
    </row>
    <row r="87" spans="15:49">
      <c r="O87" s="8"/>
      <c r="P87" s="8"/>
      <c r="R87" s="347" t="str">
        <f>InputSheet!C160</f>
        <v>Sub 12</v>
      </c>
      <c r="S87" s="8"/>
      <c r="T87" s="8"/>
      <c r="U87" s="8"/>
      <c r="V87" s="348">
        <f t="shared" si="38"/>
        <v>0</v>
      </c>
      <c r="W87" s="349">
        <f t="shared" si="38"/>
        <v>0</v>
      </c>
      <c r="X87" s="348">
        <f t="shared" si="39"/>
        <v>0</v>
      </c>
      <c r="Y87" s="353">
        <f t="shared" si="39"/>
        <v>0</v>
      </c>
      <c r="Z87" s="351">
        <f t="shared" si="36"/>
        <v>0</v>
      </c>
      <c r="AA87" s="352">
        <f t="shared" si="36"/>
        <v>0</v>
      </c>
      <c r="AB87" s="6" t="str">
        <f t="shared" si="37"/>
        <v>Sub 12</v>
      </c>
      <c r="AC87" s="60"/>
      <c r="AD87" s="60"/>
      <c r="AE87" s="60"/>
      <c r="AF87" s="60"/>
      <c r="AG87" s="60"/>
      <c r="AH87" s="60"/>
      <c r="AI87" s="60"/>
      <c r="AJ87" s="60"/>
      <c r="AK87" s="60"/>
      <c r="AL87" s="60"/>
      <c r="AM87" s="60"/>
      <c r="AN87" s="60"/>
      <c r="AO87" s="60"/>
      <c r="AP87" s="60"/>
      <c r="AQ87" s="60"/>
      <c r="AR87" s="324"/>
      <c r="AS87" s="325"/>
      <c r="AV87" s="251" t="str">
        <f t="shared" si="27"/>
        <v>0</v>
      </c>
      <c r="AW87" s="251" t="str">
        <f t="shared" si="28"/>
        <v>0</v>
      </c>
    </row>
    <row r="88" spans="15:49">
      <c r="O88" s="8"/>
      <c r="P88" s="8"/>
      <c r="R88" s="347" t="str">
        <f>InputSheet!C161</f>
        <v>Sub 13</v>
      </c>
      <c r="S88" s="8"/>
      <c r="T88" s="8"/>
      <c r="U88" s="8"/>
      <c r="V88" s="348">
        <f t="shared" si="38"/>
        <v>0</v>
      </c>
      <c r="W88" s="349">
        <f t="shared" si="38"/>
        <v>0</v>
      </c>
      <c r="X88" s="348">
        <f t="shared" si="39"/>
        <v>0</v>
      </c>
      <c r="Y88" s="353">
        <f t="shared" si="39"/>
        <v>0</v>
      </c>
      <c r="Z88" s="351">
        <f t="shared" si="36"/>
        <v>0</v>
      </c>
      <c r="AA88" s="352">
        <f t="shared" si="36"/>
        <v>0</v>
      </c>
      <c r="AB88" s="6" t="str">
        <f t="shared" si="37"/>
        <v>Sub 13</v>
      </c>
      <c r="AC88" s="60"/>
      <c r="AD88" s="60"/>
      <c r="AE88" s="60"/>
      <c r="AF88" s="60"/>
      <c r="AG88" s="60"/>
      <c r="AH88" s="60"/>
      <c r="AI88" s="60"/>
      <c r="AJ88" s="60"/>
      <c r="AK88" s="60"/>
      <c r="AL88" s="60"/>
      <c r="AM88" s="60"/>
      <c r="AN88" s="60"/>
      <c r="AO88" s="60"/>
      <c r="AP88" s="60"/>
      <c r="AQ88" s="60"/>
      <c r="AR88" s="324"/>
      <c r="AS88" s="325"/>
      <c r="AV88" s="251" t="str">
        <f t="shared" si="27"/>
        <v>0</v>
      </c>
      <c r="AW88" s="251" t="str">
        <f t="shared" si="28"/>
        <v>0</v>
      </c>
    </row>
    <row r="89" spans="15:49">
      <c r="O89" s="8"/>
      <c r="P89" s="8"/>
      <c r="R89" s="347" t="str">
        <f>InputSheet!C162</f>
        <v>Sub 14</v>
      </c>
      <c r="S89" s="8"/>
      <c r="T89" s="8"/>
      <c r="U89" s="8"/>
      <c r="V89" s="348">
        <f t="shared" si="38"/>
        <v>0</v>
      </c>
      <c r="W89" s="349">
        <f t="shared" si="38"/>
        <v>0</v>
      </c>
      <c r="X89" s="348">
        <f t="shared" si="39"/>
        <v>0</v>
      </c>
      <c r="Y89" s="353">
        <f t="shared" si="39"/>
        <v>0</v>
      </c>
      <c r="Z89" s="351">
        <f t="shared" si="36"/>
        <v>0</v>
      </c>
      <c r="AA89" s="352">
        <f t="shared" si="36"/>
        <v>0</v>
      </c>
      <c r="AB89" s="6" t="str">
        <f t="shared" si="37"/>
        <v>Sub 14</v>
      </c>
      <c r="AC89" s="60"/>
      <c r="AD89" s="60"/>
      <c r="AE89" s="60"/>
      <c r="AF89" s="60"/>
      <c r="AG89" s="60"/>
      <c r="AH89" s="60"/>
      <c r="AI89" s="60"/>
      <c r="AJ89" s="60"/>
      <c r="AK89" s="60"/>
      <c r="AL89" s="60"/>
      <c r="AM89" s="60"/>
      <c r="AN89" s="60"/>
      <c r="AO89" s="60"/>
      <c r="AP89" s="60"/>
      <c r="AQ89" s="60"/>
      <c r="AR89" s="324"/>
      <c r="AS89" s="325"/>
      <c r="AV89" s="251" t="str">
        <f t="shared" si="27"/>
        <v>0</v>
      </c>
      <c r="AW89" s="251" t="str">
        <f t="shared" si="28"/>
        <v>0</v>
      </c>
    </row>
    <row r="90" spans="15:49">
      <c r="O90" s="8"/>
      <c r="P90" s="8"/>
      <c r="R90" s="347" t="str">
        <f>InputSheet!C163</f>
        <v>Sub 15</v>
      </c>
      <c r="S90" s="8"/>
      <c r="T90" s="8"/>
      <c r="U90" s="8"/>
      <c r="V90" s="348">
        <f t="shared" si="38"/>
        <v>0</v>
      </c>
      <c r="W90" s="349">
        <f t="shared" si="38"/>
        <v>0</v>
      </c>
      <c r="X90" s="348">
        <f t="shared" si="39"/>
        <v>0</v>
      </c>
      <c r="Y90" s="353">
        <f t="shared" si="39"/>
        <v>0</v>
      </c>
      <c r="Z90" s="351">
        <f t="shared" si="36"/>
        <v>0</v>
      </c>
      <c r="AA90" s="352">
        <f t="shared" si="36"/>
        <v>0</v>
      </c>
      <c r="AB90" s="6" t="str">
        <f t="shared" si="37"/>
        <v>Sub 15</v>
      </c>
      <c r="AC90" s="60"/>
      <c r="AD90" s="60"/>
      <c r="AE90" s="60"/>
      <c r="AF90" s="60"/>
      <c r="AG90" s="60"/>
      <c r="AH90" s="60"/>
      <c r="AI90" s="60"/>
      <c r="AJ90" s="60"/>
      <c r="AK90" s="60"/>
      <c r="AL90" s="60"/>
      <c r="AM90" s="60"/>
      <c r="AN90" s="60"/>
      <c r="AO90" s="60"/>
      <c r="AP90" s="60"/>
      <c r="AQ90" s="60"/>
      <c r="AR90" s="324"/>
      <c r="AS90" s="325"/>
      <c r="AV90" s="251" t="str">
        <f t="shared" si="27"/>
        <v>0</v>
      </c>
      <c r="AW90" s="251" t="str">
        <f t="shared" si="28"/>
        <v>0</v>
      </c>
    </row>
    <row r="91" spans="15:49">
      <c r="O91" s="8"/>
      <c r="P91" s="8"/>
      <c r="R91" s="347" t="str">
        <f>InputSheet!C164</f>
        <v>Sub 16</v>
      </c>
      <c r="S91" s="8"/>
      <c r="T91" s="8"/>
      <c r="U91" s="8"/>
      <c r="V91" s="348">
        <f t="shared" si="38"/>
        <v>0</v>
      </c>
      <c r="W91" s="349">
        <f t="shared" si="38"/>
        <v>0</v>
      </c>
      <c r="X91" s="348">
        <f t="shared" si="39"/>
        <v>0</v>
      </c>
      <c r="Y91" s="353">
        <f t="shared" si="39"/>
        <v>0</v>
      </c>
      <c r="Z91" s="351">
        <f t="shared" si="36"/>
        <v>0</v>
      </c>
      <c r="AA91" s="352">
        <f t="shared" si="36"/>
        <v>0</v>
      </c>
      <c r="AB91" s="6" t="str">
        <f t="shared" si="37"/>
        <v>Sub 16</v>
      </c>
      <c r="AC91" s="60"/>
      <c r="AD91" s="60"/>
      <c r="AE91" s="60"/>
      <c r="AF91" s="60"/>
      <c r="AG91" s="60"/>
      <c r="AH91" s="60"/>
      <c r="AI91" s="60"/>
      <c r="AJ91" s="60"/>
      <c r="AK91" s="60"/>
      <c r="AL91" s="60"/>
      <c r="AM91" s="60"/>
      <c r="AN91" s="60"/>
      <c r="AO91" s="60"/>
      <c r="AP91" s="60"/>
      <c r="AQ91" s="60"/>
      <c r="AR91" s="324"/>
      <c r="AS91" s="325"/>
      <c r="AV91" s="251" t="str">
        <f t="shared" si="27"/>
        <v>0</v>
      </c>
      <c r="AW91" s="251" t="str">
        <f t="shared" si="28"/>
        <v>0</v>
      </c>
    </row>
    <row r="92" spans="15:49">
      <c r="O92" s="8"/>
      <c r="P92" s="8"/>
      <c r="R92" s="347" t="str">
        <f>InputSheet!C165</f>
        <v>Sub 17</v>
      </c>
      <c r="S92" s="8"/>
      <c r="T92" s="8"/>
      <c r="U92" s="8"/>
      <c r="V92" s="348">
        <f t="shared" si="38"/>
        <v>0</v>
      </c>
      <c r="W92" s="349">
        <f t="shared" si="38"/>
        <v>0</v>
      </c>
      <c r="X92" s="348">
        <f t="shared" si="39"/>
        <v>0</v>
      </c>
      <c r="Y92" s="353">
        <f t="shared" si="39"/>
        <v>0</v>
      </c>
      <c r="Z92" s="351">
        <f t="shared" si="36"/>
        <v>0</v>
      </c>
      <c r="AA92" s="352">
        <f t="shared" si="36"/>
        <v>0</v>
      </c>
      <c r="AB92" s="6" t="str">
        <f t="shared" si="37"/>
        <v>Sub 17</v>
      </c>
      <c r="AC92" s="60"/>
      <c r="AD92" s="60"/>
      <c r="AE92" s="60"/>
      <c r="AF92" s="60"/>
      <c r="AG92" s="60"/>
      <c r="AH92" s="60"/>
      <c r="AI92" s="60"/>
      <c r="AJ92" s="60"/>
      <c r="AK92" s="60"/>
      <c r="AL92" s="60"/>
      <c r="AM92" s="60"/>
      <c r="AN92" s="60"/>
      <c r="AO92" s="60"/>
      <c r="AP92" s="60"/>
      <c r="AQ92" s="60"/>
      <c r="AR92" s="324"/>
      <c r="AS92" s="325"/>
      <c r="AV92" s="251" t="str">
        <f t="shared" si="27"/>
        <v>0</v>
      </c>
      <c r="AW92" s="251" t="str">
        <f t="shared" si="28"/>
        <v>0</v>
      </c>
    </row>
    <row r="93" spans="15:49">
      <c r="O93" s="8"/>
      <c r="P93" s="8"/>
      <c r="R93" s="347" t="str">
        <f>InputSheet!C166</f>
        <v>Sub 18</v>
      </c>
      <c r="S93" s="8"/>
      <c r="T93" s="8"/>
      <c r="U93" s="8"/>
      <c r="V93" s="348">
        <f t="shared" si="38"/>
        <v>0</v>
      </c>
      <c r="W93" s="349">
        <f t="shared" si="38"/>
        <v>0</v>
      </c>
      <c r="X93" s="348">
        <f t="shared" si="39"/>
        <v>0</v>
      </c>
      <c r="Y93" s="353">
        <f t="shared" si="39"/>
        <v>0</v>
      </c>
      <c r="Z93" s="351">
        <f t="shared" si="36"/>
        <v>0</v>
      </c>
      <c r="AA93" s="352">
        <f t="shared" si="36"/>
        <v>0</v>
      </c>
      <c r="AB93" s="6" t="str">
        <f t="shared" si="37"/>
        <v>Sub 18</v>
      </c>
      <c r="AC93" s="60"/>
      <c r="AD93" s="60"/>
      <c r="AE93" s="60"/>
      <c r="AF93" s="60"/>
      <c r="AG93" s="60"/>
      <c r="AH93" s="60"/>
      <c r="AI93" s="60"/>
      <c r="AJ93" s="60"/>
      <c r="AK93" s="60"/>
      <c r="AL93" s="60"/>
      <c r="AM93" s="60"/>
      <c r="AN93" s="60"/>
      <c r="AO93" s="60"/>
      <c r="AP93" s="60"/>
      <c r="AQ93" s="60"/>
      <c r="AR93" s="324"/>
      <c r="AS93" s="325"/>
      <c r="AV93" s="251" t="str">
        <f t="shared" si="27"/>
        <v>0</v>
      </c>
      <c r="AW93" s="251" t="str">
        <f t="shared" si="28"/>
        <v>0</v>
      </c>
    </row>
    <row r="94" spans="15:49">
      <c r="O94" s="8"/>
      <c r="P94" s="8"/>
      <c r="R94" s="347" t="str">
        <f>InputSheet!C167</f>
        <v>Sub 19</v>
      </c>
      <c r="S94" s="8"/>
      <c r="T94" s="8"/>
      <c r="U94" s="8"/>
      <c r="V94" s="348">
        <f t="shared" si="38"/>
        <v>0</v>
      </c>
      <c r="W94" s="349">
        <f t="shared" si="38"/>
        <v>0</v>
      </c>
      <c r="X94" s="348">
        <f t="shared" si="39"/>
        <v>0</v>
      </c>
      <c r="Y94" s="353">
        <f t="shared" si="39"/>
        <v>0</v>
      </c>
      <c r="Z94" s="351">
        <f t="shared" si="36"/>
        <v>0</v>
      </c>
      <c r="AA94" s="352">
        <f t="shared" si="36"/>
        <v>0</v>
      </c>
      <c r="AB94" s="6" t="str">
        <f t="shared" si="37"/>
        <v>Sub 19</v>
      </c>
      <c r="AC94" s="60"/>
      <c r="AD94" s="60"/>
      <c r="AE94" s="60"/>
      <c r="AF94" s="60"/>
      <c r="AG94" s="60"/>
      <c r="AH94" s="60"/>
      <c r="AI94" s="60"/>
      <c r="AJ94" s="60"/>
      <c r="AK94" s="60"/>
      <c r="AL94" s="60"/>
      <c r="AM94" s="60"/>
      <c r="AN94" s="60"/>
      <c r="AO94" s="60"/>
      <c r="AP94" s="60"/>
      <c r="AQ94" s="60"/>
      <c r="AR94" s="324"/>
      <c r="AS94" s="325"/>
      <c r="AV94" s="251" t="str">
        <f t="shared" si="27"/>
        <v>0</v>
      </c>
      <c r="AW94" s="251" t="str">
        <f t="shared" si="28"/>
        <v>0</v>
      </c>
    </row>
    <row r="95" spans="15:49">
      <c r="O95" s="8"/>
      <c r="P95" s="8"/>
      <c r="R95" s="347" t="str">
        <f>InputSheet!C168</f>
        <v>Sub 20</v>
      </c>
      <c r="S95" s="8"/>
      <c r="T95" s="8"/>
      <c r="U95" s="8"/>
      <c r="V95" s="348">
        <f t="shared" si="38"/>
        <v>0</v>
      </c>
      <c r="W95" s="349">
        <f t="shared" si="38"/>
        <v>0</v>
      </c>
      <c r="X95" s="348">
        <f t="shared" si="39"/>
        <v>0</v>
      </c>
      <c r="Y95" s="353">
        <f t="shared" si="39"/>
        <v>0</v>
      </c>
      <c r="Z95" s="351">
        <f t="shared" si="36"/>
        <v>0</v>
      </c>
      <c r="AA95" s="352">
        <f t="shared" si="36"/>
        <v>0</v>
      </c>
      <c r="AB95" s="6" t="str">
        <f t="shared" si="37"/>
        <v>Sub 20</v>
      </c>
      <c r="AC95" s="60"/>
      <c r="AD95" s="60"/>
      <c r="AE95" s="60"/>
      <c r="AF95" s="60"/>
      <c r="AG95" s="60"/>
      <c r="AH95" s="60"/>
      <c r="AI95" s="60"/>
      <c r="AJ95" s="60"/>
      <c r="AK95" s="60"/>
      <c r="AL95" s="60"/>
      <c r="AM95" s="60"/>
      <c r="AN95" s="60"/>
      <c r="AO95" s="60"/>
      <c r="AP95" s="60"/>
      <c r="AQ95" s="60"/>
      <c r="AR95" s="324"/>
      <c r="AS95" s="325"/>
      <c r="AV95" s="251" t="str">
        <f t="shared" si="27"/>
        <v>0</v>
      </c>
      <c r="AW95" s="251" t="str">
        <f t="shared" si="28"/>
        <v>0</v>
      </c>
    </row>
    <row r="96" spans="15:49" ht="13.5" thickBot="1">
      <c r="O96" s="355"/>
      <c r="P96" s="355"/>
      <c r="R96" s="354" t="s">
        <v>650</v>
      </c>
      <c r="S96" s="355"/>
      <c r="T96" s="355"/>
      <c r="U96" s="355"/>
      <c r="V96" s="354"/>
      <c r="W96" s="356"/>
      <c r="X96" s="354"/>
      <c r="Y96" s="357"/>
      <c r="Z96" s="358">
        <f>SUM(Z75:Z95)</f>
        <v>52200</v>
      </c>
      <c r="AA96" s="359">
        <f ca="1">SUM(AA75:AA95)</f>
        <v>3937376.4000000004</v>
      </c>
      <c r="AC96" s="360"/>
      <c r="AD96" s="360"/>
      <c r="AE96" s="360"/>
      <c r="AF96" s="360"/>
      <c r="AG96" s="360"/>
      <c r="AH96" s="360"/>
      <c r="AI96" s="360"/>
      <c r="AJ96" s="360"/>
      <c r="AK96" s="360"/>
      <c r="AL96" s="360"/>
      <c r="AM96" s="360"/>
      <c r="AN96" s="360"/>
      <c r="AO96" s="360"/>
      <c r="AP96" s="360"/>
      <c r="AQ96" s="60"/>
      <c r="AR96" s="324"/>
      <c r="AS96" s="325"/>
      <c r="AV96" s="251" t="str">
        <f t="shared" si="27"/>
        <v>1</v>
      </c>
      <c r="AW96" s="251" t="str">
        <f t="shared" ca="1" si="28"/>
        <v>1</v>
      </c>
    </row>
    <row r="97" spans="15:49" ht="13.5" thickTop="1">
      <c r="O97" s="327"/>
      <c r="P97" s="327"/>
      <c r="R97" s="361"/>
      <c r="S97" s="327"/>
      <c r="T97" s="327"/>
      <c r="U97" s="327"/>
      <c r="V97" s="327"/>
      <c r="W97" s="327"/>
      <c r="X97" s="327"/>
      <c r="Y97" s="327"/>
      <c r="Z97" s="327"/>
      <c r="AA97" s="362"/>
      <c r="AV97" s="251" t="str">
        <f t="shared" si="27"/>
        <v>1</v>
      </c>
      <c r="AW97" s="251" t="str">
        <f t="shared" si="28"/>
        <v>1</v>
      </c>
    </row>
  </sheetData>
  <autoFilter ref="AV29:AW29"/>
  <mergeCells count="1">
    <mergeCell ref="F2:L2"/>
  </mergeCells>
  <conditionalFormatting sqref="R24">
    <cfRule type="cellIs" dxfId="2" priority="1" stopIfTrue="1" operator="greaterThan">
      <formula>0</formula>
    </cfRule>
  </conditionalFormatting>
  <dataValidations count="2">
    <dataValidation type="list" allowBlank="1" showInputMessage="1" showErrorMessage="1" sqref="G32:G46">
      <formula1>$R$75:$R$95</formula1>
    </dataValidation>
    <dataValidation type="list" allowBlank="1" showInputMessage="1" showErrorMessage="1" sqref="L32:L46">
      <formula1>$L$9:$L$25</formula1>
    </dataValidation>
  </dataValidations>
  <printOptions horizontalCentered="1"/>
  <pageMargins left="1" right="1" top="0.5" bottom="0.5" header="0.5" footer="0.5"/>
  <pageSetup scale="35" fitToHeight="1000" orientation="landscape" r:id="rId1"/>
  <headerFooter alignWithMargins="0"/>
  <rowBreaks count="1" manualBreakCount="1">
    <brk id="72" min="3" max="25" man="1"/>
  </rowBreaks>
  <legacyDrawing r:id="rId2"/>
</worksheet>
</file>

<file path=xl/worksheets/sheet29.xml><?xml version="1.0" encoding="utf-8"?>
<worksheet xmlns="http://schemas.openxmlformats.org/spreadsheetml/2006/main" xmlns:r="http://schemas.openxmlformats.org/officeDocument/2006/relationships">
  <sheetPr>
    <tabColor indexed="57"/>
    <pageSetUpPr fitToPage="1"/>
  </sheetPr>
  <dimension ref="A1:AW97"/>
  <sheetViews>
    <sheetView showGridLines="0" view="pageBreakPreview" topLeftCell="E47" zoomScale="85" zoomScaleNormal="70" zoomScaleSheetLayoutView="85" workbookViewId="0">
      <selection activeCell="E53" sqref="E53"/>
    </sheetView>
  </sheetViews>
  <sheetFormatPr defaultRowHeight="12.75" outlineLevelRow="1" outlineLevelCol="1"/>
  <cols>
    <col min="1" max="1" width="9.5703125" style="8" bestFit="1" customWidth="1"/>
    <col min="2" max="2" width="9.5703125" style="8" customWidth="1"/>
    <col min="3" max="3" width="9.140625" style="8"/>
    <col min="4" max="4" width="3.85546875" style="8" customWidth="1"/>
    <col min="5" max="5" width="17.7109375" style="6" customWidth="1"/>
    <col min="6" max="7" width="10.5703125" style="6" customWidth="1"/>
    <col min="8" max="8" width="3" style="6" customWidth="1"/>
    <col min="9" max="9" width="11.28515625" style="6" bestFit="1" customWidth="1"/>
    <col min="10" max="10" width="16.5703125" style="6" hidden="1" customWidth="1" outlineLevel="1"/>
    <col min="11" max="11" width="20.42578125" style="6" hidden="1" customWidth="1" outlineLevel="1"/>
    <col min="12" max="12" width="14" style="6" bestFit="1" customWidth="1" collapsed="1"/>
    <col min="13" max="13" width="14.7109375" style="6" bestFit="1" customWidth="1"/>
    <col min="14" max="14" width="12" style="6" customWidth="1"/>
    <col min="15" max="15" width="11.140625" style="6" customWidth="1" outlineLevel="1"/>
    <col min="16" max="16" width="9.85546875" style="6" customWidth="1" outlineLevel="1"/>
    <col min="17" max="17" width="9.85546875" style="6" bestFit="1" customWidth="1"/>
    <col min="18" max="18" width="16.5703125" style="6" bestFit="1" customWidth="1"/>
    <col min="19" max="19" width="16.28515625" style="6" bestFit="1" customWidth="1" outlineLevel="1"/>
    <col min="20" max="20" width="12.28515625" style="6" bestFit="1" customWidth="1" outlineLevel="1"/>
    <col min="21" max="21" width="8.42578125" style="6" bestFit="1" customWidth="1" outlineLevel="1"/>
    <col min="22" max="22" width="10.5703125" style="6" customWidth="1"/>
    <col min="23" max="23" width="8.85546875" style="6" bestFit="1" customWidth="1"/>
    <col min="24" max="24" width="11.140625" style="6" customWidth="1"/>
    <col min="25" max="25" width="10" style="6" customWidth="1"/>
    <col min="26" max="26" width="10.42578125" style="6" customWidth="1"/>
    <col min="27" max="27" width="13.28515625" style="6" customWidth="1"/>
    <col min="28" max="28" width="12.42578125" style="6" customWidth="1" outlineLevel="1"/>
    <col min="29" max="31" width="10.7109375" style="6" customWidth="1" outlineLevel="1"/>
    <col min="32" max="32" width="9.85546875" style="6" customWidth="1" outlineLevel="1"/>
    <col min="33" max="38" width="11.140625" style="6" customWidth="1" outlineLevel="1"/>
    <col min="39" max="39" width="11.28515625" style="6" customWidth="1" outlineLevel="1" collapsed="1"/>
    <col min="40" max="40" width="10.28515625" style="6" customWidth="1" outlineLevel="1"/>
    <col min="41" max="41" width="11.140625" style="6" customWidth="1" outlineLevel="1"/>
    <col min="42" max="42" width="10.7109375" style="6" customWidth="1" outlineLevel="1"/>
    <col min="43" max="43" width="3.5703125" style="8" customWidth="1" outlineLevel="1"/>
    <col min="44" max="44" width="13.7109375" style="6" customWidth="1" outlineLevel="1"/>
    <col min="45" max="45" width="13.7109375" style="8" customWidth="1"/>
    <col min="46" max="47" width="9.140625" style="8" customWidth="1"/>
    <col min="48" max="49" width="19.85546875" style="251" bestFit="1" customWidth="1"/>
    <col min="50" max="16384" width="9.140625" style="8"/>
  </cols>
  <sheetData>
    <row r="1" spans="1:49">
      <c r="E1" s="241" t="s">
        <v>666</v>
      </c>
      <c r="F1" s="242" t="str">
        <f>InputSheet!D1</f>
        <v>NCSA HQ 7010</v>
      </c>
      <c r="G1" s="243"/>
      <c r="H1" s="243"/>
      <c r="I1" s="243"/>
      <c r="J1" s="244"/>
      <c r="K1" s="244"/>
      <c r="L1" s="243"/>
      <c r="M1" s="245" t="s">
        <v>610</v>
      </c>
      <c r="N1" s="242" t="str">
        <f>InputSheet!D4</f>
        <v>P-12246</v>
      </c>
      <c r="O1" s="243"/>
      <c r="P1" s="243"/>
      <c r="Q1" s="243"/>
      <c r="R1" s="243"/>
      <c r="S1" s="243"/>
      <c r="T1" s="243"/>
      <c r="U1" s="243"/>
      <c r="V1" s="243"/>
      <c r="W1" s="243"/>
      <c r="X1" s="243"/>
      <c r="Y1" s="243"/>
      <c r="Z1" s="243"/>
      <c r="AA1" s="243"/>
      <c r="AB1" s="246"/>
      <c r="AV1" s="247"/>
      <c r="AW1" s="247"/>
    </row>
    <row r="2" spans="1:49">
      <c r="E2" s="248" t="s">
        <v>612</v>
      </c>
      <c r="F2" s="1195" t="str">
        <f>InputSheet!D2</f>
        <v>CIS Consultant Services</v>
      </c>
      <c r="G2" s="1195"/>
      <c r="H2" s="1195"/>
      <c r="I2" s="1195"/>
      <c r="J2" s="1195"/>
      <c r="K2" s="1195"/>
      <c r="L2" s="1196"/>
      <c r="M2" s="249" t="s">
        <v>611</v>
      </c>
      <c r="N2" s="27" t="str">
        <f>InputSheet!D3</f>
        <v>ManTech Telecommunications and Information Systems Corporation</v>
      </c>
      <c r="O2" s="8"/>
      <c r="P2" s="8"/>
      <c r="Q2" s="8"/>
      <c r="R2" s="8"/>
      <c r="S2" s="8"/>
      <c r="T2" s="8"/>
      <c r="U2" s="8"/>
      <c r="V2" s="8"/>
      <c r="W2" s="8"/>
      <c r="X2" s="8"/>
      <c r="Y2" s="8"/>
      <c r="Z2" s="8"/>
      <c r="AA2" s="8"/>
      <c r="AB2" s="250"/>
    </row>
    <row r="3" spans="1:49" s="254" customFormat="1" ht="13.5" thickBot="1">
      <c r="A3" s="8"/>
      <c r="B3" s="8"/>
      <c r="C3" s="8"/>
      <c r="D3" s="8"/>
      <c r="E3" s="252" t="s">
        <v>613</v>
      </c>
      <c r="F3" s="253" t="s">
        <v>619</v>
      </c>
      <c r="J3" s="255"/>
      <c r="K3" s="255"/>
      <c r="M3" s="256"/>
      <c r="Q3" s="257"/>
      <c r="AB3" s="258"/>
      <c r="AG3" s="257"/>
      <c r="AH3" s="257"/>
      <c r="AI3" s="257"/>
      <c r="AJ3" s="257"/>
      <c r="AK3" s="257"/>
      <c r="AL3" s="257"/>
      <c r="AV3" s="259"/>
      <c r="AW3" s="259"/>
    </row>
    <row r="4" spans="1:49">
      <c r="E4" s="248"/>
      <c r="F4" s="8"/>
      <c r="G4" s="8"/>
      <c r="H4" s="8"/>
      <c r="I4" s="8"/>
      <c r="J4" s="260"/>
      <c r="K4" s="260"/>
      <c r="L4" s="8"/>
      <c r="M4" s="8"/>
      <c r="N4" s="8"/>
      <c r="O4" s="8"/>
      <c r="P4" s="8"/>
      <c r="Q4" s="8"/>
      <c r="R4" s="8"/>
      <c r="S4" s="8"/>
      <c r="T4" s="8"/>
      <c r="U4" s="8"/>
      <c r="V4" s="8"/>
      <c r="W4" s="8"/>
      <c r="X4" s="8"/>
      <c r="Y4" s="8"/>
      <c r="Z4" s="8"/>
      <c r="AA4" s="8"/>
      <c r="AB4" s="1031"/>
      <c r="AP4" s="8"/>
    </row>
    <row r="5" spans="1:49" hidden="1" outlineLevel="1">
      <c r="E5" s="248"/>
      <c r="F5" s="8"/>
      <c r="G5" s="8"/>
      <c r="H5" s="8"/>
      <c r="I5" s="8"/>
      <c r="J5" s="261"/>
      <c r="K5" s="261"/>
      <c r="L5" s="262"/>
      <c r="M5" s="8"/>
      <c r="N5" s="263" t="str">
        <f>N28&amp;"%"</f>
        <v>B%</v>
      </c>
      <c r="O5" s="263" t="str">
        <f>O28&amp;"%"</f>
        <v>%</v>
      </c>
      <c r="P5" s="263" t="str">
        <f>P28&amp;"%"</f>
        <v>%</v>
      </c>
      <c r="Q5" s="263" t="str">
        <f t="shared" ref="Q5:X5" si="0">Q28&amp;"%"</f>
        <v>C%</v>
      </c>
      <c r="R5" s="263" t="str">
        <f t="shared" si="0"/>
        <v>D%</v>
      </c>
      <c r="S5" s="263" t="str">
        <f>S28&amp;"%"</f>
        <v>%</v>
      </c>
      <c r="T5" s="263" t="str">
        <f>T28&amp;"%"</f>
        <v>%</v>
      </c>
      <c r="U5" s="263" t="str">
        <f>U28&amp;"%"</f>
        <v>%</v>
      </c>
      <c r="V5" s="263" t="str">
        <f t="shared" si="0"/>
        <v>E%</v>
      </c>
      <c r="W5" s="263"/>
      <c r="X5" s="263" t="str">
        <f t="shared" si="0"/>
        <v>G%</v>
      </c>
      <c r="Y5" s="8"/>
      <c r="Z5" s="8"/>
      <c r="AA5" s="8"/>
      <c r="AB5" s="1031"/>
      <c r="AF5" s="263"/>
      <c r="AG5" s="263"/>
      <c r="AH5" s="263"/>
      <c r="AI5" s="263"/>
      <c r="AJ5" s="263"/>
      <c r="AK5" s="263"/>
      <c r="AL5" s="263"/>
      <c r="AM5" s="263"/>
      <c r="AN5" s="263"/>
      <c r="AO5" s="263"/>
      <c r="AP5" s="264"/>
      <c r="AQ5" s="47"/>
    </row>
    <row r="6" spans="1:49" hidden="1" outlineLevel="1">
      <c r="E6" s="248"/>
      <c r="F6" s="8"/>
      <c r="G6" s="8"/>
      <c r="H6" s="8"/>
      <c r="I6" s="265"/>
      <c r="J6" s="266"/>
      <c r="K6" s="263"/>
      <c r="L6" s="267">
        <f ca="1">COLUMN(L6)-COLUMN(OFFSET($L6,0,-1))</f>
        <v>1</v>
      </c>
      <c r="M6" s="267">
        <f t="shared" ref="M6:X6" ca="1" si="1">COLUMN(M6)-COLUMN(OFFSET($L6,0,-1))</f>
        <v>2</v>
      </c>
      <c r="N6" s="267">
        <f t="shared" ca="1" si="1"/>
        <v>3</v>
      </c>
      <c r="O6" s="267">
        <f t="shared" ca="1" si="1"/>
        <v>4</v>
      </c>
      <c r="P6" s="267">
        <f t="shared" ca="1" si="1"/>
        <v>5</v>
      </c>
      <c r="Q6" s="267">
        <f t="shared" ca="1" si="1"/>
        <v>6</v>
      </c>
      <c r="R6" s="267">
        <f t="shared" ca="1" si="1"/>
        <v>7</v>
      </c>
      <c r="S6" s="267">
        <f t="shared" ca="1" si="1"/>
        <v>8</v>
      </c>
      <c r="T6" s="267">
        <f t="shared" ca="1" si="1"/>
        <v>9</v>
      </c>
      <c r="U6" s="267">
        <f t="shared" ca="1" si="1"/>
        <v>10</v>
      </c>
      <c r="V6" s="267">
        <f t="shared" ca="1" si="1"/>
        <v>11</v>
      </c>
      <c r="W6" s="267"/>
      <c r="X6" s="267">
        <f t="shared" ca="1" si="1"/>
        <v>13</v>
      </c>
      <c r="Y6" s="8"/>
      <c r="Z6" s="8"/>
      <c r="AA6" s="8"/>
      <c r="AB6" s="1031"/>
      <c r="AC6" s="266"/>
      <c r="AD6" s="266"/>
      <c r="AE6" s="266"/>
      <c r="AF6" s="263"/>
      <c r="AG6" s="263"/>
      <c r="AH6" s="263"/>
      <c r="AI6" s="263"/>
      <c r="AJ6" s="263"/>
      <c r="AK6" s="263"/>
      <c r="AL6" s="263"/>
      <c r="AM6" s="263"/>
      <c r="AN6" s="263"/>
      <c r="AO6" s="263"/>
      <c r="AP6" s="264"/>
      <c r="AQ6" s="47"/>
    </row>
    <row r="7" spans="1:49" collapsed="1">
      <c r="E7" s="268"/>
      <c r="F7" s="39" t="s">
        <v>587</v>
      </c>
      <c r="G7" s="39" t="s">
        <v>588</v>
      </c>
      <c r="H7" s="39"/>
      <c r="I7" s="269"/>
      <c r="J7" s="270"/>
      <c r="K7" s="270"/>
      <c r="L7" s="271"/>
      <c r="M7" s="272"/>
      <c r="N7" s="272"/>
      <c r="O7" s="272"/>
      <c r="P7" s="272"/>
      <c r="Q7" s="272" t="str">
        <f>InputSheet!D41</f>
        <v>Contr/Govt</v>
      </c>
      <c r="R7" s="272"/>
      <c r="S7" s="272"/>
      <c r="T7" s="272"/>
      <c r="U7" s="272"/>
      <c r="V7" s="272" t="str">
        <f>$Q7</f>
        <v>Contr/Govt</v>
      </c>
      <c r="W7" s="272"/>
      <c r="X7" s="273"/>
      <c r="Y7" s="8"/>
      <c r="Z7" s="8"/>
      <c r="AA7" s="8"/>
      <c r="AB7" s="1032"/>
      <c r="AC7" s="270"/>
      <c r="AD7" s="270"/>
      <c r="AE7" s="270"/>
      <c r="AF7" s="270"/>
      <c r="AG7" s="270"/>
      <c r="AH7" s="270"/>
      <c r="AI7" s="270"/>
      <c r="AJ7" s="270"/>
      <c r="AK7" s="270"/>
      <c r="AL7" s="270"/>
      <c r="AM7" s="270"/>
      <c r="AN7" s="270"/>
      <c r="AO7" s="274"/>
      <c r="AP7" s="249"/>
    </row>
    <row r="8" spans="1:49" ht="14.25" customHeight="1">
      <c r="E8" s="239" t="str">
        <f>InputSheet!$C$23</f>
        <v>Option Year 1</v>
      </c>
      <c r="F8" s="275">
        <f>VLOOKUP($E$8,InputSheet!$C$22:$G$38,2,FALSE)</f>
        <v>40544</v>
      </c>
      <c r="G8" s="276">
        <f>VLOOKUP($E$8,InputSheet!$C$22:$G$38,3,FALSE)</f>
        <v>40908</v>
      </c>
      <c r="H8" s="277"/>
      <c r="I8" s="278"/>
      <c r="J8" s="279" t="s">
        <v>593</v>
      </c>
      <c r="K8" s="279" t="s">
        <v>628</v>
      </c>
      <c r="L8" s="280" t="s">
        <v>52</v>
      </c>
      <c r="M8" s="279" t="s">
        <v>0</v>
      </c>
      <c r="N8" s="279" t="s">
        <v>620</v>
      </c>
      <c r="O8" s="279" t="s">
        <v>895</v>
      </c>
      <c r="P8" s="279" t="s">
        <v>911</v>
      </c>
      <c r="Q8" s="279" t="s">
        <v>621</v>
      </c>
      <c r="R8" s="279" t="s">
        <v>637</v>
      </c>
      <c r="S8" s="279" t="s">
        <v>919</v>
      </c>
      <c r="T8" s="279" t="s">
        <v>949</v>
      </c>
      <c r="U8" s="279" t="s">
        <v>950</v>
      </c>
      <c r="V8" s="279" t="s">
        <v>597</v>
      </c>
      <c r="W8" s="279" t="s">
        <v>53</v>
      </c>
      <c r="X8" s="281" t="s">
        <v>55</v>
      </c>
      <c r="Y8" s="8"/>
      <c r="Z8" s="8"/>
      <c r="AA8" s="8"/>
      <c r="AB8" s="1033" t="s">
        <v>717</v>
      </c>
      <c r="AC8" s="279"/>
      <c r="AD8" s="279"/>
      <c r="AE8" s="279"/>
      <c r="AF8" s="279"/>
      <c r="AG8" s="279"/>
      <c r="AH8" s="279"/>
      <c r="AI8" s="279"/>
      <c r="AJ8" s="279"/>
      <c r="AK8" s="279"/>
      <c r="AL8" s="279"/>
      <c r="AM8" s="279"/>
      <c r="AN8" s="279"/>
      <c r="AO8" s="279"/>
      <c r="AP8" s="249"/>
    </row>
    <row r="9" spans="1:49" hidden="1">
      <c r="B9" s="8">
        <v>750</v>
      </c>
      <c r="E9" s="248"/>
      <c r="F9" s="8"/>
      <c r="G9" s="8"/>
      <c r="H9" s="8"/>
      <c r="I9" s="278"/>
      <c r="J9" s="283" t="str">
        <f>InputSheet!I40</f>
        <v>IS</v>
      </c>
      <c r="K9" s="284" t="str">
        <f>InputSheet!$D$42</f>
        <v>Contr</v>
      </c>
      <c r="L9" s="207" t="s">
        <v>622</v>
      </c>
      <c r="M9" s="285">
        <f>InputSheet!$E$7</f>
        <v>3.3000000000000002E-2</v>
      </c>
      <c r="N9" s="286">
        <f>VLOOKUP(($E$8&amp;$J9),InputSheet!$A$22:$G$130,7,FALSE)</f>
        <v>1.0585667499999998</v>
      </c>
      <c r="O9" s="833">
        <v>0.35</v>
      </c>
      <c r="P9" s="833">
        <v>0.35</v>
      </c>
      <c r="Q9" s="287">
        <f>IF(Q$7="",VLOOKUP($E$8&amp;$J9&amp;Q$8&amp;$K9,Indirects,2,FALSE),VLOOKUP($E$8&amp;$J9&amp;Q$8&amp;Q$7,Indirects,2,FALSE))</f>
        <v>0.31240000000000001</v>
      </c>
      <c r="R9" s="287">
        <f>IF(R$7="",VLOOKUP($E$8&amp;$J9&amp;R$8&amp;$K9,Indirects,2,FALSE),VLOOKUP($E$8&amp;$J9&amp;R$8&amp;R$7,Indirects,2,FALSE))</f>
        <v>0.1988</v>
      </c>
      <c r="S9" s="1015">
        <v>5000</v>
      </c>
      <c r="T9" s="833">
        <v>0.35</v>
      </c>
      <c r="U9" s="833">
        <v>0.35</v>
      </c>
      <c r="V9" s="287">
        <f>IF(V$7="",VLOOKUP($E$8&amp;$J9&amp;V$8&amp;$K9,Indirects,2,FALSE),VLOOKUP($E$8&amp;$J9&amp;V$8&amp;V$7,Indirects,2,FALSE))</f>
        <v>9.1999999999999998E-2</v>
      </c>
      <c r="W9" s="288"/>
      <c r="X9" s="213">
        <v>0.15</v>
      </c>
      <c r="Y9" s="8"/>
      <c r="Z9" s="8"/>
      <c r="AA9" s="8"/>
      <c r="AB9" s="1034">
        <f t="shared" ref="AB9:AB24" si="2">IF(M9="","",M9)</f>
        <v>3.3000000000000002E-2</v>
      </c>
      <c r="AC9" s="1018"/>
      <c r="AD9" s="1018"/>
      <c r="AE9" s="1018"/>
      <c r="AF9" s="287"/>
      <c r="AG9" s="287"/>
      <c r="AH9" s="287"/>
      <c r="AI9" s="287"/>
      <c r="AJ9" s="287"/>
      <c r="AK9" s="287"/>
      <c r="AL9" s="287"/>
      <c r="AM9" s="287"/>
      <c r="AN9" s="287"/>
      <c r="AO9" s="287"/>
      <c r="AP9" s="249"/>
    </row>
    <row r="10" spans="1:49" ht="15" customHeight="1">
      <c r="B10" s="8">
        <f>B9/3</f>
        <v>250</v>
      </c>
      <c r="E10" s="248"/>
      <c r="F10" s="8"/>
      <c r="G10" s="8"/>
      <c r="H10" s="8"/>
      <c r="I10" s="278"/>
      <c r="J10" s="289" t="str">
        <f>J$9</f>
        <v>IS</v>
      </c>
      <c r="K10" s="290" t="str">
        <f>InputSheet!$D$43</f>
        <v>Govt</v>
      </c>
      <c r="L10" s="208" t="s">
        <v>623</v>
      </c>
      <c r="M10" s="285">
        <f>InputSheet!$E$7</f>
        <v>3.3000000000000002E-2</v>
      </c>
      <c r="N10" s="286">
        <f>VLOOKUP(($E$8&amp;$J10),InputSheet!$A$22:$G$130,7,FALSE)</f>
        <v>1.0585667499999998</v>
      </c>
      <c r="O10" s="834">
        <v>0.35</v>
      </c>
      <c r="P10" s="834">
        <v>0.35</v>
      </c>
      <c r="Q10" s="287">
        <f>IF(Q$7="",VLOOKUP($E$8&amp;$J10&amp;Q$8&amp;$K10,Indirects,2,FALSE),VLOOKUP($E$8&amp;$J10&amp;Q$8&amp;Q$7,Indirects,2,FALSE))</f>
        <v>0.31240000000000001</v>
      </c>
      <c r="R10" s="287">
        <f>IF(R$7="",VLOOKUP($E$8&amp;$J10&amp;R$8&amp;$K10,Indirects,2,FALSE),VLOOKUP($E$8&amp;$J10&amp;R$8&amp;R$7,Indirects,2,FALSE))</f>
        <v>2.23E-2</v>
      </c>
      <c r="S10" s="1015">
        <v>5000</v>
      </c>
      <c r="T10" s="1058">
        <f>75.04*12</f>
        <v>900.48</v>
      </c>
      <c r="U10" s="834">
        <v>1.9E-2</v>
      </c>
      <c r="V10" s="287">
        <f t="shared" ref="V10:V24" si="3">IF(V$7="",VLOOKUP($E$8&amp;$J10&amp;V$8&amp;$K10,Indirects,2,FALSE),VLOOKUP($E$8&amp;$J10&amp;V$8&amp;V$7,Indirects,2,FALSE))</f>
        <v>9.1999999999999998E-2</v>
      </c>
      <c r="W10" s="291"/>
      <c r="X10" s="209">
        <f>'Pricing Summary'!C52</f>
        <v>0.08</v>
      </c>
      <c r="Y10" s="8"/>
      <c r="Z10" s="8"/>
      <c r="AA10" s="8"/>
      <c r="AB10" s="1034">
        <f t="shared" si="2"/>
        <v>3.3000000000000002E-2</v>
      </c>
      <c r="AC10" s="1019"/>
      <c r="AD10" s="1019"/>
      <c r="AE10" s="1019"/>
      <c r="AF10" s="287"/>
      <c r="AG10" s="287"/>
      <c r="AH10" s="287"/>
      <c r="AI10" s="287"/>
      <c r="AJ10" s="287"/>
      <c r="AK10" s="287"/>
      <c r="AL10" s="287"/>
      <c r="AM10" s="287"/>
      <c r="AN10" s="287"/>
      <c r="AO10" s="287"/>
      <c r="AP10" s="249"/>
    </row>
    <row r="11" spans="1:49" hidden="1" outlineLevel="1">
      <c r="E11" s="248"/>
      <c r="F11" s="8"/>
      <c r="G11" s="8"/>
      <c r="H11" s="8"/>
      <c r="I11" s="278"/>
      <c r="J11" s="289" t="str">
        <f t="shared" ref="J11:J24" si="4">J$9</f>
        <v>IS</v>
      </c>
      <c r="K11" s="290" t="str">
        <f>K$9</f>
        <v>Contr</v>
      </c>
      <c r="L11" s="208" t="s">
        <v>667</v>
      </c>
      <c r="M11" s="293">
        <v>0</v>
      </c>
      <c r="N11" s="292">
        <v>1</v>
      </c>
      <c r="O11" s="833">
        <v>0</v>
      </c>
      <c r="P11" s="834">
        <v>0</v>
      </c>
      <c r="Q11" s="287">
        <f t="shared" ref="Q11:R20" si="5">IF(Q$7="",VLOOKUP($E$8&amp;$J11&amp;Q$8&amp;$K11,Indirects,2,FALSE),VLOOKUP($E$8&amp;$J11&amp;Q$8&amp;Q$7,Indirects,2,FALSE))</f>
        <v>0.31240000000000001</v>
      </c>
      <c r="R11" s="287">
        <f t="shared" si="5"/>
        <v>0.1988</v>
      </c>
      <c r="S11" s="834">
        <v>0</v>
      </c>
      <c r="T11" s="834">
        <v>0</v>
      </c>
      <c r="U11" s="834">
        <v>0</v>
      </c>
      <c r="V11" s="287">
        <f t="shared" si="3"/>
        <v>9.1999999999999998E-2</v>
      </c>
      <c r="W11" s="291"/>
      <c r="X11" s="209">
        <f t="shared" ref="X11:X22" si="6">X10</f>
        <v>0.08</v>
      </c>
      <c r="Y11" s="8"/>
      <c r="Z11" s="8"/>
      <c r="AA11" s="8"/>
      <c r="AB11" s="1034">
        <f t="shared" si="2"/>
        <v>0</v>
      </c>
      <c r="AC11" s="1019"/>
      <c r="AD11" s="1019"/>
      <c r="AE11" s="1019"/>
      <c r="AF11" s="287"/>
      <c r="AG11" s="287"/>
      <c r="AH11" s="287"/>
      <c r="AI11" s="287"/>
      <c r="AJ11" s="287"/>
      <c r="AK11" s="287"/>
      <c r="AL11" s="287"/>
      <c r="AM11" s="287"/>
      <c r="AN11" s="287"/>
      <c r="AO11" s="287"/>
      <c r="AP11" s="249"/>
    </row>
    <row r="12" spans="1:49" hidden="1" outlineLevel="1">
      <c r="E12" s="248"/>
      <c r="F12" s="8"/>
      <c r="G12" s="8"/>
      <c r="H12" s="8"/>
      <c r="I12" s="278"/>
      <c r="J12" s="289" t="str">
        <f t="shared" si="4"/>
        <v>IS</v>
      </c>
      <c r="K12" s="290" t="str">
        <f>K$10</f>
        <v>Govt</v>
      </c>
      <c r="L12" s="208" t="s">
        <v>668</v>
      </c>
      <c r="M12" s="293">
        <v>0</v>
      </c>
      <c r="N12" s="292">
        <v>1</v>
      </c>
      <c r="O12" s="834">
        <v>0</v>
      </c>
      <c r="P12" s="834">
        <v>0</v>
      </c>
      <c r="Q12" s="287">
        <f t="shared" si="5"/>
        <v>0.31240000000000001</v>
      </c>
      <c r="R12" s="287">
        <f t="shared" si="5"/>
        <v>2.23E-2</v>
      </c>
      <c r="S12" s="834">
        <v>0</v>
      </c>
      <c r="T12" s="834">
        <v>0</v>
      </c>
      <c r="U12" s="834">
        <v>0</v>
      </c>
      <c r="V12" s="287">
        <f t="shared" si="3"/>
        <v>9.1999999999999998E-2</v>
      </c>
      <c r="W12" s="291"/>
      <c r="X12" s="209">
        <f t="shared" si="6"/>
        <v>0.08</v>
      </c>
      <c r="Y12" s="8"/>
      <c r="Z12" s="8"/>
      <c r="AA12" s="8"/>
      <c r="AB12" s="1034">
        <f t="shared" si="2"/>
        <v>0</v>
      </c>
      <c r="AC12" s="1019"/>
      <c r="AD12" s="1019"/>
      <c r="AE12" s="1019"/>
      <c r="AF12" s="287"/>
      <c r="AG12" s="287"/>
      <c r="AH12" s="287"/>
      <c r="AI12" s="287"/>
      <c r="AJ12" s="287"/>
      <c r="AK12" s="287"/>
      <c r="AL12" s="287"/>
      <c r="AM12" s="287"/>
      <c r="AN12" s="287"/>
      <c r="AO12" s="287"/>
      <c r="AP12" s="249"/>
    </row>
    <row r="13" spans="1:49" hidden="1" outlineLevel="1">
      <c r="E13" s="248"/>
      <c r="F13" s="8"/>
      <c r="G13" s="8"/>
      <c r="H13" s="8"/>
      <c r="I13" s="278"/>
      <c r="J13" s="289" t="str">
        <f>InputSheet!I87</f>
        <v>ESD</v>
      </c>
      <c r="K13" s="290" t="str">
        <f>K$9</f>
        <v>Contr</v>
      </c>
      <c r="L13" s="208" t="s">
        <v>624</v>
      </c>
      <c r="M13" s="285">
        <f>InputSheet!$E$54</f>
        <v>3.3000000000000002E-2</v>
      </c>
      <c r="N13" s="286">
        <f>VLOOKUP(($E$8&amp;$J13),InputSheet!$A$22:$G$130,7,FALSE)</f>
        <v>1.0585667499999998</v>
      </c>
      <c r="O13" s="833">
        <v>0</v>
      </c>
      <c r="P13" s="833">
        <v>0</v>
      </c>
      <c r="Q13" s="287">
        <f>IF(Q$7="",VLOOKUP($E$8&amp;$J13&amp;Q$8&amp;$K13,Indirects,2,FALSE),VLOOKUP($E$8&amp;$J13&amp;Q$8&amp;Q$7,Indirects,2,FALSE))</f>
        <v>0</v>
      </c>
      <c r="R13" s="287">
        <f t="shared" si="5"/>
        <v>0</v>
      </c>
      <c r="S13" s="833">
        <v>0</v>
      </c>
      <c r="T13" s="833">
        <v>0</v>
      </c>
      <c r="U13" s="833">
        <v>0</v>
      </c>
      <c r="V13" s="287">
        <f t="shared" si="3"/>
        <v>0</v>
      </c>
      <c r="W13" s="291"/>
      <c r="X13" s="209">
        <f t="shared" si="6"/>
        <v>0.08</v>
      </c>
      <c r="Y13" s="8"/>
      <c r="Z13" s="8"/>
      <c r="AA13" s="8"/>
      <c r="AB13" s="1034">
        <f t="shared" si="2"/>
        <v>3.3000000000000002E-2</v>
      </c>
      <c r="AC13" s="1019"/>
      <c r="AD13" s="1019"/>
      <c r="AE13" s="1019"/>
      <c r="AF13" s="287"/>
      <c r="AG13" s="287"/>
      <c r="AH13" s="287"/>
      <c r="AI13" s="287"/>
      <c r="AJ13" s="287"/>
      <c r="AK13" s="287"/>
      <c r="AL13" s="287"/>
      <c r="AM13" s="287"/>
      <c r="AN13" s="287"/>
      <c r="AO13" s="287"/>
      <c r="AP13" s="249"/>
    </row>
    <row r="14" spans="1:49" hidden="1" outlineLevel="1">
      <c r="E14" s="248"/>
      <c r="F14" s="8"/>
      <c r="G14" s="8"/>
      <c r="H14" s="8"/>
      <c r="I14" s="278"/>
      <c r="J14" s="289" t="str">
        <f>J13</f>
        <v>ESD</v>
      </c>
      <c r="K14" s="290" t="str">
        <f>K$10</f>
        <v>Govt</v>
      </c>
      <c r="L14" s="208" t="s">
        <v>625</v>
      </c>
      <c r="M14" s="285">
        <f>InputSheet!$E$54</f>
        <v>3.3000000000000002E-2</v>
      </c>
      <c r="N14" s="286">
        <f>VLOOKUP(($E$8&amp;$J14),InputSheet!$A$22:$G$130,7,FALSE)</f>
        <v>1.0585667499999998</v>
      </c>
      <c r="O14" s="834">
        <v>0</v>
      </c>
      <c r="P14" s="834">
        <v>0</v>
      </c>
      <c r="Q14" s="287">
        <f>IF(Q$7="",VLOOKUP($E$8&amp;$J14&amp;Q$8&amp;$K14,Indirects,2,FALSE),VLOOKUP($E$8&amp;$J14&amp;Q$8&amp;Q$7,Indirects,2,FALSE))</f>
        <v>0</v>
      </c>
      <c r="R14" s="287">
        <f t="shared" si="5"/>
        <v>0</v>
      </c>
      <c r="S14" s="834">
        <v>0</v>
      </c>
      <c r="T14" s="834">
        <v>0</v>
      </c>
      <c r="U14" s="834">
        <v>0</v>
      </c>
      <c r="V14" s="287">
        <f t="shared" si="3"/>
        <v>0</v>
      </c>
      <c r="W14" s="291"/>
      <c r="X14" s="209">
        <f t="shared" si="6"/>
        <v>0.08</v>
      </c>
      <c r="Y14" s="8"/>
      <c r="Z14" s="8"/>
      <c r="AA14" s="8"/>
      <c r="AB14" s="1034">
        <f t="shared" si="2"/>
        <v>3.3000000000000002E-2</v>
      </c>
      <c r="AC14" s="1019"/>
      <c r="AD14" s="1019"/>
      <c r="AE14" s="1019"/>
      <c r="AF14" s="287"/>
      <c r="AG14" s="287"/>
      <c r="AH14" s="287"/>
      <c r="AI14" s="287"/>
      <c r="AJ14" s="287"/>
      <c r="AK14" s="287"/>
      <c r="AL14" s="287"/>
      <c r="AM14" s="287"/>
      <c r="AN14" s="287"/>
      <c r="AO14" s="287"/>
      <c r="AP14" s="249"/>
    </row>
    <row r="15" spans="1:49" hidden="1" outlineLevel="1">
      <c r="E15" s="248"/>
      <c r="F15" s="8"/>
      <c r="G15" s="8"/>
      <c r="H15" s="8"/>
      <c r="I15" s="278"/>
      <c r="J15" s="289" t="str">
        <f>InputSheet!I134</f>
        <v>ESD</v>
      </c>
      <c r="K15" s="290" t="str">
        <f>K$9</f>
        <v>Contr</v>
      </c>
      <c r="L15" s="208" t="s">
        <v>784</v>
      </c>
      <c r="M15" s="285">
        <f>InputSheet!$E$101</f>
        <v>3.3000000000000002E-2</v>
      </c>
      <c r="N15" s="286">
        <f>VLOOKUP(($E$8&amp;$J15),InputSheet!$A$22:$G$130,7,FALSE)</f>
        <v>1.0585667499999998</v>
      </c>
      <c r="O15" s="833">
        <v>0</v>
      </c>
      <c r="P15" s="833">
        <v>0</v>
      </c>
      <c r="Q15" s="287">
        <f>IF(Q$7="",VLOOKUP($E$8&amp;$J15&amp;Q$8&amp;$K15,Indirects,2,FALSE),VLOOKUP($E$8&amp;$J15&amp;Q$8&amp;Q$7,Indirects,2,FALSE))</f>
        <v>0</v>
      </c>
      <c r="R15" s="287">
        <f t="shared" si="5"/>
        <v>0</v>
      </c>
      <c r="S15" s="833">
        <v>0</v>
      </c>
      <c r="T15" s="833">
        <v>0</v>
      </c>
      <c r="U15" s="833">
        <v>0</v>
      </c>
      <c r="V15" s="287">
        <f t="shared" si="3"/>
        <v>0</v>
      </c>
      <c r="W15" s="291"/>
      <c r="X15" s="209">
        <f t="shared" si="6"/>
        <v>0.08</v>
      </c>
      <c r="Y15" s="8"/>
      <c r="Z15" s="8"/>
      <c r="AA15" s="8"/>
      <c r="AB15" s="1034">
        <f t="shared" si="2"/>
        <v>3.3000000000000002E-2</v>
      </c>
      <c r="AC15" s="1019"/>
      <c r="AD15" s="1019"/>
      <c r="AE15" s="1019"/>
      <c r="AF15" s="287"/>
      <c r="AG15" s="287"/>
      <c r="AH15" s="287"/>
      <c r="AI15" s="287"/>
      <c r="AJ15" s="287"/>
      <c r="AK15" s="287"/>
      <c r="AL15" s="287"/>
      <c r="AM15" s="287"/>
      <c r="AN15" s="287"/>
      <c r="AO15" s="287"/>
      <c r="AP15" s="249"/>
    </row>
    <row r="16" spans="1:49" hidden="1" outlineLevel="1">
      <c r="E16" s="248"/>
      <c r="F16" s="8"/>
      <c r="G16" s="8"/>
      <c r="H16" s="8"/>
      <c r="I16" s="278"/>
      <c r="J16" s="289" t="str">
        <f>J15</f>
        <v>ESD</v>
      </c>
      <c r="K16" s="290" t="str">
        <f>K$10</f>
        <v>Govt</v>
      </c>
      <c r="L16" s="208" t="s">
        <v>785</v>
      </c>
      <c r="M16" s="285">
        <f>InputSheet!$E$101</f>
        <v>3.3000000000000002E-2</v>
      </c>
      <c r="N16" s="286">
        <f>VLOOKUP(($E$8&amp;$J16),InputSheet!$A$22:$G$130,7,FALSE)</f>
        <v>1.0585667499999998</v>
      </c>
      <c r="O16" s="834">
        <v>0</v>
      </c>
      <c r="P16" s="834">
        <v>0</v>
      </c>
      <c r="Q16" s="287">
        <f t="shared" si="5"/>
        <v>0</v>
      </c>
      <c r="R16" s="287">
        <f t="shared" si="5"/>
        <v>0</v>
      </c>
      <c r="S16" s="834">
        <v>0</v>
      </c>
      <c r="T16" s="834">
        <v>0</v>
      </c>
      <c r="U16" s="834">
        <v>0</v>
      </c>
      <c r="V16" s="287">
        <f t="shared" si="3"/>
        <v>0</v>
      </c>
      <c r="W16" s="291"/>
      <c r="X16" s="209">
        <f t="shared" si="6"/>
        <v>0.08</v>
      </c>
      <c r="Y16" s="8"/>
      <c r="Z16" s="8"/>
      <c r="AA16" s="8"/>
      <c r="AB16" s="1034">
        <f t="shared" si="2"/>
        <v>3.3000000000000002E-2</v>
      </c>
      <c r="AC16" s="1019"/>
      <c r="AD16" s="1019"/>
      <c r="AE16" s="1019"/>
      <c r="AF16" s="287"/>
      <c r="AG16" s="287"/>
      <c r="AH16" s="287"/>
      <c r="AI16" s="287"/>
      <c r="AJ16" s="287"/>
      <c r="AK16" s="287"/>
      <c r="AL16" s="287"/>
      <c r="AM16" s="287"/>
      <c r="AN16" s="287"/>
      <c r="AO16" s="287"/>
      <c r="AP16" s="249"/>
    </row>
    <row r="17" spans="4:49" hidden="1" outlineLevel="1">
      <c r="E17" s="248"/>
      <c r="F17" s="8"/>
      <c r="G17" s="8"/>
      <c r="H17" s="8"/>
      <c r="I17" s="278"/>
      <c r="J17" s="289" t="str">
        <f t="shared" si="4"/>
        <v>IS</v>
      </c>
      <c r="K17" s="290" t="str">
        <f>K$9</f>
        <v>Contr</v>
      </c>
      <c r="L17" s="208" t="s">
        <v>716</v>
      </c>
      <c r="M17" s="285">
        <f>InputSheet!$E$7</f>
        <v>3.3000000000000002E-2</v>
      </c>
      <c r="N17" s="286">
        <f>VLOOKUP(($E$8&amp;$J17),InputSheet!$A$22:$G$130,7,FALSE)</f>
        <v>1.0585667499999998</v>
      </c>
      <c r="O17" s="834">
        <v>0.5</v>
      </c>
      <c r="P17" s="834">
        <v>0</v>
      </c>
      <c r="Q17" s="287">
        <f t="shared" si="5"/>
        <v>0.31240000000000001</v>
      </c>
      <c r="R17" s="287">
        <f t="shared" si="5"/>
        <v>0.1988</v>
      </c>
      <c r="S17" s="834">
        <v>0</v>
      </c>
      <c r="T17" s="834">
        <v>0</v>
      </c>
      <c r="U17" s="834">
        <v>0</v>
      </c>
      <c r="V17" s="287">
        <f t="shared" si="3"/>
        <v>9.1999999999999998E-2</v>
      </c>
      <c r="W17" s="291"/>
      <c r="X17" s="209">
        <f t="shared" si="6"/>
        <v>0.08</v>
      </c>
      <c r="Y17" s="8"/>
      <c r="Z17" s="8"/>
      <c r="AA17" s="8"/>
      <c r="AB17" s="1034">
        <f t="shared" si="2"/>
        <v>3.3000000000000002E-2</v>
      </c>
      <c r="AC17" s="1019"/>
      <c r="AD17" s="1019"/>
      <c r="AE17" s="1019"/>
      <c r="AF17" s="287"/>
      <c r="AG17" s="287"/>
      <c r="AH17" s="287"/>
      <c r="AI17" s="287"/>
      <c r="AJ17" s="287"/>
      <c r="AK17" s="287"/>
      <c r="AL17" s="287"/>
      <c r="AM17" s="287"/>
      <c r="AN17" s="287"/>
      <c r="AO17" s="287"/>
      <c r="AP17" s="249"/>
    </row>
    <row r="18" spans="4:49" hidden="1" outlineLevel="1">
      <c r="E18" s="248"/>
      <c r="F18" s="8"/>
      <c r="G18" s="8"/>
      <c r="H18" s="8"/>
      <c r="I18" s="278"/>
      <c r="J18" s="289" t="str">
        <f t="shared" si="4"/>
        <v>IS</v>
      </c>
      <c r="K18" s="290" t="str">
        <f>K$10</f>
        <v>Govt</v>
      </c>
      <c r="L18" s="208" t="s">
        <v>715</v>
      </c>
      <c r="M18" s="285">
        <f>InputSheet!$E$7</f>
        <v>3.3000000000000002E-2</v>
      </c>
      <c r="N18" s="286">
        <f>VLOOKUP(($E$8&amp;$J18),InputSheet!$A$22:$G$130,7,FALSE)</f>
        <v>1.0585667499999998</v>
      </c>
      <c r="O18" s="834">
        <v>0.5</v>
      </c>
      <c r="P18" s="834">
        <v>0</v>
      </c>
      <c r="Q18" s="287">
        <f t="shared" si="5"/>
        <v>0.31240000000000001</v>
      </c>
      <c r="R18" s="287">
        <f t="shared" si="5"/>
        <v>2.23E-2</v>
      </c>
      <c r="S18" s="834">
        <v>0</v>
      </c>
      <c r="T18" s="834">
        <v>0</v>
      </c>
      <c r="U18" s="834">
        <v>0</v>
      </c>
      <c r="V18" s="287">
        <f t="shared" si="3"/>
        <v>9.1999999999999998E-2</v>
      </c>
      <c r="W18" s="291"/>
      <c r="X18" s="209">
        <f t="shared" si="6"/>
        <v>0.08</v>
      </c>
      <c r="Y18" s="8"/>
      <c r="Z18" s="8"/>
      <c r="AA18" s="8"/>
      <c r="AB18" s="1034">
        <f t="shared" si="2"/>
        <v>3.3000000000000002E-2</v>
      </c>
      <c r="AC18" s="1019"/>
      <c r="AD18" s="1019"/>
      <c r="AE18" s="1019"/>
      <c r="AF18" s="287"/>
      <c r="AG18" s="287"/>
      <c r="AH18" s="287"/>
      <c r="AI18" s="287"/>
      <c r="AJ18" s="287"/>
      <c r="AK18" s="287"/>
      <c r="AL18" s="287"/>
      <c r="AM18" s="287"/>
      <c r="AN18" s="287"/>
      <c r="AO18" s="287"/>
      <c r="AP18" s="249"/>
    </row>
    <row r="19" spans="4:49" hidden="1" outlineLevel="1">
      <c r="E19" s="248"/>
      <c r="F19" s="8"/>
      <c r="G19" s="8"/>
      <c r="H19" s="8"/>
      <c r="I19" s="278"/>
      <c r="J19" s="289" t="str">
        <f t="shared" si="4"/>
        <v>IS</v>
      </c>
      <c r="K19" s="290" t="str">
        <f>K$9</f>
        <v>Contr</v>
      </c>
      <c r="L19" s="208" t="s">
        <v>670</v>
      </c>
      <c r="M19" s="293">
        <v>0</v>
      </c>
      <c r="N19" s="292">
        <v>1</v>
      </c>
      <c r="O19" s="833">
        <v>0.5</v>
      </c>
      <c r="P19" s="833">
        <v>0</v>
      </c>
      <c r="Q19" s="287">
        <f t="shared" si="5"/>
        <v>0.31240000000000001</v>
      </c>
      <c r="R19" s="287">
        <f t="shared" si="5"/>
        <v>0.1988</v>
      </c>
      <c r="S19" s="833">
        <v>0</v>
      </c>
      <c r="T19" s="833">
        <v>0</v>
      </c>
      <c r="U19" s="833">
        <v>0</v>
      </c>
      <c r="V19" s="287">
        <f t="shared" si="3"/>
        <v>9.1999999999999998E-2</v>
      </c>
      <c r="W19" s="291"/>
      <c r="X19" s="209">
        <f t="shared" si="6"/>
        <v>0.08</v>
      </c>
      <c r="Y19" s="8"/>
      <c r="Z19" s="8"/>
      <c r="AA19" s="8"/>
      <c r="AB19" s="1034">
        <f t="shared" si="2"/>
        <v>0</v>
      </c>
      <c r="AC19" s="1019"/>
      <c r="AD19" s="1019"/>
      <c r="AE19" s="1019"/>
      <c r="AF19" s="287"/>
      <c r="AG19" s="287"/>
      <c r="AH19" s="287"/>
      <c r="AI19" s="287"/>
      <c r="AJ19" s="287"/>
      <c r="AK19" s="287"/>
      <c r="AL19" s="287"/>
      <c r="AM19" s="287"/>
      <c r="AN19" s="287"/>
      <c r="AO19" s="287"/>
      <c r="AP19" s="249"/>
    </row>
    <row r="20" spans="4:49" hidden="1" outlineLevel="1">
      <c r="E20" s="248"/>
      <c r="F20" s="8"/>
      <c r="G20" s="8"/>
      <c r="H20" s="8"/>
      <c r="I20" s="278"/>
      <c r="J20" s="289" t="str">
        <f t="shared" si="4"/>
        <v>IS</v>
      </c>
      <c r="K20" s="290" t="str">
        <f>K$10</f>
        <v>Govt</v>
      </c>
      <c r="L20" s="208" t="s">
        <v>669</v>
      </c>
      <c r="M20" s="293">
        <v>0</v>
      </c>
      <c r="N20" s="292">
        <v>1</v>
      </c>
      <c r="O20" s="834">
        <v>0.5</v>
      </c>
      <c r="P20" s="834">
        <v>0</v>
      </c>
      <c r="Q20" s="287">
        <f t="shared" si="5"/>
        <v>0.31240000000000001</v>
      </c>
      <c r="R20" s="287">
        <f t="shared" si="5"/>
        <v>2.23E-2</v>
      </c>
      <c r="S20" s="834">
        <v>0</v>
      </c>
      <c r="T20" s="834">
        <v>0</v>
      </c>
      <c r="U20" s="834">
        <v>0</v>
      </c>
      <c r="V20" s="287">
        <f t="shared" si="3"/>
        <v>9.1999999999999998E-2</v>
      </c>
      <c r="W20" s="291"/>
      <c r="X20" s="209">
        <f t="shared" si="6"/>
        <v>0.08</v>
      </c>
      <c r="Y20" s="8"/>
      <c r="Z20" s="8"/>
      <c r="AA20" s="8"/>
      <c r="AB20" s="1034">
        <f t="shared" si="2"/>
        <v>0</v>
      </c>
      <c r="AC20" s="1019"/>
      <c r="AD20" s="1019"/>
      <c r="AE20" s="1019"/>
      <c r="AF20" s="287"/>
      <c r="AG20" s="287"/>
      <c r="AH20" s="287"/>
      <c r="AI20" s="287"/>
      <c r="AJ20" s="287"/>
      <c r="AK20" s="287"/>
      <c r="AL20" s="287"/>
      <c r="AM20" s="287"/>
      <c r="AN20" s="287"/>
      <c r="AO20" s="287"/>
      <c r="AP20" s="249"/>
    </row>
    <row r="21" spans="4:49" collapsed="1">
      <c r="E21" s="248"/>
      <c r="F21" s="8"/>
      <c r="G21" s="8"/>
      <c r="H21" s="8"/>
      <c r="I21" s="278"/>
      <c r="J21" s="283" t="str">
        <f t="shared" si="4"/>
        <v>IS</v>
      </c>
      <c r="K21" s="284" t="str">
        <f>InputSheet!$D$44</f>
        <v>Contr/Govt</v>
      </c>
      <c r="L21" s="210" t="s">
        <v>684</v>
      </c>
      <c r="M21" s="285">
        <v>0</v>
      </c>
      <c r="N21" s="286">
        <v>1</v>
      </c>
      <c r="O21" s="833">
        <v>0</v>
      </c>
      <c r="P21" s="833">
        <v>0</v>
      </c>
      <c r="Q21" s="287"/>
      <c r="R21" s="287">
        <f>VLOOKUP($E$8&amp;$J21&amp;InputSheet!$C$44&amp;$K21,Indirects,2,FALSE)</f>
        <v>2.9700000000000001E-2</v>
      </c>
      <c r="S21" s="833">
        <v>0</v>
      </c>
      <c r="T21" s="833">
        <v>0</v>
      </c>
      <c r="U21" s="833">
        <v>0</v>
      </c>
      <c r="V21" s="287">
        <f t="shared" si="3"/>
        <v>9.1999999999999998E-2</v>
      </c>
      <c r="W21" s="288"/>
      <c r="X21" s="209">
        <f>'Pricing Summary'!C53</f>
        <v>0.08</v>
      </c>
      <c r="Y21" s="8"/>
      <c r="Z21" s="8"/>
      <c r="AA21" s="8"/>
      <c r="AB21" s="1035">
        <f t="shared" si="2"/>
        <v>0</v>
      </c>
      <c r="AC21" s="1018"/>
      <c r="AD21" s="1018"/>
      <c r="AE21" s="1018"/>
      <c r="AF21" s="287"/>
      <c r="AG21" s="287"/>
      <c r="AH21" s="287"/>
      <c r="AI21" s="287"/>
      <c r="AJ21" s="287"/>
      <c r="AK21" s="287"/>
      <c r="AL21" s="287"/>
      <c r="AM21" s="287"/>
      <c r="AN21" s="287"/>
      <c r="AO21" s="287"/>
      <c r="AP21" s="249"/>
    </row>
    <row r="22" spans="4:49" hidden="1">
      <c r="E22" s="248"/>
      <c r="F22" s="8"/>
      <c r="G22" s="8"/>
      <c r="H22" s="8"/>
      <c r="I22" s="278"/>
      <c r="J22" s="289" t="str">
        <f t="shared" si="4"/>
        <v>IS</v>
      </c>
      <c r="K22" s="290" t="str">
        <f>K21</f>
        <v>Contr/Govt</v>
      </c>
      <c r="L22" s="211" t="s">
        <v>685</v>
      </c>
      <c r="M22" s="807">
        <v>0</v>
      </c>
      <c r="N22" s="294">
        <f>N21</f>
        <v>1</v>
      </c>
      <c r="O22" s="835">
        <v>0</v>
      </c>
      <c r="P22" s="835">
        <v>0</v>
      </c>
      <c r="Q22" s="295"/>
      <c r="R22" s="296">
        <f>VLOOKUP($E$8&amp;$J22&amp;InputSheet!$C$44&amp;$K22,Indirects,2,FALSE)</f>
        <v>2.9700000000000001E-2</v>
      </c>
      <c r="S22" s="835">
        <v>0</v>
      </c>
      <c r="T22" s="835">
        <v>0</v>
      </c>
      <c r="U22" s="835">
        <v>0</v>
      </c>
      <c r="V22" s="296">
        <f t="shared" si="3"/>
        <v>9.1999999999999998E-2</v>
      </c>
      <c r="W22" s="297"/>
      <c r="X22" s="212">
        <f t="shared" si="6"/>
        <v>0.08</v>
      </c>
      <c r="Y22" s="8"/>
      <c r="Z22" s="8"/>
      <c r="AA22" s="8"/>
      <c r="AB22" s="1035">
        <f t="shared" si="2"/>
        <v>0</v>
      </c>
      <c r="AC22" s="1020"/>
      <c r="AD22" s="1020"/>
      <c r="AE22" s="1020"/>
      <c r="AF22" s="295"/>
      <c r="AG22" s="296"/>
      <c r="AH22" s="296"/>
      <c r="AI22" s="296"/>
      <c r="AJ22" s="296"/>
      <c r="AK22" s="296"/>
      <c r="AL22" s="296"/>
      <c r="AM22" s="296"/>
      <c r="AN22" s="296"/>
      <c r="AO22" s="296"/>
      <c r="AP22" s="249"/>
    </row>
    <row r="23" spans="4:49" hidden="1">
      <c r="E23" s="248"/>
      <c r="F23" s="8"/>
      <c r="G23" s="8"/>
      <c r="H23" s="8"/>
      <c r="I23" s="278"/>
      <c r="J23" s="289" t="str">
        <f t="shared" si="4"/>
        <v>IS</v>
      </c>
      <c r="K23" s="290" t="str">
        <f>K22</f>
        <v>Contr/Govt</v>
      </c>
      <c r="L23" s="207" t="s">
        <v>616</v>
      </c>
      <c r="M23" s="808">
        <v>0</v>
      </c>
      <c r="N23" s="298">
        <v>1</v>
      </c>
      <c r="O23" s="836">
        <v>0</v>
      </c>
      <c r="P23" s="836">
        <v>0</v>
      </c>
      <c r="Q23" s="299"/>
      <c r="R23" s="299">
        <f>VLOOKUP($E$8&amp;$J23&amp;InputSheet!$C$44&amp;$K23,Indirects,2,FALSE)</f>
        <v>2.9700000000000001E-2</v>
      </c>
      <c r="S23" s="836">
        <v>0</v>
      </c>
      <c r="T23" s="836">
        <v>0</v>
      </c>
      <c r="U23" s="836">
        <v>0</v>
      </c>
      <c r="V23" s="299">
        <f t="shared" si="3"/>
        <v>9.1999999999999998E-2</v>
      </c>
      <c r="W23" s="300"/>
      <c r="X23" s="213">
        <v>0</v>
      </c>
      <c r="Y23" s="8"/>
      <c r="Z23" s="8"/>
      <c r="AA23" s="8"/>
      <c r="AB23" s="1035">
        <f t="shared" si="2"/>
        <v>0</v>
      </c>
      <c r="AC23" s="1021"/>
      <c r="AD23" s="1021"/>
      <c r="AE23" s="1021"/>
      <c r="AF23" s="299"/>
      <c r="AG23" s="299"/>
      <c r="AH23" s="299"/>
      <c r="AI23" s="299"/>
      <c r="AJ23" s="299"/>
      <c r="AK23" s="299"/>
      <c r="AL23" s="299"/>
      <c r="AM23" s="299"/>
      <c r="AN23" s="299"/>
      <c r="AO23" s="299"/>
      <c r="AP23" s="249"/>
    </row>
    <row r="24" spans="4:49">
      <c r="E24" s="248"/>
      <c r="F24" s="8"/>
      <c r="G24" s="8"/>
      <c r="H24" s="8"/>
      <c r="I24" s="278"/>
      <c r="J24" s="301" t="str">
        <f t="shared" si="4"/>
        <v>IS</v>
      </c>
      <c r="K24" s="302" t="str">
        <f>K23</f>
        <v>Contr/Govt</v>
      </c>
      <c r="L24" s="237" t="s">
        <v>617</v>
      </c>
      <c r="M24" s="809">
        <v>0</v>
      </c>
      <c r="N24" s="303">
        <v>1</v>
      </c>
      <c r="O24" s="837">
        <v>0</v>
      </c>
      <c r="P24" s="837">
        <v>0</v>
      </c>
      <c r="Q24" s="304"/>
      <c r="R24" s="305">
        <f>IF(OR($J$24="MBI - FT",$J$24="MBI - PT"),R23,0)</f>
        <v>0</v>
      </c>
      <c r="S24" s="837">
        <v>0</v>
      </c>
      <c r="T24" s="837">
        <v>0</v>
      </c>
      <c r="U24" s="837">
        <v>0</v>
      </c>
      <c r="V24" s="305">
        <f t="shared" si="3"/>
        <v>9.1999999999999998E-2</v>
      </c>
      <c r="W24" s="306"/>
      <c r="X24" s="238">
        <f>'Pricing Summary'!C54</f>
        <v>0.08</v>
      </c>
      <c r="Y24" s="8"/>
      <c r="Z24" s="8"/>
      <c r="AA24" s="8"/>
      <c r="AB24" s="1035">
        <f t="shared" si="2"/>
        <v>0</v>
      </c>
      <c r="AC24" s="1022"/>
      <c r="AD24" s="1022"/>
      <c r="AE24" s="1022"/>
      <c r="AF24" s="304"/>
      <c r="AG24" s="305"/>
      <c r="AH24" s="305"/>
      <c r="AI24" s="305"/>
      <c r="AJ24" s="305"/>
      <c r="AK24" s="305"/>
      <c r="AL24" s="305"/>
      <c r="AM24" s="305"/>
      <c r="AN24" s="305"/>
      <c r="AO24" s="305"/>
      <c r="AP24" s="249"/>
    </row>
    <row r="25" spans="4:49">
      <c r="E25" s="248"/>
      <c r="F25" s="8"/>
      <c r="G25" s="8"/>
      <c r="H25" s="8"/>
      <c r="I25" s="8"/>
      <c r="J25" s="307"/>
      <c r="K25" s="307"/>
      <c r="L25" s="307"/>
      <c r="M25" s="307"/>
      <c r="N25" s="307"/>
      <c r="O25" s="307"/>
      <c r="P25" s="307"/>
      <c r="Q25" s="307"/>
      <c r="R25" s="307"/>
      <c r="S25" s="307"/>
      <c r="T25" s="307"/>
      <c r="U25" s="307"/>
      <c r="V25" s="307"/>
      <c r="W25" s="307"/>
      <c r="X25" s="307"/>
      <c r="Y25" s="8"/>
      <c r="Z25" s="8"/>
      <c r="AA25" s="8"/>
      <c r="AB25" s="250" t="s">
        <v>920</v>
      </c>
      <c r="AC25" s="8"/>
      <c r="AD25" s="8"/>
      <c r="AE25" s="8"/>
      <c r="AF25" s="8"/>
      <c r="AG25" s="8"/>
      <c r="AH25" s="8"/>
      <c r="AI25" s="8"/>
      <c r="AJ25" s="8"/>
      <c r="AK25" s="8"/>
      <c r="AL25" s="8"/>
      <c r="AM25" s="8"/>
      <c r="AN25" s="8"/>
      <c r="AO25" s="8"/>
      <c r="AP25" s="8"/>
      <c r="AV25" s="308"/>
      <c r="AW25" s="308"/>
    </row>
    <row r="26" spans="4:49" hidden="1" outlineLevel="1">
      <c r="E26" s="248"/>
      <c r="F26" s="8"/>
      <c r="G26" s="8"/>
      <c r="H26" s="8"/>
      <c r="I26" s="8"/>
      <c r="J26" s="8"/>
      <c r="K26" s="8"/>
      <c r="L26" s="8"/>
      <c r="M26" s="309"/>
      <c r="N26" s="310" t="str">
        <f>M$28&amp;"*"&amp;N$5</f>
        <v>A*B%</v>
      </c>
      <c r="O26" s="310"/>
      <c r="P26" s="310"/>
      <c r="Q26" s="310" t="str">
        <f>N$28&amp;"*"&amp;Q$5</f>
        <v>B*C%</v>
      </c>
      <c r="R26" s="310" t="str">
        <f>"("&amp;N28&amp;"+"&amp;Q$28&amp;")"&amp;"*"&amp;R$5</f>
        <v>(B+C)*D%</v>
      </c>
      <c r="S26" s="310"/>
      <c r="T26" s="310"/>
      <c r="U26" s="310"/>
      <c r="V26" s="310" t="str">
        <f>"("&amp;N28&amp;"+"&amp;Q28&amp;"+"&amp;R$28&amp;")"&amp;"*"&amp;V$5</f>
        <v>(B+C+D)*E%</v>
      </c>
      <c r="W26" s="310" t="s">
        <v>776</v>
      </c>
      <c r="X26" s="310" t="str">
        <f>"("&amp;N28&amp;"+"&amp;Q28&amp;"+"&amp;R$28&amp;"+"&amp;V$28&amp;")"&amp;"*"&amp;X$5</f>
        <v>(B+C+D+E)*G%</v>
      </c>
      <c r="Y26" s="8"/>
      <c r="Z26" s="8"/>
      <c r="AA26" s="8"/>
      <c r="AB26" s="250"/>
    </row>
    <row r="27" spans="4:49" ht="8.25" hidden="1" customHeight="1" outlineLevel="1">
      <c r="E27" s="248"/>
      <c r="F27" s="8"/>
      <c r="G27" s="8"/>
      <c r="H27" s="8"/>
      <c r="I27" s="8"/>
      <c r="J27" s="8"/>
      <c r="K27" s="8"/>
      <c r="L27" s="8"/>
      <c r="M27" s="311"/>
      <c r="N27" s="312"/>
      <c r="O27" s="312"/>
      <c r="P27" s="312"/>
      <c r="Q27" s="312"/>
      <c r="R27" s="312"/>
      <c r="S27" s="312"/>
      <c r="T27" s="312"/>
      <c r="U27" s="312"/>
      <c r="V27" s="312"/>
      <c r="W27" s="312"/>
      <c r="X27" s="312"/>
      <c r="Y27" s="8"/>
      <c r="Z27" s="8"/>
      <c r="AA27" s="8"/>
      <c r="AB27" s="250"/>
    </row>
    <row r="28" spans="4:49" hidden="1" outlineLevel="1">
      <c r="E28" s="248"/>
      <c r="F28" s="8"/>
      <c r="G28" s="8"/>
      <c r="H28" s="8"/>
      <c r="I28" s="8"/>
      <c r="J28" s="8"/>
      <c r="K28" s="8"/>
      <c r="L28" s="8"/>
      <c r="M28" s="263" t="s">
        <v>601</v>
      </c>
      <c r="N28" s="263" t="s">
        <v>598</v>
      </c>
      <c r="O28" s="263"/>
      <c r="P28" s="263"/>
      <c r="Q28" s="263" t="s">
        <v>599</v>
      </c>
      <c r="R28" s="263" t="s">
        <v>618</v>
      </c>
      <c r="S28" s="263"/>
      <c r="T28" s="263"/>
      <c r="U28" s="263"/>
      <c r="V28" s="263" t="s">
        <v>645</v>
      </c>
      <c r="W28" s="263" t="s">
        <v>774</v>
      </c>
      <c r="X28" s="263" t="s">
        <v>775</v>
      </c>
      <c r="Y28" s="8"/>
      <c r="Z28" s="8"/>
      <c r="AA28" s="8"/>
      <c r="AB28" s="250"/>
    </row>
    <row r="29" spans="4:49" collapsed="1">
      <c r="E29" s="248"/>
      <c r="F29" s="8"/>
      <c r="G29" s="8"/>
      <c r="H29" s="8"/>
      <c r="I29" s="8"/>
      <c r="J29" s="8"/>
      <c r="K29" s="8"/>
      <c r="L29" s="8"/>
      <c r="M29" s="8"/>
      <c r="N29" s="8"/>
      <c r="O29" s="8"/>
      <c r="P29" s="8"/>
      <c r="Q29" s="8"/>
      <c r="R29" s="8"/>
      <c r="S29" s="8"/>
      <c r="T29" s="8"/>
      <c r="U29" s="8"/>
      <c r="V29" s="8"/>
      <c r="W29" s="313"/>
      <c r="X29" s="8"/>
      <c r="Y29" s="8"/>
      <c r="Z29" s="8"/>
      <c r="AA29" s="8"/>
      <c r="AB29" s="250">
        <v>12</v>
      </c>
      <c r="AP29" s="314"/>
      <c r="AQ29" s="39"/>
      <c r="AR29" s="314"/>
      <c r="AS29" s="39"/>
      <c r="AV29" s="308" t="s">
        <v>778</v>
      </c>
      <c r="AW29" s="308" t="s">
        <v>777</v>
      </c>
    </row>
    <row r="30" spans="4:49" ht="13.5" thickBot="1">
      <c r="E30" s="315" t="s">
        <v>632</v>
      </c>
      <c r="F30" s="37"/>
      <c r="G30" s="37" t="s">
        <v>633</v>
      </c>
      <c r="H30" s="8"/>
      <c r="I30" s="37" t="s">
        <v>634</v>
      </c>
      <c r="J30" s="47" t="s">
        <v>644</v>
      </c>
      <c r="K30" s="47" t="s">
        <v>644</v>
      </c>
      <c r="L30" s="37" t="str">
        <f>L8</f>
        <v>Burden Code</v>
      </c>
      <c r="M30" s="39" t="s">
        <v>635</v>
      </c>
      <c r="N30" s="39" t="s">
        <v>58</v>
      </c>
      <c r="O30" s="39" t="str">
        <f>O8</f>
        <v>Hazard</v>
      </c>
      <c r="P30" s="39" t="str">
        <f>P8</f>
        <v>Harship</v>
      </c>
      <c r="Q30" s="39" t="str">
        <f t="shared" ref="Q30:X30" si="7">Q8</f>
        <v>PRB</v>
      </c>
      <c r="R30" s="39" t="str">
        <f t="shared" si="7"/>
        <v>Overhead</v>
      </c>
      <c r="S30" s="39" t="str">
        <f>S8</f>
        <v>Completion Bonus</v>
      </c>
      <c r="T30" s="39" t="str">
        <f>T8</f>
        <v>War Risk Ins.</v>
      </c>
      <c r="U30" s="39" t="str">
        <f>U8</f>
        <v>DBA Ins.</v>
      </c>
      <c r="V30" s="39" t="str">
        <f t="shared" si="7"/>
        <v>G&amp;A</v>
      </c>
      <c r="W30" s="39" t="str">
        <f t="shared" si="7"/>
        <v>Cost</v>
      </c>
      <c r="X30" s="39" t="str">
        <f t="shared" si="7"/>
        <v>Profit / Fee</v>
      </c>
      <c r="Y30" s="39" t="s">
        <v>908</v>
      </c>
      <c r="Z30" s="39" t="s">
        <v>646</v>
      </c>
      <c r="AA30" s="39" t="s">
        <v>638</v>
      </c>
      <c r="AB30" s="316" t="s">
        <v>907</v>
      </c>
      <c r="AC30" s="314"/>
      <c r="AD30" s="314"/>
      <c r="AE30" s="314"/>
      <c r="AF30" s="314"/>
      <c r="AG30" s="314"/>
      <c r="AH30" s="314"/>
      <c r="AI30" s="314"/>
      <c r="AJ30" s="314"/>
      <c r="AK30" s="314"/>
      <c r="AL30" s="314"/>
      <c r="AM30" s="314"/>
      <c r="AN30" s="314"/>
      <c r="AO30" s="314"/>
      <c r="AP30" s="314"/>
      <c r="AQ30" s="39"/>
      <c r="AR30" s="314"/>
      <c r="AS30" s="39"/>
      <c r="AV30" s="251">
        <v>1</v>
      </c>
      <c r="AW30" s="251">
        <v>1</v>
      </c>
    </row>
    <row r="31" spans="4:49" s="317" customFormat="1" ht="16.5" thickBot="1">
      <c r="E31" s="240" t="s">
        <v>640</v>
      </c>
      <c r="F31" s="202"/>
      <c r="G31" s="202"/>
      <c r="H31" s="203"/>
      <c r="I31" s="202"/>
      <c r="J31" s="201"/>
      <c r="K31" s="201"/>
      <c r="L31" s="202"/>
      <c r="M31" s="204"/>
      <c r="N31" s="204"/>
      <c r="O31" s="204"/>
      <c r="P31" s="204"/>
      <c r="Q31" s="204"/>
      <c r="R31" s="204"/>
      <c r="S31" s="204"/>
      <c r="T31" s="204"/>
      <c r="U31" s="204"/>
      <c r="V31" s="204"/>
      <c r="W31" s="204"/>
      <c r="X31" s="204"/>
      <c r="Y31" s="204"/>
      <c r="Z31" s="204"/>
      <c r="AA31" s="204"/>
      <c r="AB31" s="205"/>
      <c r="AC31" s="206"/>
      <c r="AD31" s="206"/>
      <c r="AE31" s="206" t="s">
        <v>742</v>
      </c>
      <c r="AF31" s="206" t="s">
        <v>741</v>
      </c>
      <c r="AG31" s="206" t="s">
        <v>66</v>
      </c>
      <c r="AH31" s="206"/>
      <c r="AI31" s="206"/>
      <c r="AJ31" s="206"/>
      <c r="AK31" s="206"/>
      <c r="AL31" s="206"/>
      <c r="AM31" s="206"/>
      <c r="AN31" s="206"/>
      <c r="AO31" s="206"/>
      <c r="AP31" s="206"/>
      <c r="AQ31" s="206"/>
      <c r="AR31" s="206"/>
      <c r="AS31" s="318"/>
      <c r="AV31" s="251">
        <v>1</v>
      </c>
      <c r="AW31" s="251">
        <v>1</v>
      </c>
    </row>
    <row r="32" spans="4:49">
      <c r="D32" s="8">
        <v>1</v>
      </c>
      <c r="E32" s="319" t="str">
        <f t="shared" ref="E32:E46" si="8">VLOOKUP($D32,DL,2,FALSE)</f>
        <v xml:space="preserve">LAN/Wan Engineer </v>
      </c>
      <c r="F32" s="8"/>
      <c r="G32" s="363" t="str">
        <f>+InputSheet!E173</f>
        <v>ManTech</v>
      </c>
      <c r="H32" s="8"/>
      <c r="I32" s="320">
        <f t="shared" ref="I32:I46" si="9">VLOOKUP($D32,DL,5,FALSE)</f>
        <v>0</v>
      </c>
      <c r="J32" s="198" t="str">
        <f>G32&amp;D32&amp;I32&amp;L32</f>
        <v>ManTech10Govt</v>
      </c>
      <c r="K32" s="198"/>
      <c r="L32" s="363" t="s">
        <v>623</v>
      </c>
      <c r="M32" s="321">
        <f>IF(G32="ManTech",(VLOOKUP($D32,DL,6,FALSE)),(INDEX('Sub Rates'!$F$9:$IK$48,MATCH(($E32&amp;$L32),'Sub Rates'!$E$9:$E$48,0),MATCH(($E$8&amp;$G32),'Sub Rates'!$F$8:$IK$8,0))))</f>
        <v>29</v>
      </c>
      <c r="N32" s="321">
        <f t="shared" ref="N32:N46" ca="1" si="10">ROUND($M32*(VLOOKUP($L32,$L$9:$X$24,N$6,FALSE)),2)</f>
        <v>30.7</v>
      </c>
      <c r="O32" s="321">
        <f ca="1">$N32*(VLOOKUP($L32,$L$9:$X$24,O$6,FALSE))</f>
        <v>10.744999999999999</v>
      </c>
      <c r="P32" s="321">
        <f ca="1">$N32*(VLOOKUP($L32,$L$9:$X$24,P$6,FALSE))</f>
        <v>10.744999999999999</v>
      </c>
      <c r="Q32" s="321">
        <f ca="1">($N32+O32+P32)*(VLOOKUP($L32,$L$9:$X$24,Q$6,FALSE))</f>
        <v>16.304155999999999</v>
      </c>
      <c r="R32" s="321">
        <f ca="1">($N32+$Q32+O32+P32)*(VLOOKUP($L32,$L$9:$X$24,R$6,FALSE))</f>
        <v>1.5274196787999998</v>
      </c>
      <c r="S32" s="321">
        <f>$S$10/Z32</f>
        <v>1.4367816091954022</v>
      </c>
      <c r="T32" s="321">
        <f>$T$10/Z32</f>
        <v>0.25875862068965516</v>
      </c>
      <c r="U32" s="321">
        <f ca="1">N32*$U$10</f>
        <v>0.58329999999999993</v>
      </c>
      <c r="V32" s="321">
        <f ca="1">IF($G32="ManTech",(SUM($N32:$U32)*(VLOOKUP($L32,$L$9:$X$24,V$6,FALSE))),(IF(R32=0,((SUM(N32,#REF!))*(VLOOKUP($L32,$L$9:$X$24,V$6,FALSE))),(SUM($R32:$R32)*(VLOOKUP($L32,$L$9:$X$24,V$6,FALSE))))))</f>
        <v>6.6516382635990263</v>
      </c>
      <c r="W32" s="321">
        <f ca="1">SUM(N32:V32)</f>
        <v>78.952054172284093</v>
      </c>
      <c r="X32" s="321">
        <f t="shared" ref="X32:X46" ca="1" si="11">(W32*(VLOOKUP($L32,$L$9:$X$24,X$6,FALSE)))</f>
        <v>6.3161643337827273</v>
      </c>
      <c r="Y32" s="321">
        <f ca="1">ROUND(SUM(W32:X32),2)</f>
        <v>85.27</v>
      </c>
      <c r="Z32" s="214">
        <f>VLOOKUP(D32,InputSheet!B173:O187,13,FALSE)</f>
        <v>3480</v>
      </c>
      <c r="AA32" s="336">
        <f t="shared" ref="AA32:AA46" ca="1" si="12">$Y32*$Z32</f>
        <v>296739.59999999998</v>
      </c>
      <c r="AB32" s="1036">
        <f ca="1">Y32*$AB$29</f>
        <v>1023.24</v>
      </c>
      <c r="AC32" s="323"/>
      <c r="AD32" s="323"/>
      <c r="AE32" s="323">
        <f ca="1">W32*Z32</f>
        <v>274753.14851954865</v>
      </c>
      <c r="AF32" s="323">
        <f ca="1">Y32*Z32</f>
        <v>296739.59999999998</v>
      </c>
      <c r="AG32" s="323">
        <f ca="1">AF32-AE32</f>
        <v>21986.451480451331</v>
      </c>
      <c r="AH32" s="20">
        <f ca="1">IF(AG32=0,0,ROUND(AG32/AE32,2))</f>
        <v>0.08</v>
      </c>
      <c r="AI32" s="323"/>
      <c r="AJ32" s="323"/>
      <c r="AK32" s="323"/>
      <c r="AL32" s="323"/>
      <c r="AM32" s="323"/>
      <c r="AN32" s="323"/>
      <c r="AO32" s="323"/>
      <c r="AP32" s="323"/>
      <c r="AQ32" s="60"/>
      <c r="AR32" s="324"/>
      <c r="AS32" s="325"/>
      <c r="AV32" s="251" t="str">
        <f ca="1">IF((OR((Y32=""),(Y32&gt;0))),"1","0")</f>
        <v>1</v>
      </c>
      <c r="AW32" s="251" t="str">
        <f ca="1">IF((OR((AA32=""),(AA32&gt;0))),"1","0")</f>
        <v>1</v>
      </c>
    </row>
    <row r="33" spans="4:49">
      <c r="D33" s="8">
        <f>D32+1</f>
        <v>2</v>
      </c>
      <c r="E33" s="319" t="str">
        <f t="shared" si="8"/>
        <v>Functional Services Administrator</v>
      </c>
      <c r="F33" s="8"/>
      <c r="G33" s="363" t="str">
        <f>+InputSheet!E174</f>
        <v>ManTech</v>
      </c>
      <c r="H33" s="8"/>
      <c r="I33" s="320">
        <f t="shared" si="9"/>
        <v>0</v>
      </c>
      <c r="J33" s="198" t="str">
        <f t="shared" ref="J33:J46" si="13">G33&amp;D33&amp;I33&amp;L33</f>
        <v>ManTech20Govt</v>
      </c>
      <c r="K33" s="198"/>
      <c r="L33" s="363" t="s">
        <v>623</v>
      </c>
      <c r="M33" s="321">
        <f>IF(G33="ManTech",(VLOOKUP($D33,DL,6,FALSE)),(INDEX('Sub Rates'!$F$9:$IK$48,MATCH(($E33&amp;$L33),'Sub Rates'!$E$9:$E$48,0),MATCH(($E$8&amp;$G33),'Sub Rates'!$F$8:$IK$8,0))))</f>
        <v>33.81</v>
      </c>
      <c r="N33" s="321">
        <f t="shared" ca="1" si="10"/>
        <v>35.79</v>
      </c>
      <c r="O33" s="321">
        <f t="shared" ref="O33:P46" ca="1" si="14">$N33*(VLOOKUP($L33,$L$9:$X$24,O$6,FALSE))</f>
        <v>12.526499999999999</v>
      </c>
      <c r="P33" s="321">
        <f t="shared" ca="1" si="14"/>
        <v>12.526499999999999</v>
      </c>
      <c r="Q33" s="321">
        <f t="shared" ref="Q33:Q46" ca="1" si="15">($N33+O33+P33)*(VLOOKUP($L33,$L$9:$X$24,Q$6,FALSE))</f>
        <v>19.007353200000001</v>
      </c>
      <c r="R33" s="321">
        <f t="shared" ref="R33:R46" ca="1" si="16">($N33+$Q33+O33+P33)*(VLOOKUP($L33,$L$9:$X$24,R$6,FALSE))</f>
        <v>1.7806628763600001</v>
      </c>
      <c r="S33" s="321">
        <f t="shared" ref="S33:S46" si="17">$S$10/Z33</f>
        <v>1.4367816091954022</v>
      </c>
      <c r="T33" s="321">
        <f t="shared" ref="T33:T46" si="18">$T$10/Z33</f>
        <v>0.25875862068965516</v>
      </c>
      <c r="U33" s="321">
        <f t="shared" ref="U33:U46" ca="1" si="19">N33*$U$10</f>
        <v>0.68001</v>
      </c>
      <c r="V33" s="321">
        <f ca="1">IF($G33="ManTech",(SUM($N33:$U33)*(VLOOKUP($L33,$L$9:$X$24,V$6,FALSE))),(IF(R33=0,((SUM(N33,#REF!))*(VLOOKUP($L33,$L$9:$X$24,V$6,FALSE))),(SUM($R33:$R33)*(VLOOKUP($L33,$L$9:$X$24,V$6,FALSE))))))</f>
        <v>7.7286041001745458</v>
      </c>
      <c r="W33" s="321">
        <f t="shared" ref="W33:W46" ca="1" si="20">SUM(N33:V33)</f>
        <v>91.735170406419613</v>
      </c>
      <c r="X33" s="321">
        <f t="shared" ca="1" si="11"/>
        <v>7.3388136325135696</v>
      </c>
      <c r="Y33" s="321">
        <f t="shared" ref="Y33:Y46" ca="1" si="21">ROUND(SUM(W33:X33),2)</f>
        <v>99.07</v>
      </c>
      <c r="Z33" s="214">
        <f>VLOOKUP(D33,InputSheet!B174:O188,13,FALSE)</f>
        <v>3480</v>
      </c>
      <c r="AA33" s="336">
        <f t="shared" ca="1" si="12"/>
        <v>344763.6</v>
      </c>
      <c r="AB33" s="1036">
        <f t="shared" ref="AB33:AB46" ca="1" si="22">Y33*$AB$29</f>
        <v>1188.8399999999999</v>
      </c>
      <c r="AC33" s="323"/>
      <c r="AD33" s="323"/>
      <c r="AE33" s="323">
        <f t="shared" ref="AE33:AE46" ca="1" si="23">W33*Z33</f>
        <v>319238.39301434025</v>
      </c>
      <c r="AF33" s="323">
        <f t="shared" ref="AF33:AF46" ca="1" si="24">Y33*Z33</f>
        <v>344763.6</v>
      </c>
      <c r="AG33" s="323">
        <f t="shared" ref="AG33:AG46" ca="1" si="25">AF33-AE33</f>
        <v>25525.206985659723</v>
      </c>
      <c r="AH33" s="20">
        <f t="shared" ref="AH33:AH46" ca="1" si="26">IF(AG33=0,0,ROUND(AG33/AE33,2))</f>
        <v>0.08</v>
      </c>
      <c r="AI33" s="323"/>
      <c r="AJ33" s="323"/>
      <c r="AK33" s="323"/>
      <c r="AL33" s="323"/>
      <c r="AM33" s="323"/>
      <c r="AN33" s="323"/>
      <c r="AO33" s="323"/>
      <c r="AP33" s="323"/>
      <c r="AQ33" s="60"/>
      <c r="AR33" s="324"/>
      <c r="AS33" s="325"/>
      <c r="AV33" s="251" t="str">
        <f t="shared" ref="AV33:AV97" ca="1" si="27">IF((OR((Y33=""),(Y33&gt;0))),"1","0")</f>
        <v>1</v>
      </c>
      <c r="AW33" s="251" t="str">
        <f t="shared" ref="AW33:AW97" ca="1" si="28">IF((OR((AA33=""),(AA33&gt;0))),"1","0")</f>
        <v>1</v>
      </c>
    </row>
    <row r="34" spans="4:49">
      <c r="D34" s="8">
        <f t="shared" ref="D34:D42" si="29">D33+1</f>
        <v>3</v>
      </c>
      <c r="E34" s="319" t="str">
        <f t="shared" si="8"/>
        <v>Functional Services Administrator</v>
      </c>
      <c r="F34" s="8"/>
      <c r="G34" s="363" t="str">
        <f>+InputSheet!E175</f>
        <v>ManTech</v>
      </c>
      <c r="H34" s="8"/>
      <c r="I34" s="320">
        <f t="shared" si="9"/>
        <v>0</v>
      </c>
      <c r="J34" s="198" t="str">
        <f t="shared" si="13"/>
        <v>ManTech30Govt</v>
      </c>
      <c r="K34" s="198"/>
      <c r="L34" s="363" t="s">
        <v>623</v>
      </c>
      <c r="M34" s="321">
        <f>IF(G34="ManTech",(VLOOKUP($D34,DL,6,FALSE)),(INDEX('Sub Rates'!$F$9:$IK$48,MATCH(($E34&amp;$L34),'Sub Rates'!$E$9:$E$48,0),MATCH(($E$8&amp;$G34),'Sub Rates'!$F$8:$IK$8,0))))</f>
        <v>33.81</v>
      </c>
      <c r="N34" s="321">
        <f t="shared" ca="1" si="10"/>
        <v>35.79</v>
      </c>
      <c r="O34" s="321">
        <f t="shared" ca="1" si="14"/>
        <v>12.526499999999999</v>
      </c>
      <c r="P34" s="321">
        <f t="shared" ca="1" si="14"/>
        <v>12.526499999999999</v>
      </c>
      <c r="Q34" s="321">
        <f t="shared" ca="1" si="15"/>
        <v>19.007353200000001</v>
      </c>
      <c r="R34" s="321">
        <f t="shared" ca="1" si="16"/>
        <v>1.7806628763600001</v>
      </c>
      <c r="S34" s="321">
        <f t="shared" si="17"/>
        <v>1.4367816091954022</v>
      </c>
      <c r="T34" s="321">
        <f t="shared" si="18"/>
        <v>0.25875862068965516</v>
      </c>
      <c r="U34" s="321">
        <f t="shared" ca="1" si="19"/>
        <v>0.68001</v>
      </c>
      <c r="V34" s="321">
        <f ca="1">IF($G34="ManTech",(SUM($N34:$U34)*(VLOOKUP($L34,$L$9:$X$24,V$6,FALSE))),(IF(R34=0,((SUM(N34,#REF!))*(VLOOKUP($L34,$L$9:$X$24,V$6,FALSE))),(SUM($R34:$R34)*(VLOOKUP($L34,$L$9:$X$24,V$6,FALSE))))))</f>
        <v>7.7286041001745458</v>
      </c>
      <c r="W34" s="321">
        <f t="shared" ca="1" si="20"/>
        <v>91.735170406419613</v>
      </c>
      <c r="X34" s="321">
        <f t="shared" ca="1" si="11"/>
        <v>7.3388136325135696</v>
      </c>
      <c r="Y34" s="321">
        <f t="shared" ca="1" si="21"/>
        <v>99.07</v>
      </c>
      <c r="Z34" s="214">
        <f>VLOOKUP(D34,InputSheet!B175:O189,13,FALSE)</f>
        <v>3480</v>
      </c>
      <c r="AA34" s="336">
        <f t="shared" ca="1" si="12"/>
        <v>344763.6</v>
      </c>
      <c r="AB34" s="1036">
        <f t="shared" ca="1" si="22"/>
        <v>1188.8399999999999</v>
      </c>
      <c r="AC34" s="323"/>
      <c r="AD34" s="323"/>
      <c r="AE34" s="323">
        <f t="shared" ca="1" si="23"/>
        <v>319238.39301434025</v>
      </c>
      <c r="AF34" s="323">
        <f t="shared" ca="1" si="24"/>
        <v>344763.6</v>
      </c>
      <c r="AG34" s="323">
        <f t="shared" ca="1" si="25"/>
        <v>25525.206985659723</v>
      </c>
      <c r="AH34" s="20">
        <f t="shared" ca="1" si="26"/>
        <v>0.08</v>
      </c>
      <c r="AI34" s="323"/>
      <c r="AJ34" s="323"/>
      <c r="AK34" s="323"/>
      <c r="AL34" s="323"/>
      <c r="AM34" s="323"/>
      <c r="AN34" s="323"/>
      <c r="AO34" s="323"/>
      <c r="AP34" s="323"/>
      <c r="AQ34" s="60"/>
      <c r="AR34" s="324"/>
      <c r="AS34" s="325"/>
      <c r="AV34" s="251" t="str">
        <f t="shared" ca="1" si="27"/>
        <v>1</v>
      </c>
      <c r="AW34" s="251" t="str">
        <f t="shared" ca="1" si="28"/>
        <v>1</v>
      </c>
    </row>
    <row r="35" spans="4:49">
      <c r="D35" s="8">
        <f t="shared" si="29"/>
        <v>4</v>
      </c>
      <c r="E35" s="319" t="str">
        <f t="shared" si="8"/>
        <v>Functional Services Administrator</v>
      </c>
      <c r="F35" s="8"/>
      <c r="G35" s="363" t="str">
        <f>+InputSheet!E176</f>
        <v>ManTech</v>
      </c>
      <c r="H35" s="8"/>
      <c r="I35" s="320">
        <f t="shared" si="9"/>
        <v>0</v>
      </c>
      <c r="J35" s="198" t="str">
        <f t="shared" si="13"/>
        <v>ManTech40Govt_Sub</v>
      </c>
      <c r="K35" s="198"/>
      <c r="L35" s="363" t="s">
        <v>684</v>
      </c>
      <c r="M35" s="321">
        <f>IF(G35="ManTech",(VLOOKUP($D35,DL,6,FALSE)),(INDEX('Sub Rates'!$F$9:$IK$48,MATCH(($E35&amp;$L35),'Sub Rates'!$E$9:$E$48,0),MATCH(($E$8&amp;$G35),'Sub Rates'!$F$8:$IK$8,0))))</f>
        <v>33.81</v>
      </c>
      <c r="N35" s="321">
        <f t="shared" ca="1" si="10"/>
        <v>33.81</v>
      </c>
      <c r="O35" s="321">
        <f t="shared" ca="1" si="14"/>
        <v>0</v>
      </c>
      <c r="P35" s="321">
        <f t="shared" ca="1" si="14"/>
        <v>0</v>
      </c>
      <c r="Q35" s="321">
        <f t="shared" ca="1" si="15"/>
        <v>0</v>
      </c>
      <c r="R35" s="321">
        <f t="shared" ca="1" si="16"/>
        <v>1.0041570000000002</v>
      </c>
      <c r="S35" s="321">
        <v>0</v>
      </c>
      <c r="T35" s="321">
        <v>0</v>
      </c>
      <c r="U35" s="321">
        <v>0</v>
      </c>
      <c r="V35" s="321">
        <f ca="1">IF($G35="ManTech",(SUM($N35:$U35)*(VLOOKUP($L35,$L$9:$X$24,V$6,FALSE))),(IF(R35=0,((SUM(N35,#REF!))*(VLOOKUP($L35,$L$9:$X$24,V$6,FALSE))),(SUM($R35:$R35)*(VLOOKUP($L35,$L$9:$X$24,V$6,FALSE))))))</f>
        <v>3.2029024440000002</v>
      </c>
      <c r="W35" s="321">
        <f t="shared" ca="1" si="20"/>
        <v>38.017059444000004</v>
      </c>
      <c r="X35" s="321">
        <f t="shared" ca="1" si="11"/>
        <v>3.0413647555200005</v>
      </c>
      <c r="Y35" s="321">
        <f t="shared" ca="1" si="21"/>
        <v>41.06</v>
      </c>
      <c r="Z35" s="214">
        <f>VLOOKUP(D35,InputSheet!B176:O190,13,FALSE)</f>
        <v>3480</v>
      </c>
      <c r="AA35" s="336">
        <f t="shared" ca="1" si="12"/>
        <v>142888.80000000002</v>
      </c>
      <c r="AB35" s="1036">
        <f t="shared" ca="1" si="22"/>
        <v>492.72</v>
      </c>
      <c r="AC35" s="323"/>
      <c r="AD35" s="323"/>
      <c r="AE35" s="323">
        <f t="shared" ca="1" si="23"/>
        <v>132299.36686512001</v>
      </c>
      <c r="AF35" s="323">
        <f t="shared" ca="1" si="24"/>
        <v>142888.80000000002</v>
      </c>
      <c r="AG35" s="323">
        <f t="shared" ca="1" si="25"/>
        <v>10589.433134880004</v>
      </c>
      <c r="AH35" s="20">
        <f t="shared" ca="1" si="26"/>
        <v>0.08</v>
      </c>
      <c r="AI35" s="323"/>
      <c r="AJ35" s="323"/>
      <c r="AK35" s="323"/>
      <c r="AL35" s="323"/>
      <c r="AM35" s="323"/>
      <c r="AN35" s="323"/>
      <c r="AO35" s="323"/>
      <c r="AP35" s="323"/>
      <c r="AQ35" s="60"/>
      <c r="AR35" s="324"/>
      <c r="AS35" s="325"/>
      <c r="AV35" s="251" t="str">
        <f t="shared" ca="1" si="27"/>
        <v>1</v>
      </c>
      <c r="AW35" s="251" t="str">
        <f t="shared" ca="1" si="28"/>
        <v>1</v>
      </c>
    </row>
    <row r="36" spans="4:49">
      <c r="D36" s="8">
        <f t="shared" si="29"/>
        <v>5</v>
      </c>
      <c r="E36" s="319" t="str">
        <f t="shared" si="8"/>
        <v>Service Desk</v>
      </c>
      <c r="F36" s="8"/>
      <c r="G36" s="363" t="str">
        <f>+InputSheet!E177</f>
        <v>ManTech</v>
      </c>
      <c r="H36" s="8"/>
      <c r="I36" s="320">
        <f t="shared" si="9"/>
        <v>0</v>
      </c>
      <c r="J36" s="198" t="str">
        <f t="shared" si="13"/>
        <v>ManTech50Govt</v>
      </c>
      <c r="K36" s="198"/>
      <c r="L36" s="363" t="s">
        <v>623</v>
      </c>
      <c r="M36" s="321">
        <f>IF(G36="ManTech",(VLOOKUP($D36,DL,6,FALSE)),(INDEX('Sub Rates'!$F$9:$IK$48,MATCH(($E36&amp;$L36),'Sub Rates'!$E$9:$E$48,0),MATCH(($E$8&amp;$G36),'Sub Rates'!$F$8:$IK$8,0))))</f>
        <v>26</v>
      </c>
      <c r="N36" s="321">
        <f t="shared" ca="1" si="10"/>
        <v>27.52</v>
      </c>
      <c r="O36" s="321">
        <f t="shared" ca="1" si="14"/>
        <v>9.6319999999999997</v>
      </c>
      <c r="P36" s="321">
        <f t="shared" ca="1" si="14"/>
        <v>9.6319999999999997</v>
      </c>
      <c r="Q36" s="321">
        <f t="shared" ca="1" si="15"/>
        <v>14.6153216</v>
      </c>
      <c r="R36" s="321">
        <f t="shared" ca="1" si="16"/>
        <v>1.3692048716799998</v>
      </c>
      <c r="S36" s="321">
        <f t="shared" si="17"/>
        <v>1.4367816091954022</v>
      </c>
      <c r="T36" s="321">
        <f t="shared" si="18"/>
        <v>0.25875862068965516</v>
      </c>
      <c r="U36" s="321">
        <f t="shared" ca="1" si="19"/>
        <v>0.52288000000000001</v>
      </c>
      <c r="V36" s="321">
        <f ca="1">IF($G36="ManTech",(SUM($N36:$U36)*(VLOOKUP($L36,$L$9:$X$24,V$6,FALSE))),(IF(R36=0,((SUM(N36,#REF!))*(VLOOKUP($L36,$L$9:$X$24,V$6,FALSE))),(SUM($R36:$R36)*(VLOOKUP($L36,$L$9:$X$24,V$6,FALSE))))))</f>
        <v>5.9787990965439857</v>
      </c>
      <c r="W36" s="321">
        <f t="shared" ca="1" si="20"/>
        <v>70.96574579810904</v>
      </c>
      <c r="X36" s="321">
        <f t="shared" ca="1" si="11"/>
        <v>5.6772596638487229</v>
      </c>
      <c r="Y36" s="321">
        <f t="shared" ca="1" si="21"/>
        <v>76.64</v>
      </c>
      <c r="Z36" s="214">
        <f>VLOOKUP(D36,InputSheet!B177:O191,13,FALSE)</f>
        <v>3480</v>
      </c>
      <c r="AA36" s="336">
        <f t="shared" ca="1" si="12"/>
        <v>266707.20000000001</v>
      </c>
      <c r="AB36" s="1036">
        <f t="shared" ca="1" si="22"/>
        <v>919.68000000000006</v>
      </c>
      <c r="AC36" s="323"/>
      <c r="AD36" s="323"/>
      <c r="AE36" s="323">
        <f t="shared" ca="1" si="23"/>
        <v>246960.79537741945</v>
      </c>
      <c r="AF36" s="323">
        <f t="shared" ca="1" si="24"/>
        <v>266707.20000000001</v>
      </c>
      <c r="AG36" s="323">
        <f t="shared" ca="1" si="25"/>
        <v>19746.404622580565</v>
      </c>
      <c r="AH36" s="20">
        <f t="shared" ca="1" si="26"/>
        <v>0.08</v>
      </c>
      <c r="AI36" s="323"/>
      <c r="AJ36" s="323"/>
      <c r="AK36" s="323"/>
      <c r="AL36" s="323"/>
      <c r="AM36" s="323"/>
      <c r="AN36" s="323"/>
      <c r="AO36" s="323"/>
      <c r="AP36" s="323"/>
      <c r="AQ36" s="60"/>
      <c r="AR36" s="324"/>
      <c r="AS36" s="325"/>
      <c r="AV36" s="251" t="str">
        <f t="shared" ca="1" si="27"/>
        <v>1</v>
      </c>
      <c r="AW36" s="251" t="str">
        <f t="shared" ca="1" si="28"/>
        <v>1</v>
      </c>
    </row>
    <row r="37" spans="4:49">
      <c r="D37" s="8">
        <f t="shared" si="29"/>
        <v>6</v>
      </c>
      <c r="E37" s="319" t="str">
        <f t="shared" si="8"/>
        <v>Service Desk</v>
      </c>
      <c r="F37" s="8"/>
      <c r="G37" s="363" t="str">
        <f>+InputSheet!E178</f>
        <v>ManTech</v>
      </c>
      <c r="H37" s="8"/>
      <c r="I37" s="320">
        <f t="shared" si="9"/>
        <v>0</v>
      </c>
      <c r="J37" s="198" t="str">
        <f t="shared" si="13"/>
        <v>ManTech60Govt</v>
      </c>
      <c r="K37" s="198"/>
      <c r="L37" s="363" t="s">
        <v>623</v>
      </c>
      <c r="M37" s="321">
        <f>IF(G37="ManTech",(VLOOKUP($D37,DL,6,FALSE)),(INDEX('Sub Rates'!$F$9:$IK$48,MATCH(($E37&amp;$L37),'Sub Rates'!$E$9:$E$48,0),MATCH(($E$8&amp;$G37),'Sub Rates'!$F$8:$IK$8,0))))</f>
        <v>26</v>
      </c>
      <c r="N37" s="321">
        <f t="shared" ca="1" si="10"/>
        <v>27.52</v>
      </c>
      <c r="O37" s="321">
        <f t="shared" ca="1" si="14"/>
        <v>9.6319999999999997</v>
      </c>
      <c r="P37" s="321">
        <f t="shared" ca="1" si="14"/>
        <v>9.6319999999999997</v>
      </c>
      <c r="Q37" s="321">
        <f t="shared" ca="1" si="15"/>
        <v>14.6153216</v>
      </c>
      <c r="R37" s="321">
        <f t="shared" ca="1" si="16"/>
        <v>1.3692048716799998</v>
      </c>
      <c r="S37" s="321">
        <f t="shared" si="17"/>
        <v>1.4367816091954022</v>
      </c>
      <c r="T37" s="321">
        <f t="shared" si="18"/>
        <v>0.25875862068965516</v>
      </c>
      <c r="U37" s="321">
        <f t="shared" ca="1" si="19"/>
        <v>0.52288000000000001</v>
      </c>
      <c r="V37" s="321">
        <f ca="1">IF($G37="ManTech",(SUM($N37:$U37)*(VLOOKUP($L37,$L$9:$X$24,V$6,FALSE))),(IF(R37=0,((SUM(N37,#REF!))*(VLOOKUP($L37,$L$9:$X$24,V$6,FALSE))),(SUM($R37:$R37)*(VLOOKUP($L37,$L$9:$X$24,V$6,FALSE))))))</f>
        <v>5.9787990965439857</v>
      </c>
      <c r="W37" s="321">
        <f t="shared" ca="1" si="20"/>
        <v>70.96574579810904</v>
      </c>
      <c r="X37" s="321">
        <f t="shared" ca="1" si="11"/>
        <v>5.6772596638487229</v>
      </c>
      <c r="Y37" s="321">
        <f ca="1">ROUND(SUM(W37:X37),2)</f>
        <v>76.64</v>
      </c>
      <c r="Z37" s="214">
        <f>VLOOKUP(D37,InputSheet!B178:O192,13,FALSE)</f>
        <v>3480</v>
      </c>
      <c r="AA37" s="336">
        <f t="shared" ca="1" si="12"/>
        <v>266707.20000000001</v>
      </c>
      <c r="AB37" s="1036">
        <f t="shared" ca="1" si="22"/>
        <v>919.68000000000006</v>
      </c>
      <c r="AC37" s="323"/>
      <c r="AD37" s="323"/>
      <c r="AE37" s="323">
        <f t="shared" ca="1" si="23"/>
        <v>246960.79537741945</v>
      </c>
      <c r="AF37" s="323">
        <f t="shared" ca="1" si="24"/>
        <v>266707.20000000001</v>
      </c>
      <c r="AG37" s="323">
        <f t="shared" ca="1" si="25"/>
        <v>19746.404622580565</v>
      </c>
      <c r="AH37" s="20">
        <f t="shared" ca="1" si="26"/>
        <v>0.08</v>
      </c>
      <c r="AI37" s="323"/>
      <c r="AJ37" s="323"/>
      <c r="AK37" s="323"/>
      <c r="AL37" s="323"/>
      <c r="AM37" s="323"/>
      <c r="AN37" s="323"/>
      <c r="AO37" s="323"/>
      <c r="AP37" s="323"/>
      <c r="AQ37" s="60"/>
      <c r="AR37" s="324"/>
      <c r="AS37" s="325"/>
      <c r="AV37" s="251" t="str">
        <f t="shared" ca="1" si="27"/>
        <v>1</v>
      </c>
      <c r="AW37" s="251" t="str">
        <f t="shared" ca="1" si="28"/>
        <v>1</v>
      </c>
    </row>
    <row r="38" spans="4:49">
      <c r="D38" s="8">
        <f t="shared" si="29"/>
        <v>7</v>
      </c>
      <c r="E38" s="319" t="str">
        <f t="shared" si="8"/>
        <v>CIS Training Supervisor</v>
      </c>
      <c r="F38" s="8"/>
      <c r="G38" s="363" t="str">
        <f>+InputSheet!E179</f>
        <v>Segovia, Inc.</v>
      </c>
      <c r="H38" s="8"/>
      <c r="I38" s="320">
        <f t="shared" si="9"/>
        <v>0</v>
      </c>
      <c r="J38" s="198" t="str">
        <f t="shared" si="13"/>
        <v>Segovia, Inc.70Govt_Sub</v>
      </c>
      <c r="K38" s="198"/>
      <c r="L38" s="363" t="s">
        <v>684</v>
      </c>
      <c r="M38" s="321">
        <f>IF(G38="ManTech",(VLOOKUP($D38,DL,6,FALSE)),(INDEX('Sub Rates'!$F$9:$IK$48,MATCH(($E38&amp;$L38),'Sub Rates'!$E$9:$E$48,0),MATCH(($E$8&amp;$G38),'Sub Rates'!$F$8:$IK$8,0))))</f>
        <v>79.083333333333329</v>
      </c>
      <c r="N38" s="321">
        <f t="shared" ca="1" si="10"/>
        <v>79.08</v>
      </c>
      <c r="O38" s="321">
        <f t="shared" ca="1" si="14"/>
        <v>0</v>
      </c>
      <c r="P38" s="321">
        <f t="shared" ca="1" si="14"/>
        <v>0</v>
      </c>
      <c r="Q38" s="321">
        <f t="shared" ca="1" si="15"/>
        <v>0</v>
      </c>
      <c r="R38" s="321">
        <f t="shared" ca="1" si="16"/>
        <v>2.3486760000000002</v>
      </c>
      <c r="S38" s="321">
        <v>0</v>
      </c>
      <c r="T38" s="321">
        <v>0</v>
      </c>
      <c r="U38" s="321">
        <v>0</v>
      </c>
      <c r="V38" s="321">
        <f ca="1">IF($G38="ManTech",(SUM($N38:$U38)*(VLOOKUP($L38,$L$9:$X$24,V$6,FALSE))),(IF(R38=0,((SUM(N38,#REF!))*(VLOOKUP($L38,$L$9:$X$24,V$6,FALSE))),(SUM($R38:$R38)*(VLOOKUP($L38,$L$9:$X$24,V$6,FALSE))))))</f>
        <v>0.216078192</v>
      </c>
      <c r="W38" s="321">
        <f t="shared" ca="1" si="20"/>
        <v>81.644754191999994</v>
      </c>
      <c r="X38" s="321">
        <f t="shared" ca="1" si="11"/>
        <v>6.5315803353599993</v>
      </c>
      <c r="Y38" s="321">
        <f t="shared" ca="1" si="21"/>
        <v>88.18</v>
      </c>
      <c r="Z38" s="214">
        <f>VLOOKUP(D38,InputSheet!B179:O193,13,FALSE)</f>
        <v>3480</v>
      </c>
      <c r="AA38" s="336">
        <f t="shared" ca="1" si="12"/>
        <v>306866.40000000002</v>
      </c>
      <c r="AB38" s="1036">
        <f t="shared" ca="1" si="22"/>
        <v>1058.1600000000001</v>
      </c>
      <c r="AC38" s="323"/>
      <c r="AD38" s="323"/>
      <c r="AE38" s="323">
        <f t="shared" ca="1" si="23"/>
        <v>284123.74458815996</v>
      </c>
      <c r="AF38" s="323">
        <f t="shared" ca="1" si="24"/>
        <v>306866.40000000002</v>
      </c>
      <c r="AG38" s="323">
        <f t="shared" ca="1" si="25"/>
        <v>22742.655411840067</v>
      </c>
      <c r="AH38" s="20">
        <f t="shared" ca="1" si="26"/>
        <v>0.08</v>
      </c>
      <c r="AI38" s="323"/>
      <c r="AJ38" s="323"/>
      <c r="AK38" s="323"/>
      <c r="AL38" s="323"/>
      <c r="AM38" s="323"/>
      <c r="AN38" s="323"/>
      <c r="AO38" s="323"/>
      <c r="AP38" s="323"/>
      <c r="AQ38" s="60"/>
      <c r="AR38" s="324"/>
      <c r="AS38" s="325"/>
      <c r="AV38" s="251" t="str">
        <f t="shared" ca="1" si="27"/>
        <v>1</v>
      </c>
      <c r="AW38" s="251" t="str">
        <f t="shared" ca="1" si="28"/>
        <v>1</v>
      </c>
    </row>
    <row r="39" spans="4:49">
      <c r="D39" s="8">
        <f t="shared" si="29"/>
        <v>8</v>
      </c>
      <c r="E39" s="319" t="str">
        <f t="shared" si="8"/>
        <v>CIS Trainer</v>
      </c>
      <c r="F39" s="8"/>
      <c r="G39" s="363" t="str">
        <f>+InputSheet!E180</f>
        <v>Segovia, Inc.</v>
      </c>
      <c r="H39" s="8"/>
      <c r="I39" s="320">
        <f t="shared" si="9"/>
        <v>0</v>
      </c>
      <c r="J39" s="198" t="str">
        <f t="shared" si="13"/>
        <v>Segovia, Inc.80Govt_Sub</v>
      </c>
      <c r="K39" s="198"/>
      <c r="L39" s="363" t="s">
        <v>684</v>
      </c>
      <c r="M39" s="321">
        <f>IF(G39="ManTech",(VLOOKUP($D39,DL,6,FALSE)),(INDEX('Sub Rates'!$F$9:$IK$48,MATCH(($E39&amp;$L39),'Sub Rates'!$E$9:$E$48,0),MATCH(($E$8&amp;$G39),'Sub Rates'!$F$8:$IK$8,0))))</f>
        <v>67.416666666666671</v>
      </c>
      <c r="N39" s="321">
        <f t="shared" ca="1" si="10"/>
        <v>67.42</v>
      </c>
      <c r="O39" s="321">
        <f t="shared" ca="1" si="14"/>
        <v>0</v>
      </c>
      <c r="P39" s="321">
        <f t="shared" ca="1" si="14"/>
        <v>0</v>
      </c>
      <c r="Q39" s="321">
        <f t="shared" ca="1" si="15"/>
        <v>0</v>
      </c>
      <c r="R39" s="321">
        <f t="shared" ca="1" si="16"/>
        <v>2.0023740000000001</v>
      </c>
      <c r="S39" s="321">
        <v>0</v>
      </c>
      <c r="T39" s="321">
        <v>0</v>
      </c>
      <c r="U39" s="321">
        <v>0</v>
      </c>
      <c r="V39" s="321">
        <f ca="1">IF($G39="ManTech",(SUM($N39:$U39)*(VLOOKUP($L39,$L$9:$X$24,V$6,FALSE))),(IF(R39=0,((SUM(N39,#REF!))*(VLOOKUP($L39,$L$9:$X$24,V$6,FALSE))),(SUM($R39:$R39)*(VLOOKUP($L39,$L$9:$X$24,V$6,FALSE))))))</f>
        <v>0.184218408</v>
      </c>
      <c r="W39" s="321">
        <f t="shared" ca="1" si="20"/>
        <v>69.606592408000012</v>
      </c>
      <c r="X39" s="321">
        <f t="shared" ca="1" si="11"/>
        <v>5.568527392640001</v>
      </c>
      <c r="Y39" s="321">
        <f t="shared" ca="1" si="21"/>
        <v>75.180000000000007</v>
      </c>
      <c r="Z39" s="214">
        <f>VLOOKUP(D39,InputSheet!B180:O194,13,FALSE)</f>
        <v>3480</v>
      </c>
      <c r="AA39" s="336">
        <f t="shared" ca="1" si="12"/>
        <v>261626.40000000002</v>
      </c>
      <c r="AB39" s="1036">
        <f t="shared" ca="1" si="22"/>
        <v>902.16000000000008</v>
      </c>
      <c r="AC39" s="323"/>
      <c r="AD39" s="323"/>
      <c r="AE39" s="323">
        <f t="shared" ca="1" si="23"/>
        <v>242230.94157984003</v>
      </c>
      <c r="AF39" s="323">
        <f t="shared" ca="1" si="24"/>
        <v>261626.40000000002</v>
      </c>
      <c r="AG39" s="323">
        <f t="shared" ca="1" si="25"/>
        <v>19395.458420159994</v>
      </c>
      <c r="AH39" s="20">
        <f t="shared" ca="1" si="26"/>
        <v>0.08</v>
      </c>
      <c r="AI39" s="323"/>
      <c r="AJ39" s="323"/>
      <c r="AK39" s="323"/>
      <c r="AL39" s="323"/>
      <c r="AM39" s="323"/>
      <c r="AN39" s="323"/>
      <c r="AO39" s="323"/>
      <c r="AP39" s="323"/>
      <c r="AQ39" s="60"/>
      <c r="AR39" s="324"/>
      <c r="AS39" s="325"/>
      <c r="AV39" s="251" t="str">
        <f t="shared" ca="1" si="27"/>
        <v>1</v>
      </c>
      <c r="AW39" s="251" t="str">
        <f t="shared" ca="1" si="28"/>
        <v>1</v>
      </c>
    </row>
    <row r="40" spans="4:49">
      <c r="D40" s="8">
        <f t="shared" si="29"/>
        <v>9</v>
      </c>
      <c r="E40" s="319" t="str">
        <f t="shared" si="8"/>
        <v>Radio Technician</v>
      </c>
      <c r="F40" s="8"/>
      <c r="G40" s="363" t="str">
        <f>+InputSheet!E181</f>
        <v>Segovia, Inc.</v>
      </c>
      <c r="H40" s="8"/>
      <c r="I40" s="320">
        <f t="shared" si="9"/>
        <v>0</v>
      </c>
      <c r="J40" s="198" t="str">
        <f t="shared" si="13"/>
        <v>Segovia, Inc.90Govt_Sub</v>
      </c>
      <c r="K40" s="198"/>
      <c r="L40" s="363" t="s">
        <v>684</v>
      </c>
      <c r="M40" s="321">
        <f>IF(G40="ManTech",(VLOOKUP($D40,DL,6,FALSE)),(INDEX('Sub Rates'!$F$9:$IK$48,MATCH(($E40&amp;$L40),'Sub Rates'!$E$9:$E$48,0),MATCH(($E$8&amp;$G40),'Sub Rates'!$F$8:$IK$8,0))))</f>
        <v>59.083333333333336</v>
      </c>
      <c r="N40" s="321">
        <f t="shared" ca="1" si="10"/>
        <v>59.08</v>
      </c>
      <c r="O40" s="321">
        <f t="shared" ca="1" si="14"/>
        <v>0</v>
      </c>
      <c r="P40" s="321">
        <f t="shared" ca="1" si="14"/>
        <v>0</v>
      </c>
      <c r="Q40" s="321">
        <f t="shared" ca="1" si="15"/>
        <v>0</v>
      </c>
      <c r="R40" s="321">
        <f t="shared" ca="1" si="16"/>
        <v>1.7546759999999999</v>
      </c>
      <c r="S40" s="321">
        <v>0</v>
      </c>
      <c r="T40" s="321">
        <v>0</v>
      </c>
      <c r="U40" s="321">
        <v>0</v>
      </c>
      <c r="V40" s="321">
        <f ca="1">IF($G40="ManTech",(SUM($N40:$U40)*(VLOOKUP($L40,$L$9:$X$24,V$6,FALSE))),(IF(R40=0,((SUM(N40,#REF!))*(VLOOKUP($L40,$L$9:$X$24,V$6,FALSE))),(SUM($R40:$R40)*(VLOOKUP($L40,$L$9:$X$24,V$6,FALSE))))))</f>
        <v>0.161430192</v>
      </c>
      <c r="W40" s="321">
        <f t="shared" ca="1" si="20"/>
        <v>60.996106191999999</v>
      </c>
      <c r="X40" s="321">
        <f t="shared" ca="1" si="11"/>
        <v>4.8796884953599999</v>
      </c>
      <c r="Y40" s="321">
        <f t="shared" ca="1" si="21"/>
        <v>65.88</v>
      </c>
      <c r="Z40" s="214">
        <f>VLOOKUP(D40,InputSheet!B181:O195,13,FALSE)</f>
        <v>3480</v>
      </c>
      <c r="AA40" s="336">
        <f t="shared" ca="1" si="12"/>
        <v>229262.4</v>
      </c>
      <c r="AB40" s="1036">
        <f t="shared" ca="1" si="22"/>
        <v>790.56</v>
      </c>
      <c r="AC40" s="323"/>
      <c r="AD40" s="323"/>
      <c r="AE40" s="323">
        <f t="shared" ca="1" si="23"/>
        <v>212266.44954815999</v>
      </c>
      <c r="AF40" s="323">
        <f t="shared" ca="1" si="24"/>
        <v>229262.4</v>
      </c>
      <c r="AG40" s="323">
        <f t="shared" ca="1" si="25"/>
        <v>16995.950451840006</v>
      </c>
      <c r="AH40" s="20">
        <f t="shared" ca="1" si="26"/>
        <v>0.08</v>
      </c>
      <c r="AI40" s="323"/>
      <c r="AJ40" s="323"/>
      <c r="AK40" s="323"/>
      <c r="AL40" s="323"/>
      <c r="AM40" s="323"/>
      <c r="AN40" s="323"/>
      <c r="AO40" s="323"/>
      <c r="AP40" s="323"/>
      <c r="AQ40" s="60"/>
      <c r="AR40" s="324"/>
      <c r="AS40" s="325"/>
      <c r="AV40" s="251" t="str">
        <f t="shared" ca="1" si="27"/>
        <v>1</v>
      </c>
      <c r="AW40" s="251" t="str">
        <f t="shared" ca="1" si="28"/>
        <v>1</v>
      </c>
    </row>
    <row r="41" spans="4:49">
      <c r="D41" s="8">
        <f t="shared" si="29"/>
        <v>10</v>
      </c>
      <c r="E41" s="319" t="str">
        <f t="shared" si="8"/>
        <v>Radio Technician</v>
      </c>
      <c r="F41" s="8"/>
      <c r="G41" s="363" t="str">
        <f>+InputSheet!E182</f>
        <v>Segovia, Inc.</v>
      </c>
      <c r="H41" s="8"/>
      <c r="I41" s="320">
        <f t="shared" si="9"/>
        <v>0</v>
      </c>
      <c r="J41" s="198" t="str">
        <f t="shared" si="13"/>
        <v>Segovia, Inc.100Govt_Sub</v>
      </c>
      <c r="K41" s="198"/>
      <c r="L41" s="363" t="s">
        <v>684</v>
      </c>
      <c r="M41" s="321">
        <f>IF(G41="ManTech",(VLOOKUP($D41,DL,6,FALSE)),(INDEX('Sub Rates'!$F$9:$IK$48,MATCH(($E41&amp;$L41),'Sub Rates'!$E$9:$E$48,0),MATCH(($E$8&amp;$G41),'Sub Rates'!$F$8:$IK$8,0))))</f>
        <v>59.083333333333336</v>
      </c>
      <c r="N41" s="321">
        <f t="shared" ca="1" si="10"/>
        <v>59.08</v>
      </c>
      <c r="O41" s="321">
        <f t="shared" ca="1" si="14"/>
        <v>0</v>
      </c>
      <c r="P41" s="321">
        <f t="shared" ca="1" si="14"/>
        <v>0</v>
      </c>
      <c r="Q41" s="321">
        <f t="shared" ca="1" si="15"/>
        <v>0</v>
      </c>
      <c r="R41" s="321">
        <f t="shared" ca="1" si="16"/>
        <v>1.7546759999999999</v>
      </c>
      <c r="S41" s="321">
        <v>0</v>
      </c>
      <c r="T41" s="321">
        <v>0</v>
      </c>
      <c r="U41" s="321">
        <v>0</v>
      </c>
      <c r="V41" s="321">
        <f ca="1">IF($G41="ManTech",(SUM($N41:$U41)*(VLOOKUP($L41,$L$9:$X$24,V$6,FALSE))),(IF(R41=0,((SUM(N41,#REF!))*(VLOOKUP($L41,$L$9:$X$24,V$6,FALSE))),(SUM($R41:$R41)*(VLOOKUP($L41,$L$9:$X$24,V$6,FALSE))))))</f>
        <v>0.161430192</v>
      </c>
      <c r="W41" s="321">
        <f t="shared" ca="1" si="20"/>
        <v>60.996106191999999</v>
      </c>
      <c r="X41" s="321">
        <f t="shared" ca="1" si="11"/>
        <v>4.8796884953599999</v>
      </c>
      <c r="Y41" s="321">
        <f t="shared" ca="1" si="21"/>
        <v>65.88</v>
      </c>
      <c r="Z41" s="214">
        <f>VLOOKUP(D41,InputSheet!B182:O196,13,FALSE)</f>
        <v>3480</v>
      </c>
      <c r="AA41" s="336">
        <f t="shared" ca="1" si="12"/>
        <v>229262.4</v>
      </c>
      <c r="AB41" s="1036">
        <f t="shared" ca="1" si="22"/>
        <v>790.56</v>
      </c>
      <c r="AC41" s="323"/>
      <c r="AD41" s="323"/>
      <c r="AE41" s="323">
        <f t="shared" ca="1" si="23"/>
        <v>212266.44954815999</v>
      </c>
      <c r="AF41" s="323">
        <f t="shared" ca="1" si="24"/>
        <v>229262.4</v>
      </c>
      <c r="AG41" s="323">
        <f t="shared" ca="1" si="25"/>
        <v>16995.950451840006</v>
      </c>
      <c r="AH41" s="20">
        <f t="shared" ca="1" si="26"/>
        <v>0.08</v>
      </c>
      <c r="AI41" s="323"/>
      <c r="AJ41" s="323"/>
      <c r="AK41" s="323"/>
      <c r="AL41" s="323"/>
      <c r="AM41" s="323"/>
      <c r="AN41" s="323"/>
      <c r="AO41" s="323"/>
      <c r="AP41" s="323"/>
      <c r="AQ41" s="60"/>
      <c r="AR41" s="324"/>
      <c r="AS41" s="325"/>
      <c r="AV41" s="251" t="str">
        <f t="shared" ca="1" si="27"/>
        <v>1</v>
      </c>
      <c r="AW41" s="251" t="str">
        <f t="shared" ca="1" si="28"/>
        <v>1</v>
      </c>
    </row>
    <row r="42" spans="4:49">
      <c r="D42" s="8">
        <f t="shared" si="29"/>
        <v>11</v>
      </c>
      <c r="E42" s="319" t="str">
        <f t="shared" si="8"/>
        <v>Network Administrator</v>
      </c>
      <c r="F42" s="8"/>
      <c r="G42" s="363" t="str">
        <f>+InputSheet!E183</f>
        <v>ManTech</v>
      </c>
      <c r="H42" s="8"/>
      <c r="I42" s="320">
        <f t="shared" si="9"/>
        <v>0</v>
      </c>
      <c r="J42" s="198" t="str">
        <f t="shared" si="13"/>
        <v>ManTech110Govt</v>
      </c>
      <c r="K42" s="198"/>
      <c r="L42" s="363" t="s">
        <v>623</v>
      </c>
      <c r="M42" s="321">
        <f>IF(G42="ManTech",(VLOOKUP($D42,DL,6,FALSE)),(INDEX('Sub Rates'!$F$9:$IK$48,MATCH(($E42&amp;$L42),'Sub Rates'!$E$9:$E$48,0),MATCH(($E$8&amp;$G42),'Sub Rates'!$F$8:$IK$8,0))))</f>
        <v>27.5</v>
      </c>
      <c r="N42" s="321">
        <f t="shared" ca="1" si="10"/>
        <v>29.11</v>
      </c>
      <c r="O42" s="321">
        <f t="shared" ca="1" si="14"/>
        <v>10.188499999999999</v>
      </c>
      <c r="P42" s="321">
        <f t="shared" ca="1" si="14"/>
        <v>10.188499999999999</v>
      </c>
      <c r="Q42" s="321">
        <f t="shared" ca="1" si="15"/>
        <v>15.459738799999998</v>
      </c>
      <c r="R42" s="321">
        <f t="shared" ca="1" si="16"/>
        <v>1.4483122752399997</v>
      </c>
      <c r="S42" s="321">
        <f t="shared" si="17"/>
        <v>1.4367816091954022</v>
      </c>
      <c r="T42" s="321">
        <f t="shared" si="18"/>
        <v>0.25875862068965516</v>
      </c>
      <c r="U42" s="321">
        <f t="shared" ca="1" si="19"/>
        <v>0.55308999999999997</v>
      </c>
      <c r="V42" s="321">
        <f ca="1">IF($G42="ManTech",(SUM($N42:$U42)*(VLOOKUP($L42,$L$9:$X$24,V$6,FALSE))),(IF(R42=0,((SUM(N42,#REF!))*(VLOOKUP($L42,$L$9:$X$24,V$6,FALSE))),(SUM($R42:$R42)*(VLOOKUP($L42,$L$9:$X$24,V$6,FALSE))))))</f>
        <v>6.3152186800715056</v>
      </c>
      <c r="W42" s="321">
        <f t="shared" ca="1" si="20"/>
        <v>74.958899985196567</v>
      </c>
      <c r="X42" s="321">
        <f t="shared" ca="1" si="11"/>
        <v>5.9967119988157256</v>
      </c>
      <c r="Y42" s="321">
        <f t="shared" ca="1" si="21"/>
        <v>80.959999999999994</v>
      </c>
      <c r="Z42" s="214">
        <f>VLOOKUP(D42,InputSheet!B183:O197,13,FALSE)</f>
        <v>3480</v>
      </c>
      <c r="AA42" s="336">
        <f t="shared" ca="1" si="12"/>
        <v>281740.79999999999</v>
      </c>
      <c r="AB42" s="1036">
        <f t="shared" ca="1" si="22"/>
        <v>971.52</v>
      </c>
      <c r="AC42" s="323"/>
      <c r="AD42" s="323"/>
      <c r="AE42" s="323">
        <f t="shared" ca="1" si="23"/>
        <v>260856.97194848405</v>
      </c>
      <c r="AF42" s="323">
        <f t="shared" ca="1" si="24"/>
        <v>281740.79999999999</v>
      </c>
      <c r="AG42" s="323">
        <f t="shared" ca="1" si="25"/>
        <v>20883.828051515942</v>
      </c>
      <c r="AH42" s="20">
        <f t="shared" ca="1" si="26"/>
        <v>0.08</v>
      </c>
      <c r="AI42" s="323"/>
      <c r="AJ42" s="323"/>
      <c r="AK42" s="323"/>
      <c r="AL42" s="323"/>
      <c r="AM42" s="323"/>
      <c r="AN42" s="323"/>
      <c r="AO42" s="323"/>
      <c r="AP42" s="323"/>
      <c r="AQ42" s="60"/>
      <c r="AR42" s="324"/>
      <c r="AS42" s="325"/>
      <c r="AV42" s="251" t="str">
        <f t="shared" ca="1" si="27"/>
        <v>1</v>
      </c>
      <c r="AW42" s="251" t="str">
        <f t="shared" ca="1" si="28"/>
        <v>1</v>
      </c>
    </row>
    <row r="43" spans="4:49">
      <c r="D43" s="8">
        <f>D42+1</f>
        <v>12</v>
      </c>
      <c r="E43" s="319" t="str">
        <f t="shared" si="8"/>
        <v>System Administrator</v>
      </c>
      <c r="F43" s="8"/>
      <c r="G43" s="363" t="str">
        <f>+InputSheet!E184</f>
        <v>ManTech</v>
      </c>
      <c r="H43" s="8"/>
      <c r="I43" s="320">
        <f t="shared" si="9"/>
        <v>0</v>
      </c>
      <c r="J43" s="198" t="str">
        <f t="shared" si="13"/>
        <v>ManTech120Govt</v>
      </c>
      <c r="K43" s="198"/>
      <c r="L43" s="363" t="s">
        <v>623</v>
      </c>
      <c r="M43" s="321">
        <f>IF(G43="ManTech",(VLOOKUP($D43,DL,6,FALSE)),(INDEX('Sub Rates'!$F$9:$IK$48,MATCH(($E43&amp;$L43),'Sub Rates'!$E$9:$E$48,0),MATCH(($E$8&amp;$G43),'Sub Rates'!$F$8:$IK$8,0))))</f>
        <v>28</v>
      </c>
      <c r="N43" s="321">
        <f t="shared" ca="1" si="10"/>
        <v>29.64</v>
      </c>
      <c r="O43" s="321">
        <f t="shared" ca="1" si="14"/>
        <v>10.373999999999999</v>
      </c>
      <c r="P43" s="321">
        <f t="shared" ca="1" si="14"/>
        <v>10.373999999999999</v>
      </c>
      <c r="Q43" s="321">
        <f t="shared" ca="1" si="15"/>
        <v>15.741211199999999</v>
      </c>
      <c r="R43" s="321">
        <f t="shared" ca="1" si="16"/>
        <v>1.4746814097599996</v>
      </c>
      <c r="S43" s="321">
        <f t="shared" si="17"/>
        <v>1.4367816091954022</v>
      </c>
      <c r="T43" s="321">
        <f t="shared" si="18"/>
        <v>0.25875862068965516</v>
      </c>
      <c r="U43" s="321">
        <f t="shared" ca="1" si="19"/>
        <v>0.56315999999999999</v>
      </c>
      <c r="V43" s="321">
        <f ca="1">IF($G43="ManTech",(SUM($N43:$U43)*(VLOOKUP($L43,$L$9:$X$24,V$6,FALSE))),(IF(R43=0,((SUM(N43,#REF!))*(VLOOKUP($L43,$L$9:$X$24,V$6,FALSE))),(SUM($R43:$R43)*(VLOOKUP($L43,$L$9:$X$24,V$6,FALSE))))))</f>
        <v>6.4273585412473437</v>
      </c>
      <c r="W43" s="321">
        <f t="shared" ca="1" si="20"/>
        <v>76.28995138089239</v>
      </c>
      <c r="X43" s="321">
        <f t="shared" ca="1" si="11"/>
        <v>6.1031961104713917</v>
      </c>
      <c r="Y43" s="321">
        <f t="shared" ca="1" si="21"/>
        <v>82.39</v>
      </c>
      <c r="Z43" s="214">
        <f>VLOOKUP(D43,InputSheet!B184:O198,13,FALSE)</f>
        <v>3480</v>
      </c>
      <c r="AA43" s="336">
        <f t="shared" ca="1" si="12"/>
        <v>286717.2</v>
      </c>
      <c r="AB43" s="1036">
        <f t="shared" ca="1" si="22"/>
        <v>988.68000000000006</v>
      </c>
      <c r="AC43" s="323"/>
      <c r="AD43" s="323"/>
      <c r="AE43" s="323">
        <f t="shared" ca="1" si="23"/>
        <v>265489.03080550552</v>
      </c>
      <c r="AF43" s="323">
        <f t="shared" ca="1" si="24"/>
        <v>286717.2</v>
      </c>
      <c r="AG43" s="323">
        <f t="shared" ca="1" si="25"/>
        <v>21228.169194494491</v>
      </c>
      <c r="AH43" s="20">
        <f t="shared" ca="1" si="26"/>
        <v>0.08</v>
      </c>
      <c r="AI43" s="323"/>
      <c r="AJ43" s="323"/>
      <c r="AK43" s="323"/>
      <c r="AL43" s="323"/>
      <c r="AM43" s="323"/>
      <c r="AN43" s="323"/>
      <c r="AO43" s="323"/>
      <c r="AP43" s="323"/>
      <c r="AQ43" s="60"/>
      <c r="AR43" s="324"/>
      <c r="AS43" s="325"/>
      <c r="AV43" s="251" t="str">
        <f t="shared" ca="1" si="27"/>
        <v>1</v>
      </c>
      <c r="AW43" s="251" t="str">
        <f t="shared" ca="1" si="28"/>
        <v>1</v>
      </c>
    </row>
    <row r="44" spans="4:49">
      <c r="D44" s="8">
        <f>D43+1</f>
        <v>13</v>
      </c>
      <c r="E44" s="319" t="str">
        <f t="shared" si="8"/>
        <v>Configuration Manager</v>
      </c>
      <c r="F44" s="8"/>
      <c r="G44" s="363" t="str">
        <f>+InputSheet!E185</f>
        <v>ManTech</v>
      </c>
      <c r="H44" s="8"/>
      <c r="I44" s="320">
        <f t="shared" si="9"/>
        <v>0</v>
      </c>
      <c r="J44" s="198" t="str">
        <f t="shared" si="13"/>
        <v>ManTech130Govt</v>
      </c>
      <c r="K44" s="198"/>
      <c r="L44" s="363" t="s">
        <v>623</v>
      </c>
      <c r="M44" s="321">
        <f>IF(G44="ManTech",(VLOOKUP($D44,DL,6,FALSE)),(INDEX('Sub Rates'!$F$9:$IK$48,MATCH(($E44&amp;$L44),'Sub Rates'!$E$9:$E$48,0),MATCH(($E$8&amp;$G44),'Sub Rates'!$F$8:$IK$8,0))))</f>
        <v>26</v>
      </c>
      <c r="N44" s="321">
        <f t="shared" ca="1" si="10"/>
        <v>27.52</v>
      </c>
      <c r="O44" s="321">
        <f t="shared" ca="1" si="14"/>
        <v>9.6319999999999997</v>
      </c>
      <c r="P44" s="321">
        <f t="shared" ca="1" si="14"/>
        <v>9.6319999999999997</v>
      </c>
      <c r="Q44" s="321">
        <f t="shared" ca="1" si="15"/>
        <v>14.6153216</v>
      </c>
      <c r="R44" s="321">
        <f t="shared" ca="1" si="16"/>
        <v>1.3692048716799998</v>
      </c>
      <c r="S44" s="321">
        <f t="shared" si="17"/>
        <v>1.4367816091954022</v>
      </c>
      <c r="T44" s="321">
        <f t="shared" si="18"/>
        <v>0.25875862068965516</v>
      </c>
      <c r="U44" s="321">
        <f t="shared" ca="1" si="19"/>
        <v>0.52288000000000001</v>
      </c>
      <c r="V44" s="321">
        <f ca="1">IF($G44="ManTech",(SUM($N44:$U44)*(VLOOKUP($L44,$L$9:$X$24,V$6,FALSE))),(IF(R44=0,((SUM(N44,#REF!))*(VLOOKUP($L44,$L$9:$X$24,V$6,FALSE))),(SUM($R44:$R44)*(VLOOKUP($L44,$L$9:$X$24,V$6,FALSE))))))</f>
        <v>5.9787990965439857</v>
      </c>
      <c r="W44" s="321">
        <f t="shared" ca="1" si="20"/>
        <v>70.96574579810904</v>
      </c>
      <c r="X44" s="321">
        <f t="shared" ca="1" si="11"/>
        <v>5.6772596638487229</v>
      </c>
      <c r="Y44" s="321">
        <f t="shared" ca="1" si="21"/>
        <v>76.64</v>
      </c>
      <c r="Z44" s="214">
        <f>VLOOKUP(D44,InputSheet!B185:O199,13,FALSE)</f>
        <v>3480</v>
      </c>
      <c r="AA44" s="336">
        <f t="shared" ca="1" si="12"/>
        <v>266707.20000000001</v>
      </c>
      <c r="AB44" s="1036">
        <f t="shared" ca="1" si="22"/>
        <v>919.68000000000006</v>
      </c>
      <c r="AC44" s="323"/>
      <c r="AD44" s="323"/>
      <c r="AE44" s="323">
        <f t="shared" ca="1" si="23"/>
        <v>246960.79537741945</v>
      </c>
      <c r="AF44" s="323">
        <f t="shared" ca="1" si="24"/>
        <v>266707.20000000001</v>
      </c>
      <c r="AG44" s="323">
        <f t="shared" ca="1" si="25"/>
        <v>19746.404622580565</v>
      </c>
      <c r="AH44" s="20">
        <f t="shared" ca="1" si="26"/>
        <v>0.08</v>
      </c>
      <c r="AI44" s="323"/>
      <c r="AJ44" s="323"/>
      <c r="AK44" s="323"/>
      <c r="AL44" s="323"/>
      <c r="AM44" s="323"/>
      <c r="AN44" s="323"/>
      <c r="AO44" s="323"/>
      <c r="AP44" s="323"/>
      <c r="AQ44" s="60"/>
      <c r="AR44" s="324"/>
      <c r="AS44" s="325"/>
      <c r="AV44" s="251" t="str">
        <f t="shared" ca="1" si="27"/>
        <v>1</v>
      </c>
      <c r="AW44" s="251" t="str">
        <f t="shared" ca="1" si="28"/>
        <v>1</v>
      </c>
    </row>
    <row r="45" spans="4:49">
      <c r="D45" s="8">
        <f>D44+1</f>
        <v>14</v>
      </c>
      <c r="E45" s="319" t="str">
        <f t="shared" si="8"/>
        <v>Hardware Technician</v>
      </c>
      <c r="F45" s="8"/>
      <c r="G45" s="363" t="str">
        <f>+InputSheet!E186</f>
        <v>ManTech</v>
      </c>
      <c r="H45" s="8"/>
      <c r="I45" s="320">
        <f t="shared" si="9"/>
        <v>0</v>
      </c>
      <c r="J45" s="198" t="str">
        <f t="shared" si="13"/>
        <v>ManTech140Govt</v>
      </c>
      <c r="K45" s="198"/>
      <c r="L45" s="363" t="s">
        <v>623</v>
      </c>
      <c r="M45" s="321">
        <f>IF(G45="ManTech",(VLOOKUP($D45,DL,6,FALSE)),(INDEX('Sub Rates'!$F$9:$IK$48,MATCH(($E45&amp;$L45),'Sub Rates'!$E$9:$E$48,0),MATCH(($E$8&amp;$G45),'Sub Rates'!$F$8:$IK$8,0))))</f>
        <v>26</v>
      </c>
      <c r="N45" s="321">
        <f t="shared" ca="1" si="10"/>
        <v>27.52</v>
      </c>
      <c r="O45" s="321">
        <f t="shared" ca="1" si="14"/>
        <v>9.6319999999999997</v>
      </c>
      <c r="P45" s="321">
        <f t="shared" ca="1" si="14"/>
        <v>9.6319999999999997</v>
      </c>
      <c r="Q45" s="321">
        <f t="shared" ca="1" si="15"/>
        <v>14.6153216</v>
      </c>
      <c r="R45" s="321">
        <f t="shared" ca="1" si="16"/>
        <v>1.3692048716799998</v>
      </c>
      <c r="S45" s="321">
        <f t="shared" si="17"/>
        <v>1.4367816091954022</v>
      </c>
      <c r="T45" s="321">
        <f t="shared" si="18"/>
        <v>0.25875862068965516</v>
      </c>
      <c r="U45" s="321">
        <f t="shared" ca="1" si="19"/>
        <v>0.52288000000000001</v>
      </c>
      <c r="V45" s="321">
        <f ca="1">IF($G45="ManTech",(SUM($N45:$U45)*(VLOOKUP($L45,$L$9:$X$24,V$6,FALSE))),(IF(R45=0,((SUM(N45,#REF!))*(VLOOKUP($L45,$L$9:$X$24,V$6,FALSE))),(SUM($R45:$R45)*(VLOOKUP($L45,$L$9:$X$24,V$6,FALSE))))))</f>
        <v>5.9787990965439857</v>
      </c>
      <c r="W45" s="321">
        <f t="shared" ca="1" si="20"/>
        <v>70.96574579810904</v>
      </c>
      <c r="X45" s="321">
        <f t="shared" ca="1" si="11"/>
        <v>5.6772596638487229</v>
      </c>
      <c r="Y45" s="321">
        <f t="shared" ca="1" si="21"/>
        <v>76.64</v>
      </c>
      <c r="Z45" s="214">
        <f>VLOOKUP(D45,InputSheet!B186:O200,13,FALSE)</f>
        <v>3480</v>
      </c>
      <c r="AA45" s="336">
        <f t="shared" ca="1" si="12"/>
        <v>266707.20000000001</v>
      </c>
      <c r="AB45" s="1036">
        <f t="shared" ca="1" si="22"/>
        <v>919.68000000000006</v>
      </c>
      <c r="AC45" s="323"/>
      <c r="AD45" s="323"/>
      <c r="AE45" s="323">
        <f t="shared" ca="1" si="23"/>
        <v>246960.79537741945</v>
      </c>
      <c r="AF45" s="323">
        <f t="shared" ca="1" si="24"/>
        <v>266707.20000000001</v>
      </c>
      <c r="AG45" s="323">
        <f t="shared" ca="1" si="25"/>
        <v>19746.404622580565</v>
      </c>
      <c r="AH45" s="20">
        <f t="shared" ca="1" si="26"/>
        <v>0.08</v>
      </c>
      <c r="AI45" s="323"/>
      <c r="AJ45" s="323"/>
      <c r="AK45" s="323"/>
      <c r="AL45" s="323"/>
      <c r="AM45" s="323"/>
      <c r="AN45" s="323"/>
      <c r="AO45" s="323"/>
      <c r="AP45" s="323"/>
      <c r="AQ45" s="60"/>
      <c r="AR45" s="324"/>
      <c r="AS45" s="325"/>
      <c r="AV45" s="251" t="str">
        <f t="shared" ca="1" si="27"/>
        <v>1</v>
      </c>
      <c r="AW45" s="251" t="str">
        <f t="shared" ca="1" si="28"/>
        <v>1</v>
      </c>
    </row>
    <row r="46" spans="4:49">
      <c r="D46" s="8">
        <f>D45+1</f>
        <v>15</v>
      </c>
      <c r="E46" s="319" t="str">
        <f t="shared" si="8"/>
        <v>Repair/Exchange Specialist</v>
      </c>
      <c r="F46" s="8"/>
      <c r="G46" s="363" t="str">
        <f>+InputSheet!E187</f>
        <v>ManTech</v>
      </c>
      <c r="H46" s="8"/>
      <c r="I46" s="320">
        <f t="shared" si="9"/>
        <v>0</v>
      </c>
      <c r="J46" s="198" t="str">
        <f t="shared" si="13"/>
        <v>ManTech150Govt</v>
      </c>
      <c r="K46" s="198"/>
      <c r="L46" s="363" t="s">
        <v>623</v>
      </c>
      <c r="M46" s="321">
        <f>IF(G46="ManTech",(VLOOKUP($D46,DL,6,FALSE)),(INDEX('Sub Rates'!$F$9:$IK$48,MATCH(($E46&amp;$L46),'Sub Rates'!$E$9:$E$48,0),MATCH(($E$8&amp;$G46),'Sub Rates'!$F$8:$IK$8,0))))</f>
        <v>25</v>
      </c>
      <c r="N46" s="321">
        <f t="shared" ca="1" si="10"/>
        <v>26.46</v>
      </c>
      <c r="O46" s="321">
        <f t="shared" ca="1" si="14"/>
        <v>9.2609999999999992</v>
      </c>
      <c r="P46" s="321">
        <f t="shared" ca="1" si="14"/>
        <v>9.2609999999999992</v>
      </c>
      <c r="Q46" s="321">
        <f t="shared" ca="1" si="15"/>
        <v>14.052376800000001</v>
      </c>
      <c r="R46" s="321">
        <f t="shared" ca="1" si="16"/>
        <v>1.3164666026399998</v>
      </c>
      <c r="S46" s="321">
        <f t="shared" si="17"/>
        <v>1.4367816091954022</v>
      </c>
      <c r="T46" s="321">
        <f t="shared" si="18"/>
        <v>0.25875862068965516</v>
      </c>
      <c r="U46" s="321">
        <f t="shared" ca="1" si="19"/>
        <v>0.50273999999999996</v>
      </c>
      <c r="V46" s="321">
        <f ca="1">IF($G46="ManTech",(SUM($N46:$U46)*(VLOOKUP($L46,$L$9:$X$24,V$6,FALSE))),(IF(R46=0,((SUM(N46,#REF!))*(VLOOKUP($L46,$L$9:$X$24,V$6,FALSE))),(SUM($R46:$R46)*(VLOOKUP($L46,$L$9:$X$24,V$6,FALSE))))))</f>
        <v>5.7545193741923057</v>
      </c>
      <c r="W46" s="321">
        <f t="shared" ca="1" si="20"/>
        <v>68.303643006717365</v>
      </c>
      <c r="X46" s="321">
        <f t="shared" ca="1" si="11"/>
        <v>5.464291440537389</v>
      </c>
      <c r="Y46" s="321">
        <f t="shared" ca="1" si="21"/>
        <v>73.77</v>
      </c>
      <c r="Z46" s="214">
        <f>VLOOKUP(D46,InputSheet!B187:O201,13,FALSE)</f>
        <v>3480</v>
      </c>
      <c r="AA46" s="336">
        <f t="shared" ca="1" si="12"/>
        <v>256719.59999999998</v>
      </c>
      <c r="AB46" s="1036">
        <f t="shared" ca="1" si="22"/>
        <v>885.24</v>
      </c>
      <c r="AC46" s="323"/>
      <c r="AD46" s="323"/>
      <c r="AE46" s="323">
        <f t="shared" ca="1" si="23"/>
        <v>237696.67766337644</v>
      </c>
      <c r="AF46" s="323">
        <f t="shared" ca="1" si="24"/>
        <v>256719.59999999998</v>
      </c>
      <c r="AG46" s="323">
        <f t="shared" ca="1" si="25"/>
        <v>19022.922336623538</v>
      </c>
      <c r="AH46" s="20">
        <f t="shared" ca="1" si="26"/>
        <v>0.08</v>
      </c>
      <c r="AI46" s="323"/>
      <c r="AJ46" s="323"/>
      <c r="AK46" s="323"/>
      <c r="AL46" s="323"/>
      <c r="AM46" s="323"/>
      <c r="AN46" s="323"/>
      <c r="AO46" s="323"/>
      <c r="AP46" s="323"/>
      <c r="AQ46" s="60"/>
      <c r="AR46" s="324"/>
      <c r="AS46" s="325"/>
      <c r="AV46" s="251" t="str">
        <f t="shared" ca="1" si="27"/>
        <v>1</v>
      </c>
      <c r="AW46" s="251" t="str">
        <f t="shared" ca="1" si="28"/>
        <v>1</v>
      </c>
    </row>
    <row r="47" spans="4:49">
      <c r="E47" s="326"/>
      <c r="F47" s="327"/>
      <c r="G47" s="327"/>
      <c r="H47" s="327"/>
      <c r="I47" s="328"/>
      <c r="J47" s="329"/>
      <c r="K47" s="329"/>
      <c r="L47" s="364"/>
      <c r="M47" s="330"/>
      <c r="N47" s="330"/>
      <c r="O47" s="330"/>
      <c r="P47" s="330"/>
      <c r="Q47" s="330"/>
      <c r="R47" s="330"/>
      <c r="S47" s="330"/>
      <c r="T47" s="330"/>
      <c r="U47" s="330"/>
      <c r="V47" s="330"/>
      <c r="W47" s="330"/>
      <c r="X47" s="330"/>
      <c r="Y47" s="330"/>
      <c r="Z47" s="218"/>
      <c r="AA47" s="339"/>
      <c r="AB47" s="1037"/>
      <c r="AC47" s="332"/>
      <c r="AD47" s="332"/>
      <c r="AE47" s="332"/>
      <c r="AF47" s="332"/>
      <c r="AG47" s="332"/>
      <c r="AH47" s="332"/>
      <c r="AI47" s="332"/>
      <c r="AJ47" s="332"/>
      <c r="AK47" s="332"/>
      <c r="AL47" s="332"/>
      <c r="AM47" s="332"/>
      <c r="AN47" s="332"/>
      <c r="AO47" s="332"/>
      <c r="AP47" s="332"/>
      <c r="AQ47" s="332"/>
      <c r="AR47" s="333"/>
      <c r="AS47" s="325"/>
      <c r="AV47" s="251" t="str">
        <f t="shared" si="27"/>
        <v>1</v>
      </c>
      <c r="AW47" s="251" t="str">
        <f t="shared" si="28"/>
        <v>1</v>
      </c>
    </row>
    <row r="48" spans="4:49">
      <c r="E48" s="248"/>
      <c r="F48" s="8"/>
      <c r="G48" s="8"/>
      <c r="H48" s="8"/>
      <c r="I48" s="8"/>
      <c r="J48" s="8"/>
      <c r="K48" s="8"/>
      <c r="L48" s="8"/>
      <c r="M48" s="321"/>
      <c r="N48" s="321"/>
      <c r="O48" s="321"/>
      <c r="P48" s="321"/>
      <c r="Q48" s="321"/>
      <c r="R48" s="321"/>
      <c r="S48" s="321"/>
      <c r="T48" s="321"/>
      <c r="U48" s="321"/>
      <c r="V48" s="321"/>
      <c r="W48" s="321"/>
      <c r="X48" s="321"/>
      <c r="Y48" s="321"/>
      <c r="Z48" s="321"/>
      <c r="AA48" s="321"/>
      <c r="AB48" s="250"/>
      <c r="AC48" s="323"/>
      <c r="AD48" s="323"/>
      <c r="AE48" s="323"/>
      <c r="AF48" s="323"/>
      <c r="AG48" s="323"/>
      <c r="AH48" s="323"/>
      <c r="AI48" s="323"/>
      <c r="AJ48" s="323"/>
      <c r="AK48" s="323"/>
      <c r="AL48" s="323"/>
      <c r="AM48" s="323"/>
      <c r="AN48" s="323"/>
      <c r="AO48" s="323"/>
      <c r="AP48" s="323"/>
      <c r="AQ48" s="60"/>
      <c r="AR48" s="324"/>
      <c r="AS48" s="325"/>
      <c r="AV48" s="251" t="str">
        <f t="shared" si="27"/>
        <v>1</v>
      </c>
      <c r="AW48" s="251" t="str">
        <f t="shared" si="28"/>
        <v>1</v>
      </c>
    </row>
    <row r="49" spans="1:49">
      <c r="E49" s="248"/>
      <c r="F49" s="8"/>
      <c r="G49" s="8"/>
      <c r="H49" s="8"/>
      <c r="I49" s="8"/>
      <c r="J49" s="8"/>
      <c r="K49" s="8"/>
      <c r="L49" s="8"/>
      <c r="M49" s="8"/>
      <c r="N49" s="8"/>
      <c r="O49" s="8"/>
      <c r="P49" s="8"/>
      <c r="Q49" s="8"/>
      <c r="R49" s="8"/>
      <c r="S49" s="8"/>
      <c r="T49" s="8"/>
      <c r="U49" s="8"/>
      <c r="V49" s="8"/>
      <c r="W49" s="8"/>
      <c r="X49" s="8"/>
      <c r="Y49" s="313" t="s">
        <v>647</v>
      </c>
      <c r="Z49" s="334">
        <f>SUBTOTAL(9,Z$31:Z$48)</f>
        <v>52200</v>
      </c>
      <c r="AA49" s="1028">
        <f ca="1">SUBTOTAL(9,AA$31:AA$48)</f>
        <v>4048179.6</v>
      </c>
      <c r="AB49" s="250"/>
      <c r="AC49" s="323"/>
      <c r="AD49" s="323"/>
      <c r="AE49" s="323"/>
      <c r="AF49" s="323"/>
      <c r="AG49" s="323"/>
      <c r="AH49" s="323"/>
      <c r="AI49" s="323"/>
      <c r="AJ49" s="323"/>
      <c r="AK49" s="323"/>
      <c r="AL49" s="323"/>
      <c r="AM49" s="323"/>
      <c r="AN49" s="323"/>
      <c r="AO49" s="323"/>
      <c r="AP49" s="323"/>
      <c r="AQ49" s="60"/>
      <c r="AR49" s="324"/>
      <c r="AS49" s="325"/>
      <c r="AV49" s="251" t="str">
        <f t="shared" si="27"/>
        <v>1</v>
      </c>
      <c r="AW49" s="251" t="str">
        <f t="shared" ca="1" si="28"/>
        <v>1</v>
      </c>
    </row>
    <row r="50" spans="1:49" ht="13.5" thickBot="1">
      <c r="B50" s="8" t="s">
        <v>854</v>
      </c>
      <c r="E50" s="248"/>
      <c r="F50" s="8"/>
      <c r="G50" s="8"/>
      <c r="H50" s="8"/>
      <c r="I50" s="8"/>
      <c r="J50" s="8"/>
      <c r="K50" s="8"/>
      <c r="L50" s="8"/>
      <c r="M50" s="8"/>
      <c r="N50" s="8"/>
      <c r="O50" s="8"/>
      <c r="P50" s="8"/>
      <c r="Q50" s="8"/>
      <c r="R50" s="8"/>
      <c r="S50" s="8"/>
      <c r="T50" s="8"/>
      <c r="U50" s="8"/>
      <c r="V50" s="8"/>
      <c r="W50" s="8"/>
      <c r="X50" s="8"/>
      <c r="Y50" s="313"/>
      <c r="Z50" s="57"/>
      <c r="AA50" s="60"/>
      <c r="AB50" s="250"/>
      <c r="AN50" s="13"/>
      <c r="AO50" s="335"/>
      <c r="AV50" s="251" t="str">
        <f t="shared" si="27"/>
        <v>1</v>
      </c>
      <c r="AW50" s="251" t="str">
        <f t="shared" si="28"/>
        <v>1</v>
      </c>
    </row>
    <row r="51" spans="1:49" s="317" customFormat="1" ht="16.5" thickBot="1">
      <c r="B51" s="919">
        <v>1.4735</v>
      </c>
      <c r="E51" s="240" t="s">
        <v>737</v>
      </c>
      <c r="F51" s="202"/>
      <c r="G51" s="202"/>
      <c r="H51" s="203"/>
      <c r="I51" s="202"/>
      <c r="J51" s="201"/>
      <c r="K51" s="201"/>
      <c r="L51" s="202"/>
      <c r="M51" s="204"/>
      <c r="N51" s="204"/>
      <c r="O51" s="204"/>
      <c r="P51" s="204"/>
      <c r="Q51" s="204"/>
      <c r="R51" s="204"/>
      <c r="S51" s="204"/>
      <c r="T51" s="204"/>
      <c r="U51" s="204"/>
      <c r="V51" s="204"/>
      <c r="W51" s="204"/>
      <c r="X51" s="204"/>
      <c r="Y51" s="204"/>
      <c r="Z51" s="204"/>
      <c r="AA51" s="204"/>
      <c r="AB51" s="1038"/>
      <c r="AC51" s="206"/>
      <c r="AD51" s="206"/>
      <c r="AE51" s="206"/>
      <c r="AF51" s="206"/>
      <c r="AG51" s="206"/>
      <c r="AH51" s="206"/>
      <c r="AI51" s="206"/>
      <c r="AJ51" s="206"/>
      <c r="AK51" s="206"/>
      <c r="AL51" s="206"/>
      <c r="AM51" s="206"/>
      <c r="AN51" s="206"/>
      <c r="AO51" s="206"/>
      <c r="AP51" s="206"/>
      <c r="AQ51" s="206"/>
      <c r="AR51" s="206"/>
      <c r="AS51" s="318"/>
      <c r="AV51" s="251" t="str">
        <f t="shared" si="27"/>
        <v>1</v>
      </c>
      <c r="AW51" s="251" t="str">
        <f t="shared" si="28"/>
        <v>1</v>
      </c>
    </row>
    <row r="52" spans="1:49" s="317" customFormat="1" ht="15.75">
      <c r="B52" s="919"/>
      <c r="E52" s="1059" t="s">
        <v>939</v>
      </c>
      <c r="F52" s="1060"/>
      <c r="G52" s="1060"/>
      <c r="H52" s="1061"/>
      <c r="I52" s="1060"/>
      <c r="J52" s="1062"/>
      <c r="K52" s="1062"/>
      <c r="L52" s="1060"/>
      <c r="M52" s="1063"/>
      <c r="N52" s="1063"/>
      <c r="O52" s="1063"/>
      <c r="P52" s="1063"/>
      <c r="Q52" s="1063"/>
      <c r="R52" s="1063"/>
      <c r="S52" s="1063"/>
      <c r="T52" s="1063"/>
      <c r="U52" s="1063"/>
      <c r="V52" s="1063"/>
      <c r="W52" s="1063"/>
      <c r="X52" s="1063"/>
      <c r="Y52" s="1063"/>
      <c r="Z52" s="1063"/>
      <c r="AA52" s="1063"/>
      <c r="AB52" s="1064"/>
      <c r="AC52" s="1065"/>
      <c r="AD52" s="1065"/>
      <c r="AE52" s="1065"/>
      <c r="AF52" s="1065"/>
      <c r="AG52" s="1065"/>
      <c r="AH52" s="1065"/>
      <c r="AI52" s="1065"/>
      <c r="AJ52" s="1065"/>
      <c r="AK52" s="1065"/>
      <c r="AL52" s="1065"/>
      <c r="AM52" s="1065"/>
      <c r="AN52" s="1065"/>
      <c r="AO52" s="1065"/>
      <c r="AP52" s="1065"/>
      <c r="AQ52" s="1065"/>
      <c r="AR52" s="1065"/>
      <c r="AS52" s="318"/>
      <c r="AV52" s="251"/>
      <c r="AW52" s="251"/>
    </row>
    <row r="53" spans="1:49">
      <c r="A53" s="918">
        <v>275</v>
      </c>
      <c r="B53" s="57">
        <f>B51*A53</f>
        <v>405.21250000000003</v>
      </c>
      <c r="E53" s="832" t="s">
        <v>852</v>
      </c>
      <c r="F53" s="8"/>
      <c r="G53" s="8"/>
      <c r="H53" s="8"/>
      <c r="I53" s="8" t="s">
        <v>853</v>
      </c>
      <c r="J53" s="8"/>
      <c r="K53" s="8"/>
      <c r="L53" s="363" t="s">
        <v>617</v>
      </c>
      <c r="M53" s="336">
        <f>+B53</f>
        <v>405.21250000000003</v>
      </c>
      <c r="N53" s="336">
        <f ca="1">ROUND($M53*(VLOOKUP($L53,$L$9:$X$24,N$6,FALSE)),2)</f>
        <v>405.21</v>
      </c>
      <c r="O53" s="336">
        <f t="shared" ref="O53:Q54" ca="1" si="30">ROUND($N53*(VLOOKUP($L53,$L$9:$X$24,O$6,FALSE)),2)</f>
        <v>0</v>
      </c>
      <c r="P53" s="336">
        <f t="shared" ca="1" si="30"/>
        <v>0</v>
      </c>
      <c r="Q53" s="336">
        <f t="shared" ca="1" si="30"/>
        <v>0</v>
      </c>
      <c r="R53" s="336">
        <f ca="1">ROUND(($N53+$Q53)*(VLOOKUP($L53,$L$9:$X$24,R$6,FALSE)),2)</f>
        <v>0</v>
      </c>
      <c r="S53" s="336">
        <f t="shared" ref="S53:U54" ca="1" si="31">ROUND($N53*(VLOOKUP($L53,$L$9:$X$24,S$6,FALSE)),2)</f>
        <v>0</v>
      </c>
      <c r="T53" s="336">
        <f t="shared" ca="1" si="31"/>
        <v>0</v>
      </c>
      <c r="U53" s="336">
        <f t="shared" ca="1" si="31"/>
        <v>0</v>
      </c>
      <c r="V53" s="336">
        <f ca="1">IF($R53=0,ROUND(SUM($N53:$R53)*(VLOOKUP($L53,$L$9:$X$24,V$6,FALSE)),2),ROUND(SUM($R53:$R53)*(VLOOKUP($L53,$L$9:$X$24,V$6,FALSE)),2))</f>
        <v>37.28</v>
      </c>
      <c r="W53" s="336">
        <f ca="1">SUM(N53:V53)</f>
        <v>442.49</v>
      </c>
      <c r="X53" s="336">
        <f ca="1">ROUND(W53*(VLOOKUP($L53,$L$9:$X$24,X$6,FALSE)),2)</f>
        <v>35.4</v>
      </c>
      <c r="Y53" s="336">
        <f ca="1">SUM(W53:X53)</f>
        <v>477.89</v>
      </c>
      <c r="Z53" s="214">
        <v>1</v>
      </c>
      <c r="AA53" s="336">
        <f ca="1">$Y53*$Z53</f>
        <v>477.89</v>
      </c>
      <c r="AB53" s="250"/>
      <c r="AC53" s="337"/>
      <c r="AD53" s="337"/>
      <c r="AE53" s="323">
        <f ca="1">W53*Z53</f>
        <v>442.49</v>
      </c>
      <c r="AF53" s="323">
        <f ca="1">Y53*Z53</f>
        <v>477.89</v>
      </c>
      <c r="AG53" s="323">
        <f ca="1">AF53-AE53</f>
        <v>35.399999999999977</v>
      </c>
      <c r="AH53" s="20">
        <f ca="1">IF(AG53=0,0,ROUND(AG53/AE53,2))</f>
        <v>0.08</v>
      </c>
      <c r="AI53" s="337"/>
      <c r="AJ53" s="337"/>
      <c r="AK53" s="337"/>
      <c r="AL53" s="337"/>
      <c r="AM53" s="337"/>
      <c r="AN53" s="323"/>
      <c r="AO53" s="337"/>
      <c r="AP53" s="323"/>
      <c r="AQ53" s="60"/>
      <c r="AR53" s="324"/>
      <c r="AS53" s="325"/>
      <c r="AV53" s="251" t="str">
        <f t="shared" ca="1" si="27"/>
        <v>1</v>
      </c>
      <c r="AW53" s="251" t="str">
        <f t="shared" ca="1" si="28"/>
        <v>1</v>
      </c>
    </row>
    <row r="54" spans="1:49">
      <c r="A54" s="918"/>
      <c r="B54" s="57"/>
      <c r="E54" s="832" t="s">
        <v>917</v>
      </c>
      <c r="F54" s="8"/>
      <c r="G54" s="8"/>
      <c r="H54" s="8"/>
      <c r="I54" s="8"/>
      <c r="J54" s="8"/>
      <c r="K54" s="8"/>
      <c r="L54" s="363" t="s">
        <v>617</v>
      </c>
      <c r="M54" s="336">
        <f>'Travel - Year 1'!P18</f>
        <v>1048</v>
      </c>
      <c r="N54" s="336">
        <f ca="1">ROUND($M54*(VLOOKUP($L54,$L$9:$X$24,N$6,FALSE)),2)</f>
        <v>1048</v>
      </c>
      <c r="O54" s="336">
        <f t="shared" ca="1" si="30"/>
        <v>0</v>
      </c>
      <c r="P54" s="336">
        <f t="shared" ca="1" si="30"/>
        <v>0</v>
      </c>
      <c r="Q54" s="336">
        <f t="shared" ca="1" si="30"/>
        <v>0</v>
      </c>
      <c r="R54" s="336">
        <f ca="1">ROUND(($N54+$Q54)*(VLOOKUP($L54,$L$9:$X$24,R$6,FALSE)),2)</f>
        <v>0</v>
      </c>
      <c r="S54" s="336">
        <f t="shared" ca="1" si="31"/>
        <v>0</v>
      </c>
      <c r="T54" s="336">
        <f t="shared" ca="1" si="31"/>
        <v>0</v>
      </c>
      <c r="U54" s="336">
        <f t="shared" ca="1" si="31"/>
        <v>0</v>
      </c>
      <c r="V54" s="336">
        <f ca="1">IF($R54=0,ROUND(SUM($N54:$R54)*(VLOOKUP($L54,$L$9:$X$24,V$6,FALSE)),2),ROUND(SUM($R54:$R54)*(VLOOKUP($L54,$L$9:$X$24,V$6,FALSE)),2))</f>
        <v>96.42</v>
      </c>
      <c r="W54" s="336">
        <f ca="1">SUM(N54:V54)</f>
        <v>1144.42</v>
      </c>
      <c r="X54" s="336">
        <f ca="1">ROUND(W54*(VLOOKUP($L54,$L$9:$X$24,X$6,FALSE)),2)</f>
        <v>91.55</v>
      </c>
      <c r="Y54" s="336">
        <f ca="1">SUM(W54:X54)</f>
        <v>1235.97</v>
      </c>
      <c r="Z54" s="214">
        <v>1</v>
      </c>
      <c r="AA54" s="336">
        <f ca="1">$Y54*$Z54</f>
        <v>1235.97</v>
      </c>
      <c r="AB54" s="250"/>
      <c r="AC54" s="337"/>
      <c r="AD54" s="337"/>
      <c r="AE54" s="323">
        <f ca="1">W54*Z54</f>
        <v>1144.42</v>
      </c>
      <c r="AF54" s="323">
        <f ca="1">Y54*Z54</f>
        <v>1235.97</v>
      </c>
      <c r="AG54" s="323">
        <f ca="1">AF54-AE54</f>
        <v>91.549999999999955</v>
      </c>
      <c r="AH54" s="20">
        <f ca="1">IF(AG54=0,0,ROUND(AG54/AE54,2))</f>
        <v>0.08</v>
      </c>
      <c r="AI54" s="337"/>
      <c r="AJ54" s="337"/>
      <c r="AK54" s="337"/>
      <c r="AL54" s="337"/>
      <c r="AM54" s="337"/>
      <c r="AN54" s="323"/>
      <c r="AO54" s="337"/>
      <c r="AP54" s="323"/>
      <c r="AQ54" s="60"/>
      <c r="AR54" s="324"/>
      <c r="AS54" s="325"/>
      <c r="AV54" s="251" t="str">
        <f ca="1">IF((OR((Y54=""),(Y54&gt;0))),"1","0")</f>
        <v>1</v>
      </c>
      <c r="AW54" s="251" t="str">
        <f ca="1">IF((OR((AA54=""),(AA54&gt;0))),"1","0")</f>
        <v>1</v>
      </c>
    </row>
    <row r="55" spans="1:49">
      <c r="A55" s="918"/>
      <c r="B55" s="57"/>
      <c r="E55" s="832"/>
      <c r="F55" s="8"/>
      <c r="G55" s="8"/>
      <c r="H55" s="8"/>
      <c r="I55" s="8"/>
      <c r="J55" s="8"/>
      <c r="K55" s="8"/>
      <c r="L55" s="363"/>
      <c r="M55" s="336"/>
      <c r="N55" s="336"/>
      <c r="O55" s="336"/>
      <c r="P55" s="336"/>
      <c r="Q55" s="336"/>
      <c r="R55" s="336"/>
      <c r="S55" s="336"/>
      <c r="T55" s="336"/>
      <c r="U55" s="336"/>
      <c r="V55" s="336"/>
      <c r="W55" s="336"/>
      <c r="X55" s="336"/>
      <c r="Y55" s="336" t="s">
        <v>942</v>
      </c>
      <c r="Z55" s="214"/>
      <c r="AA55" s="336">
        <f ca="1">SUBTOTAL(9,AA53:AA54)</f>
        <v>1713.8600000000001</v>
      </c>
      <c r="AB55" s="250"/>
      <c r="AC55" s="337"/>
      <c r="AD55" s="337"/>
      <c r="AE55" s="323"/>
      <c r="AF55" s="323"/>
      <c r="AG55" s="323"/>
      <c r="AH55" s="20"/>
      <c r="AI55" s="337"/>
      <c r="AJ55" s="337"/>
      <c r="AK55" s="337"/>
      <c r="AL55" s="337"/>
      <c r="AM55" s="337"/>
      <c r="AN55" s="323"/>
      <c r="AO55" s="337"/>
      <c r="AP55" s="323"/>
      <c r="AQ55" s="60"/>
      <c r="AR55" s="324"/>
      <c r="AS55" s="325"/>
    </row>
    <row r="56" spans="1:49" ht="15.75">
      <c r="A56" s="918"/>
      <c r="B56" s="57"/>
      <c r="E56" s="1059" t="s">
        <v>940</v>
      </c>
      <c r="F56" s="1060"/>
      <c r="G56" s="1060"/>
      <c r="H56" s="1061"/>
      <c r="I56" s="1060"/>
      <c r="J56" s="1062"/>
      <c r="K56" s="1062"/>
      <c r="L56" s="1060"/>
      <c r="M56" s="1063"/>
      <c r="N56" s="1063"/>
      <c r="O56" s="1063"/>
      <c r="P56" s="1063"/>
      <c r="Q56" s="1063"/>
      <c r="R56" s="1063"/>
      <c r="S56" s="1063"/>
      <c r="T56" s="1063"/>
      <c r="U56" s="1063"/>
      <c r="V56" s="1063"/>
      <c r="W56" s="1063"/>
      <c r="X56" s="1063"/>
      <c r="Y56" s="1063"/>
      <c r="Z56" s="1063"/>
      <c r="AA56" s="1063"/>
      <c r="AB56" s="1064"/>
      <c r="AC56" s="337"/>
      <c r="AD56" s="337"/>
      <c r="AE56" s="323"/>
      <c r="AF56" s="323"/>
      <c r="AG56" s="323"/>
      <c r="AH56" s="20"/>
      <c r="AI56" s="337"/>
      <c r="AJ56" s="337"/>
      <c r="AK56" s="337"/>
      <c r="AL56" s="337"/>
      <c r="AM56" s="337"/>
      <c r="AN56" s="323"/>
      <c r="AO56" s="337"/>
      <c r="AP56" s="323"/>
      <c r="AQ56" s="60"/>
      <c r="AR56" s="324"/>
      <c r="AS56" s="325"/>
    </row>
    <row r="57" spans="1:49">
      <c r="A57" s="918"/>
      <c r="B57" s="57"/>
      <c r="E57" s="832" t="s">
        <v>915</v>
      </c>
      <c r="F57" s="8"/>
      <c r="G57" s="8"/>
      <c r="H57" s="8"/>
      <c r="I57" s="8"/>
      <c r="J57" s="8"/>
      <c r="K57" s="8"/>
      <c r="L57" s="363" t="s">
        <v>617</v>
      </c>
      <c r="M57" s="336">
        <f>'Travel - Year 1'!P16</f>
        <v>3011</v>
      </c>
      <c r="N57" s="336">
        <f ca="1">ROUND($M57*(VLOOKUP($L57,$L$9:$X$24,N$6,FALSE)),2)</f>
        <v>3011</v>
      </c>
      <c r="O57" s="336">
        <f t="shared" ref="O57:Q59" ca="1" si="32">ROUND($N57*(VLOOKUP($L57,$L$9:$X$24,O$6,FALSE)),2)</f>
        <v>0</v>
      </c>
      <c r="P57" s="336">
        <f t="shared" ca="1" si="32"/>
        <v>0</v>
      </c>
      <c r="Q57" s="336">
        <f t="shared" ca="1" si="32"/>
        <v>0</v>
      </c>
      <c r="R57" s="336">
        <f ca="1">ROUND(($N57+$Q57)*(VLOOKUP($L57,$L$9:$X$24,R$6,FALSE)),2)</f>
        <v>0</v>
      </c>
      <c r="S57" s="336">
        <f t="shared" ref="S57:U59" ca="1" si="33">ROUND($N57*(VLOOKUP($L57,$L$9:$X$24,S$6,FALSE)),2)</f>
        <v>0</v>
      </c>
      <c r="T57" s="336">
        <f t="shared" ca="1" si="33"/>
        <v>0</v>
      </c>
      <c r="U57" s="336">
        <f t="shared" ca="1" si="33"/>
        <v>0</v>
      </c>
      <c r="V57" s="336">
        <f ca="1">IF($R57=0,ROUND(SUM($N57:$R57)*(VLOOKUP($L57,$L$9:$X$24,V$6,FALSE)),2),ROUND(SUM($R57:$R57)*(VLOOKUP($L57,$L$9:$X$24,V$6,FALSE)),2))</f>
        <v>277.01</v>
      </c>
      <c r="W57" s="336">
        <f ca="1">SUM(N57:V57)</f>
        <v>3288.01</v>
      </c>
      <c r="X57" s="336">
        <f ca="1">ROUND(W57*(VLOOKUP($L57,$L$9:$X$24,X$6,FALSE)),2)</f>
        <v>263.04000000000002</v>
      </c>
      <c r="Y57" s="336">
        <f ca="1">SUM(W57:X57)</f>
        <v>3551.05</v>
      </c>
      <c r="Z57" s="214">
        <v>1</v>
      </c>
      <c r="AA57" s="336">
        <f ca="1">$Y57*$Z57</f>
        <v>3551.05</v>
      </c>
      <c r="AB57" s="250"/>
      <c r="AC57" s="337"/>
      <c r="AD57" s="337"/>
      <c r="AE57" s="323">
        <f ca="1">W57*Z57</f>
        <v>3288.01</v>
      </c>
      <c r="AF57" s="323">
        <f ca="1">Y57*Z57</f>
        <v>3551.05</v>
      </c>
      <c r="AG57" s="323">
        <f ca="1">AF57-AE57</f>
        <v>263.03999999999996</v>
      </c>
      <c r="AH57" s="20">
        <f ca="1">IF(AG57=0,0,ROUND(AG57/AE57,2))</f>
        <v>0.08</v>
      </c>
      <c r="AI57" s="337"/>
      <c r="AJ57" s="337"/>
      <c r="AK57" s="337"/>
      <c r="AL57" s="337"/>
      <c r="AM57" s="337"/>
      <c r="AN57" s="323"/>
      <c r="AO57" s="337"/>
      <c r="AP57" s="323"/>
      <c r="AQ57" s="60"/>
      <c r="AR57" s="324"/>
      <c r="AS57" s="325"/>
      <c r="AV57" s="251" t="str">
        <f ca="1">IF((OR((Y57=""),(Y57&gt;0))),"1","0")</f>
        <v>1</v>
      </c>
      <c r="AW57" s="251" t="str">
        <f ca="1">IF((OR((AA57=""),(AA57&gt;0))),"1","0")</f>
        <v>1</v>
      </c>
    </row>
    <row r="58" spans="1:49">
      <c r="A58" s="918"/>
      <c r="B58" s="57"/>
      <c r="E58" s="832" t="s">
        <v>916</v>
      </c>
      <c r="F58" s="8"/>
      <c r="G58" s="8"/>
      <c r="H58" s="8"/>
      <c r="I58" s="8"/>
      <c r="J58" s="8"/>
      <c r="K58" s="8"/>
      <c r="L58" s="363" t="s">
        <v>617</v>
      </c>
      <c r="M58" s="336">
        <f>'Travel - Year 1'!P17</f>
        <v>3078</v>
      </c>
      <c r="N58" s="336">
        <f ca="1">ROUND($M58*(VLOOKUP($L58,$L$9:$X$24,N$6,FALSE)),2)</f>
        <v>3078</v>
      </c>
      <c r="O58" s="336">
        <f t="shared" ca="1" si="32"/>
        <v>0</v>
      </c>
      <c r="P58" s="336">
        <f t="shared" ca="1" si="32"/>
        <v>0</v>
      </c>
      <c r="Q58" s="336">
        <f t="shared" ca="1" si="32"/>
        <v>0</v>
      </c>
      <c r="R58" s="336">
        <f ca="1">ROUND(($N58+$Q58)*(VLOOKUP($L58,$L$9:$X$24,R$6,FALSE)),2)</f>
        <v>0</v>
      </c>
      <c r="S58" s="336">
        <f t="shared" ca="1" si="33"/>
        <v>0</v>
      </c>
      <c r="T58" s="336">
        <f t="shared" ca="1" si="33"/>
        <v>0</v>
      </c>
      <c r="U58" s="336">
        <f t="shared" ca="1" si="33"/>
        <v>0</v>
      </c>
      <c r="V58" s="336">
        <f ca="1">IF($R58=0,ROUND(SUM($N58:$R58)*(VLOOKUP($L58,$L$9:$X$24,V$6,FALSE)),2),ROUND(SUM($R58:$R58)*(VLOOKUP($L58,$L$9:$X$24,V$6,FALSE)),2))</f>
        <v>283.18</v>
      </c>
      <c r="W58" s="336">
        <f ca="1">SUM(N58:V58)</f>
        <v>3361.18</v>
      </c>
      <c r="X58" s="336">
        <f ca="1">ROUND(W58*(VLOOKUP($L58,$L$9:$X$24,X$6,FALSE)),2)</f>
        <v>268.89</v>
      </c>
      <c r="Y58" s="336">
        <f ca="1">SUM(W58:X58)</f>
        <v>3630.0699999999997</v>
      </c>
      <c r="Z58" s="214">
        <v>1</v>
      </c>
      <c r="AA58" s="336">
        <f ca="1">$Y58*$Z58</f>
        <v>3630.0699999999997</v>
      </c>
      <c r="AB58" s="250"/>
      <c r="AC58" s="337"/>
      <c r="AD58" s="337"/>
      <c r="AE58" s="323">
        <f ca="1">W58*Z58</f>
        <v>3361.18</v>
      </c>
      <c r="AF58" s="323">
        <f ca="1">Y58*Z58</f>
        <v>3630.0699999999997</v>
      </c>
      <c r="AG58" s="323">
        <f ca="1">AF58-AE58</f>
        <v>268.88999999999987</v>
      </c>
      <c r="AH58" s="20">
        <f ca="1">IF(AG58=0,0,ROUND(AG58/AE58,2))</f>
        <v>0.08</v>
      </c>
      <c r="AI58" s="337"/>
      <c r="AJ58" s="337"/>
      <c r="AK58" s="337"/>
      <c r="AL58" s="337"/>
      <c r="AM58" s="337"/>
      <c r="AN58" s="323"/>
      <c r="AO58" s="337"/>
      <c r="AP58" s="323"/>
      <c r="AQ58" s="60"/>
      <c r="AR58" s="324"/>
      <c r="AS58" s="325"/>
      <c r="AV58" s="251" t="str">
        <f ca="1">IF((OR((Y58=""),(Y58&gt;0))),"1","0")</f>
        <v>1</v>
      </c>
      <c r="AW58" s="251" t="str">
        <f ca="1">IF((OR((AA58=""),(AA58&gt;0))),"1","0")</f>
        <v>1</v>
      </c>
    </row>
    <row r="59" spans="1:49">
      <c r="A59" s="918"/>
      <c r="B59" s="57"/>
      <c r="E59" s="832" t="s">
        <v>918</v>
      </c>
      <c r="F59" s="8"/>
      <c r="G59" s="8"/>
      <c r="H59" s="8"/>
      <c r="I59" s="8"/>
      <c r="J59" s="8"/>
      <c r="K59" s="8"/>
      <c r="L59" s="363" t="s">
        <v>617</v>
      </c>
      <c r="M59" s="336" t="e">
        <f>'Travel - Year 1'!#REF!</f>
        <v>#REF!</v>
      </c>
      <c r="N59" s="336" t="e">
        <f ca="1">ROUND($M59*(VLOOKUP($L59,$L$9:$X$24,N$6,FALSE)),2)</f>
        <v>#REF!</v>
      </c>
      <c r="O59" s="336" t="e">
        <f t="shared" ca="1" si="32"/>
        <v>#REF!</v>
      </c>
      <c r="P59" s="336" t="e">
        <f t="shared" ca="1" si="32"/>
        <v>#REF!</v>
      </c>
      <c r="Q59" s="336" t="e">
        <f t="shared" ca="1" si="32"/>
        <v>#REF!</v>
      </c>
      <c r="R59" s="336" t="e">
        <f ca="1">ROUND(($N59+$Q59)*(VLOOKUP($L59,$L$9:$X$24,R$6,FALSE)),2)</f>
        <v>#REF!</v>
      </c>
      <c r="S59" s="336" t="e">
        <f t="shared" ca="1" si="33"/>
        <v>#REF!</v>
      </c>
      <c r="T59" s="336" t="e">
        <f t="shared" ca="1" si="33"/>
        <v>#REF!</v>
      </c>
      <c r="U59" s="336" t="e">
        <f t="shared" ca="1" si="33"/>
        <v>#REF!</v>
      </c>
      <c r="V59" s="336" t="e">
        <f ca="1">IF($R59=0,ROUND(SUM($N59:$R59)*(VLOOKUP($L59,$L$9:$X$24,V$6,FALSE)),2),ROUND(SUM($R59:$R59)*(VLOOKUP($L59,$L$9:$X$24,V$6,FALSE)),2))</f>
        <v>#REF!</v>
      </c>
      <c r="W59" s="336" t="e">
        <f ca="1">SUM(N59:V59)</f>
        <v>#REF!</v>
      </c>
      <c r="X59" s="336" t="e">
        <f ca="1">ROUND(W59*(VLOOKUP($L59,$L$9:$X$24,X$6,FALSE)),2)</f>
        <v>#REF!</v>
      </c>
      <c r="Y59" s="336" t="e">
        <f ca="1">SUM(W59:X59)</f>
        <v>#REF!</v>
      </c>
      <c r="Z59" s="214">
        <v>1</v>
      </c>
      <c r="AA59" s="336" t="e">
        <f ca="1">$Y59*$Z59</f>
        <v>#REF!</v>
      </c>
      <c r="AB59" s="250"/>
      <c r="AC59" s="337"/>
      <c r="AD59" s="337"/>
      <c r="AE59" s="323" t="e">
        <f ca="1">W59*Z59</f>
        <v>#REF!</v>
      </c>
      <c r="AF59" s="323" t="e">
        <f ca="1">Y59*Z59</f>
        <v>#REF!</v>
      </c>
      <c r="AG59" s="323" t="e">
        <f ca="1">AF59-AE59</f>
        <v>#REF!</v>
      </c>
      <c r="AH59" s="20" t="e">
        <f ca="1">IF(AG59=0,0,ROUND(AG59/AE59,2))</f>
        <v>#REF!</v>
      </c>
      <c r="AI59" s="337"/>
      <c r="AJ59" s="337"/>
      <c r="AK59" s="337"/>
      <c r="AL59" s="337"/>
      <c r="AM59" s="337"/>
      <c r="AN59" s="323"/>
      <c r="AO59" s="337"/>
      <c r="AP59" s="323"/>
      <c r="AQ59" s="60"/>
      <c r="AR59" s="324"/>
      <c r="AS59" s="325"/>
      <c r="AV59" s="251" t="e">
        <f ca="1">IF((OR((Y59=""),(Y59&gt;0))),"1","0")</f>
        <v>#REF!</v>
      </c>
      <c r="AW59" s="251" t="e">
        <f ca="1">IF((OR((AA59=""),(AA59&gt;0))),"1","0")</f>
        <v>#REF!</v>
      </c>
    </row>
    <row r="60" spans="1:49">
      <c r="A60" s="918"/>
      <c r="B60" s="57"/>
      <c r="E60" s="832"/>
      <c r="F60" s="8"/>
      <c r="G60" s="8"/>
      <c r="H60" s="8"/>
      <c r="I60" s="8"/>
      <c r="J60" s="8"/>
      <c r="K60" s="8"/>
      <c r="L60" s="363"/>
      <c r="M60" s="336"/>
      <c r="N60" s="336"/>
      <c r="O60" s="336"/>
      <c r="P60" s="336"/>
      <c r="Q60" s="336"/>
      <c r="R60" s="336"/>
      <c r="S60" s="336"/>
      <c r="T60" s="336"/>
      <c r="U60" s="336"/>
      <c r="V60" s="336"/>
      <c r="W60" s="336"/>
      <c r="X60" s="336"/>
      <c r="Y60" s="336" t="s">
        <v>942</v>
      </c>
      <c r="Z60" s="214"/>
      <c r="AA60" s="336" t="e">
        <f ca="1">SUBTOTAL(9,AA57:AA59)</f>
        <v>#REF!</v>
      </c>
      <c r="AB60" s="250"/>
      <c r="AC60" s="337"/>
      <c r="AD60" s="337"/>
      <c r="AE60" s="323"/>
      <c r="AF60" s="323"/>
      <c r="AG60" s="323"/>
      <c r="AH60" s="20"/>
      <c r="AI60" s="337"/>
      <c r="AJ60" s="337"/>
      <c r="AK60" s="337"/>
      <c r="AL60" s="337"/>
      <c r="AM60" s="337"/>
      <c r="AN60" s="323"/>
      <c r="AO60" s="337"/>
      <c r="AP60" s="323"/>
      <c r="AQ60" s="60"/>
      <c r="AR60" s="324"/>
      <c r="AS60" s="325"/>
    </row>
    <row r="61" spans="1:49" ht="15.75">
      <c r="E61" s="1059" t="s">
        <v>941</v>
      </c>
      <c r="F61" s="1060"/>
      <c r="G61" s="1060"/>
      <c r="H61" s="1061"/>
      <c r="I61" s="1060"/>
      <c r="J61" s="1062"/>
      <c r="K61" s="1062"/>
      <c r="L61" s="1060"/>
      <c r="M61" s="1063"/>
      <c r="N61" s="1063"/>
      <c r="O61" s="1063"/>
      <c r="P61" s="1063"/>
      <c r="Q61" s="1063"/>
      <c r="R61" s="1063"/>
      <c r="S61" s="1063"/>
      <c r="T61" s="1063"/>
      <c r="U61" s="1063"/>
      <c r="V61" s="1063"/>
      <c r="W61" s="1063"/>
      <c r="X61" s="1063"/>
      <c r="Y61" s="1063"/>
      <c r="Z61" s="1063"/>
      <c r="AA61" s="1063"/>
      <c r="AB61" s="1064"/>
      <c r="AC61" s="337"/>
      <c r="AD61" s="337"/>
      <c r="AE61" s="323"/>
      <c r="AF61" s="323"/>
      <c r="AG61" s="323"/>
      <c r="AH61" s="20"/>
      <c r="AI61" s="337"/>
      <c r="AJ61" s="337"/>
      <c r="AK61" s="337"/>
      <c r="AL61" s="337"/>
      <c r="AM61" s="337"/>
      <c r="AN61" s="323"/>
      <c r="AO61" s="337"/>
      <c r="AP61" s="323"/>
      <c r="AQ61" s="60"/>
      <c r="AR61" s="324"/>
      <c r="AS61" s="325"/>
    </row>
    <row r="62" spans="1:49">
      <c r="E62" s="832" t="s">
        <v>912</v>
      </c>
      <c r="F62" s="8"/>
      <c r="G62" s="8"/>
      <c r="H62" s="8"/>
      <c r="I62" s="8"/>
      <c r="J62" s="8"/>
      <c r="K62" s="8"/>
      <c r="L62" s="363" t="s">
        <v>617</v>
      </c>
      <c r="M62" s="336">
        <f>'[6]Service Quote'!$E$23</f>
        <v>499.95</v>
      </c>
      <c r="N62" s="336">
        <f ca="1">ROUND($M62*(VLOOKUP($L62,$L$9:$X$24,N$6,FALSE)),2)</f>
        <v>499.95</v>
      </c>
      <c r="O62" s="336">
        <f t="shared" ref="O62:Q64" ca="1" si="34">ROUND($N62*(VLOOKUP($L62,$L$9:$X$24,O$6,FALSE)),2)</f>
        <v>0</v>
      </c>
      <c r="P62" s="336">
        <f t="shared" ca="1" si="34"/>
        <v>0</v>
      </c>
      <c r="Q62" s="336">
        <f t="shared" ca="1" si="34"/>
        <v>0</v>
      </c>
      <c r="R62" s="336">
        <f ca="1">ROUND(($N62+$Q62)*(VLOOKUP($L62,$L$9:$X$24,R$6,FALSE)),2)</f>
        <v>0</v>
      </c>
      <c r="S62" s="336">
        <f t="shared" ref="S62:U64" ca="1" si="35">ROUND($N62*(VLOOKUP($L62,$L$9:$X$24,S$6,FALSE)),2)</f>
        <v>0</v>
      </c>
      <c r="T62" s="336">
        <f t="shared" ca="1" si="35"/>
        <v>0</v>
      </c>
      <c r="U62" s="336">
        <f t="shared" ca="1" si="35"/>
        <v>0</v>
      </c>
      <c r="V62" s="336">
        <f ca="1">IF($R62=0,ROUND(SUM($N62:$R62)*(VLOOKUP($L62,$L$9:$X$24,V$6,FALSE)),2),ROUND(SUM($R62:$R62)*(VLOOKUP($L62,$L$9:$X$24,V$6,FALSE)),2))</f>
        <v>46</v>
      </c>
      <c r="W62" s="336">
        <f ca="1">SUM(N62:V62)</f>
        <v>545.95000000000005</v>
      </c>
      <c r="X62" s="336">
        <f ca="1">ROUND(W62*(VLOOKUP($L62,$L$9:$X$24,X$6,FALSE)),2)</f>
        <v>43.68</v>
      </c>
      <c r="Y62" s="336">
        <f ca="1">SUM(W62:X62)</f>
        <v>589.63</v>
      </c>
      <c r="Z62" s="214">
        <v>1</v>
      </c>
      <c r="AA62" s="336">
        <f ca="1">$Y62*$Z62</f>
        <v>589.63</v>
      </c>
      <c r="AB62" s="250"/>
      <c r="AC62" s="337"/>
      <c r="AD62" s="337"/>
      <c r="AE62" s="323">
        <f ca="1">W62*Z62</f>
        <v>545.95000000000005</v>
      </c>
      <c r="AF62" s="323">
        <f ca="1">Y62*Z62</f>
        <v>589.63</v>
      </c>
      <c r="AG62" s="323">
        <f ca="1">AF62-AE62</f>
        <v>43.67999999999995</v>
      </c>
      <c r="AH62" s="20">
        <f ca="1">IF(AG62=0,0,ROUND(AG62/AE62,2))</f>
        <v>0.08</v>
      </c>
      <c r="AI62" s="337"/>
      <c r="AJ62" s="337"/>
      <c r="AK62" s="337"/>
      <c r="AL62" s="337"/>
      <c r="AM62" s="337"/>
      <c r="AN62" s="323"/>
      <c r="AO62" s="337"/>
      <c r="AP62" s="323"/>
      <c r="AQ62" s="60"/>
      <c r="AR62" s="324"/>
      <c r="AS62" s="325"/>
      <c r="AV62" s="251" t="str">
        <f ca="1">IF((OR((Y62=""),(Y62&gt;0))),"1","0")</f>
        <v>1</v>
      </c>
      <c r="AW62" s="251" t="str">
        <f ca="1">IF((OR((AA62=""),(AA62&gt;0))),"1","0")</f>
        <v>1</v>
      </c>
    </row>
    <row r="63" spans="1:49">
      <c r="E63" s="832" t="s">
        <v>913</v>
      </c>
      <c r="F63" s="8"/>
      <c r="G63" s="8"/>
      <c r="H63" s="8"/>
      <c r="I63" s="8"/>
      <c r="J63" s="8"/>
      <c r="K63" s="8"/>
      <c r="L63" s="363" t="s">
        <v>617</v>
      </c>
      <c r="M63" s="336">
        <f>'[6]Service Quote'!$E$26</f>
        <v>359</v>
      </c>
      <c r="N63" s="336">
        <f ca="1">ROUND($M63*(VLOOKUP($L63,$L$9:$X$24,N$6,FALSE)),2)</f>
        <v>359</v>
      </c>
      <c r="O63" s="336">
        <f t="shared" ca="1" si="34"/>
        <v>0</v>
      </c>
      <c r="P63" s="336">
        <f t="shared" ca="1" si="34"/>
        <v>0</v>
      </c>
      <c r="Q63" s="336">
        <f t="shared" ca="1" si="34"/>
        <v>0</v>
      </c>
      <c r="R63" s="336">
        <f ca="1">ROUND(($N63+$Q63)*(VLOOKUP($L63,$L$9:$X$24,R$6,FALSE)),2)</f>
        <v>0</v>
      </c>
      <c r="S63" s="336">
        <f t="shared" ca="1" si="35"/>
        <v>0</v>
      </c>
      <c r="T63" s="336">
        <f t="shared" ca="1" si="35"/>
        <v>0</v>
      </c>
      <c r="U63" s="336">
        <f t="shared" ca="1" si="35"/>
        <v>0</v>
      </c>
      <c r="V63" s="336">
        <f ca="1">IF($R63=0,ROUND(SUM($N63:$R63)*(VLOOKUP($L63,$L$9:$X$24,V$6,FALSE)),2),ROUND(SUM($R63:$R63)*(VLOOKUP($L63,$L$9:$X$24,V$6,FALSE)),2))</f>
        <v>33.03</v>
      </c>
      <c r="W63" s="336">
        <f ca="1">SUM(N63:V63)</f>
        <v>392.03</v>
      </c>
      <c r="X63" s="336">
        <f ca="1">ROUND(W63*(VLOOKUP($L63,$L$9:$X$24,X$6,FALSE)),2)</f>
        <v>31.36</v>
      </c>
      <c r="Y63" s="336">
        <f ca="1">SUM(W63:X63)</f>
        <v>423.39</v>
      </c>
      <c r="Z63" s="214">
        <v>1</v>
      </c>
      <c r="AA63" s="336">
        <f ca="1">$Y63*$Z63</f>
        <v>423.39</v>
      </c>
      <c r="AB63" s="250"/>
      <c r="AC63" s="337"/>
      <c r="AD63" s="337"/>
      <c r="AE63" s="323">
        <f ca="1">W63*Z63</f>
        <v>392.03</v>
      </c>
      <c r="AF63" s="323">
        <f ca="1">Y63*Z63</f>
        <v>423.39</v>
      </c>
      <c r="AG63" s="323">
        <f ca="1">AF63-AE63</f>
        <v>31.360000000000014</v>
      </c>
      <c r="AH63" s="20">
        <f ca="1">IF(AG63=0,0,ROUND(AG63/AE63,2))</f>
        <v>0.08</v>
      </c>
      <c r="AI63" s="337"/>
      <c r="AJ63" s="337"/>
      <c r="AK63" s="337"/>
      <c r="AL63" s="337"/>
      <c r="AM63" s="337"/>
      <c r="AN63" s="323"/>
      <c r="AO63" s="337"/>
      <c r="AP63" s="323"/>
      <c r="AQ63" s="60"/>
      <c r="AR63" s="324"/>
      <c r="AS63" s="325"/>
      <c r="AV63" s="251" t="str">
        <f ca="1">IF((OR((Y63=""),(Y63&gt;0))),"1","0")</f>
        <v>1</v>
      </c>
      <c r="AW63" s="251" t="str">
        <f ca="1">IF((OR((AA63=""),(AA63&gt;0))),"1","0")</f>
        <v>1</v>
      </c>
    </row>
    <row r="64" spans="1:49">
      <c r="E64" s="832" t="s">
        <v>914</v>
      </c>
      <c r="F64" s="8"/>
      <c r="G64" s="8"/>
      <c r="H64" s="8"/>
      <c r="I64" s="8"/>
      <c r="J64" s="8"/>
      <c r="K64" s="8"/>
      <c r="L64" s="363" t="s">
        <v>617</v>
      </c>
      <c r="M64" s="336">
        <f>'[6]Service Quote'!$E$29</f>
        <v>199.95</v>
      </c>
      <c r="N64" s="336">
        <f ca="1">ROUND($M64*(VLOOKUP($L64,$L$9:$X$24,N$6,FALSE)),2)</f>
        <v>199.95</v>
      </c>
      <c r="O64" s="336">
        <f t="shared" ca="1" si="34"/>
        <v>0</v>
      </c>
      <c r="P64" s="336">
        <f t="shared" ca="1" si="34"/>
        <v>0</v>
      </c>
      <c r="Q64" s="336">
        <f t="shared" ca="1" si="34"/>
        <v>0</v>
      </c>
      <c r="R64" s="336">
        <f ca="1">ROUND(($N64+$Q64)*(VLOOKUP($L64,$L$9:$X$24,R$6,FALSE)),2)</f>
        <v>0</v>
      </c>
      <c r="S64" s="336">
        <f t="shared" ca="1" si="35"/>
        <v>0</v>
      </c>
      <c r="T64" s="336">
        <f t="shared" ca="1" si="35"/>
        <v>0</v>
      </c>
      <c r="U64" s="336">
        <f t="shared" ca="1" si="35"/>
        <v>0</v>
      </c>
      <c r="V64" s="336">
        <f ca="1">IF($R64=0,ROUND(SUM($N64:$R64)*(VLOOKUP($L64,$L$9:$X$24,V$6,FALSE)),2),ROUND(SUM($R64:$R64)*(VLOOKUP($L64,$L$9:$X$24,V$6,FALSE)),2))</f>
        <v>18.399999999999999</v>
      </c>
      <c r="W64" s="336">
        <f ca="1">SUM(N64:V64)</f>
        <v>218.35</v>
      </c>
      <c r="X64" s="336">
        <f ca="1">ROUND(W64*(VLOOKUP($L64,$L$9:$X$24,X$6,FALSE)),2)</f>
        <v>17.47</v>
      </c>
      <c r="Y64" s="336">
        <f ca="1">SUM(W64:X64)</f>
        <v>235.82</v>
      </c>
      <c r="Z64" s="214">
        <v>1</v>
      </c>
      <c r="AA64" s="336">
        <f ca="1">$Y64*$Z64</f>
        <v>235.82</v>
      </c>
      <c r="AB64" s="250"/>
      <c r="AC64" s="337"/>
      <c r="AD64" s="337"/>
      <c r="AE64" s="323">
        <f ca="1">W64*Z64</f>
        <v>218.35</v>
      </c>
      <c r="AF64" s="323">
        <f ca="1">Y64*Z64</f>
        <v>235.82</v>
      </c>
      <c r="AG64" s="323">
        <f ca="1">AF64-AE64</f>
        <v>17.47</v>
      </c>
      <c r="AH64" s="20">
        <f ca="1">IF(AG64=0,0,ROUND(AG64/AE64,2))</f>
        <v>0.08</v>
      </c>
      <c r="AI64" s="337"/>
      <c r="AJ64" s="337"/>
      <c r="AK64" s="337"/>
      <c r="AL64" s="337"/>
      <c r="AM64" s="337"/>
      <c r="AN64" s="323"/>
      <c r="AO64" s="337"/>
      <c r="AP64" s="323"/>
      <c r="AQ64" s="60"/>
      <c r="AR64" s="324"/>
      <c r="AS64" s="325"/>
    </row>
    <row r="65" spans="5:49">
      <c r="E65" s="832"/>
      <c r="F65" s="8"/>
      <c r="G65" s="8"/>
      <c r="H65" s="8"/>
      <c r="I65" s="8"/>
      <c r="J65" s="8"/>
      <c r="K65" s="8"/>
      <c r="L65" s="363"/>
      <c r="M65" s="336"/>
      <c r="N65" s="336"/>
      <c r="O65" s="336"/>
      <c r="P65" s="336"/>
      <c r="Q65" s="336"/>
      <c r="R65" s="336"/>
      <c r="S65" s="336"/>
      <c r="T65" s="336"/>
      <c r="U65" s="336"/>
      <c r="V65" s="336"/>
      <c r="W65" s="336"/>
      <c r="X65" s="336"/>
      <c r="Y65" s="336" t="s">
        <v>942</v>
      </c>
      <c r="Z65" s="214"/>
      <c r="AA65" s="336">
        <f ca="1">SUBTOTAL(9,AA62:AA64)</f>
        <v>1248.8399999999999</v>
      </c>
      <c r="AB65" s="250"/>
      <c r="AC65" s="337"/>
      <c r="AD65" s="337"/>
      <c r="AE65" s="323"/>
      <c r="AF65" s="323"/>
      <c r="AG65" s="323"/>
      <c r="AH65" s="20"/>
      <c r="AI65" s="337"/>
      <c r="AJ65" s="337"/>
      <c r="AK65" s="337"/>
      <c r="AL65" s="337"/>
      <c r="AM65" s="337"/>
      <c r="AN65" s="323"/>
      <c r="AO65" s="337"/>
      <c r="AP65" s="323"/>
      <c r="AQ65" s="60"/>
      <c r="AR65" s="324"/>
      <c r="AS65" s="325"/>
    </row>
    <row r="66" spans="5:49">
      <c r="E66" s="338"/>
      <c r="F66" s="327"/>
      <c r="G66" s="327"/>
      <c r="H66" s="327"/>
      <c r="I66" s="327"/>
      <c r="J66" s="327"/>
      <c r="K66" s="327"/>
      <c r="L66" s="327"/>
      <c r="M66" s="339"/>
      <c r="N66" s="339"/>
      <c r="O66" s="339"/>
      <c r="P66" s="339"/>
      <c r="Q66" s="339"/>
      <c r="R66" s="339"/>
      <c r="S66" s="339"/>
      <c r="T66" s="339"/>
      <c r="U66" s="339"/>
      <c r="V66" s="339"/>
      <c r="W66" s="339"/>
      <c r="X66" s="339"/>
      <c r="Y66" s="339"/>
      <c r="Z66" s="331"/>
      <c r="AA66" s="339"/>
      <c r="AB66" s="1037"/>
      <c r="AC66" s="339"/>
      <c r="AD66" s="339"/>
      <c r="AE66" s="339"/>
      <c r="AF66" s="339"/>
      <c r="AG66" s="339"/>
      <c r="AH66" s="339"/>
      <c r="AI66" s="339"/>
      <c r="AJ66" s="339"/>
      <c r="AK66" s="339"/>
      <c r="AL66" s="339"/>
      <c r="AM66" s="339"/>
      <c r="AN66" s="332"/>
      <c r="AO66" s="339"/>
      <c r="AP66" s="332"/>
      <c r="AQ66" s="332"/>
      <c r="AR66" s="333"/>
      <c r="AS66" s="325"/>
      <c r="AV66" s="251" t="str">
        <f t="shared" si="27"/>
        <v>1</v>
      </c>
      <c r="AW66" s="251" t="str">
        <f t="shared" si="28"/>
        <v>1</v>
      </c>
    </row>
    <row r="67" spans="5:49">
      <c r="E67" s="248"/>
      <c r="F67" s="8"/>
      <c r="G67" s="8"/>
      <c r="H67" s="8"/>
      <c r="I67" s="8"/>
      <c r="J67" s="8"/>
      <c r="K67" s="8"/>
      <c r="L67" s="8"/>
      <c r="M67" s="8"/>
      <c r="N67" s="8"/>
      <c r="O67" s="8"/>
      <c r="P67" s="8"/>
      <c r="Q67" s="8"/>
      <c r="R67" s="8"/>
      <c r="S67" s="8"/>
      <c r="T67" s="8"/>
      <c r="U67" s="8"/>
      <c r="V67" s="8"/>
      <c r="W67" s="8"/>
      <c r="X67" s="8"/>
      <c r="Y67" s="8"/>
      <c r="Z67" s="8"/>
      <c r="AA67" s="336"/>
      <c r="AB67" s="250"/>
      <c r="AV67" s="251" t="str">
        <f t="shared" si="27"/>
        <v>1</v>
      </c>
      <c r="AW67" s="251" t="str">
        <f t="shared" si="28"/>
        <v>1</v>
      </c>
    </row>
    <row r="68" spans="5:49">
      <c r="E68" s="248"/>
      <c r="F68" s="8"/>
      <c r="G68" s="8"/>
      <c r="H68" s="8"/>
      <c r="I68" s="8"/>
      <c r="J68" s="8"/>
      <c r="K68" s="8"/>
      <c r="L68" s="8"/>
      <c r="M68" s="8"/>
      <c r="N68" s="8"/>
      <c r="O68" s="8"/>
      <c r="P68" s="8"/>
      <c r="Q68" s="8"/>
      <c r="R68" s="8"/>
      <c r="S68" s="8"/>
      <c r="T68" s="8"/>
      <c r="U68" s="8"/>
      <c r="V68" s="8"/>
      <c r="W68" s="8"/>
      <c r="X68" s="8"/>
      <c r="Y68" s="313" t="s">
        <v>648</v>
      </c>
      <c r="Z68" s="322"/>
      <c r="AA68" s="1029" t="e">
        <f ca="1">SUBTOTAL(9,AA$51:AA$67)</f>
        <v>#REF!</v>
      </c>
      <c r="AB68" s="250"/>
      <c r="AC68" s="337"/>
      <c r="AD68" s="337"/>
      <c r="AE68" s="337" t="e">
        <f ca="1">SUM(AE32:AE64)</f>
        <v>#REF!</v>
      </c>
      <c r="AF68" s="337" t="e">
        <f ca="1">SUM(AF32:AF64)</f>
        <v>#REF!</v>
      </c>
      <c r="AG68" s="337" t="e">
        <f ca="1">SUM(AG32:AG64)</f>
        <v>#REF!</v>
      </c>
      <c r="AH68" s="20" t="e">
        <f ca="1">IF(AG68=0,0,ROUND(AG68/AE68,2))</f>
        <v>#REF!</v>
      </c>
      <c r="AI68" s="337"/>
      <c r="AJ68" s="337"/>
      <c r="AK68" s="337"/>
      <c r="AL68" s="337"/>
      <c r="AM68" s="337"/>
      <c r="AN68" s="337"/>
      <c r="AO68" s="337"/>
      <c r="AP68" s="337"/>
      <c r="AQ68" s="336"/>
      <c r="AR68" s="324"/>
      <c r="AS68" s="325"/>
      <c r="AV68" s="251" t="str">
        <f t="shared" si="27"/>
        <v>1</v>
      </c>
      <c r="AW68" s="251" t="e">
        <f t="shared" ca="1" si="28"/>
        <v>#REF!</v>
      </c>
    </row>
    <row r="69" spans="5:49">
      <c r="E69" s="248"/>
      <c r="F69" s="8"/>
      <c r="G69" s="8"/>
      <c r="H69" s="8"/>
      <c r="I69" s="8"/>
      <c r="J69" s="8"/>
      <c r="K69" s="8"/>
      <c r="L69" s="8"/>
      <c r="M69" s="8"/>
      <c r="N69" s="8"/>
      <c r="O69" s="8"/>
      <c r="P69" s="8"/>
      <c r="Q69" s="8"/>
      <c r="R69" s="8"/>
      <c r="S69" s="8"/>
      <c r="T69" s="8"/>
      <c r="U69" s="8"/>
      <c r="V69" s="8"/>
      <c r="W69" s="8"/>
      <c r="X69" s="8"/>
      <c r="Y69" s="8"/>
      <c r="Z69" s="8"/>
      <c r="AA69" s="8"/>
      <c r="AB69" s="250"/>
      <c r="AN69" s="13"/>
      <c r="AO69" s="335"/>
      <c r="AV69" s="251" t="str">
        <f t="shared" si="27"/>
        <v>1</v>
      </c>
      <c r="AW69" s="251" t="str">
        <f t="shared" si="28"/>
        <v>1</v>
      </c>
    </row>
    <row r="70" spans="5:49">
      <c r="E70" s="340"/>
      <c r="F70" s="307"/>
      <c r="G70" s="307"/>
      <c r="H70" s="307"/>
      <c r="I70" s="307"/>
      <c r="J70" s="307"/>
      <c r="K70" s="307"/>
      <c r="L70" s="307"/>
      <c r="M70" s="307"/>
      <c r="N70" s="307"/>
      <c r="O70" s="307"/>
      <c r="P70" s="307"/>
      <c r="Q70" s="307"/>
      <c r="R70" s="307"/>
      <c r="S70" s="307"/>
      <c r="T70" s="307"/>
      <c r="U70" s="307"/>
      <c r="V70" s="307"/>
      <c r="W70" s="307"/>
      <c r="X70" s="307"/>
      <c r="Y70" s="307"/>
      <c r="Z70" s="307"/>
      <c r="AA70" s="307"/>
      <c r="AB70" s="341"/>
      <c r="AC70" s="307"/>
      <c r="AD70" s="307"/>
      <c r="AE70" s="307"/>
      <c r="AF70" s="307"/>
      <c r="AG70" s="307"/>
      <c r="AH70" s="307"/>
      <c r="AI70" s="307"/>
      <c r="AJ70" s="307"/>
      <c r="AK70" s="307"/>
      <c r="AL70" s="307"/>
      <c r="AM70" s="307"/>
      <c r="AN70" s="307"/>
      <c r="AO70" s="307"/>
      <c r="AP70" s="307"/>
      <c r="AR70" s="307"/>
      <c r="AV70" s="251" t="str">
        <f t="shared" si="27"/>
        <v>1</v>
      </c>
      <c r="AW70" s="251" t="str">
        <f t="shared" si="28"/>
        <v>1</v>
      </c>
    </row>
    <row r="71" spans="5:49" ht="13.5" thickBot="1">
      <c r="E71" s="252"/>
      <c r="F71" s="254"/>
      <c r="G71" s="254"/>
      <c r="H71" s="254"/>
      <c r="I71" s="254"/>
      <c r="J71" s="254"/>
      <c r="K71" s="254"/>
      <c r="L71" s="254"/>
      <c r="M71" s="254"/>
      <c r="N71" s="254"/>
      <c r="O71" s="254"/>
      <c r="P71" s="254"/>
      <c r="Q71" s="254"/>
      <c r="R71" s="254"/>
      <c r="S71" s="254"/>
      <c r="T71" s="254"/>
      <c r="U71" s="254"/>
      <c r="V71" s="254"/>
      <c r="W71" s="254"/>
      <c r="X71" s="254"/>
      <c r="Y71" s="342" t="s">
        <v>649</v>
      </c>
      <c r="Z71" s="343">
        <f>Z49</f>
        <v>52200</v>
      </c>
      <c r="AA71" s="1030" t="e">
        <f ca="1">SUBTOTAL(9,AA$31:AA$70)</f>
        <v>#REF!</v>
      </c>
      <c r="AB71" s="258"/>
      <c r="AC71" s="323"/>
      <c r="AD71" s="323"/>
      <c r="AE71" s="323"/>
      <c r="AF71" s="323"/>
      <c r="AG71" s="323"/>
      <c r="AH71" s="323"/>
      <c r="AI71" s="323"/>
      <c r="AJ71" s="323"/>
      <c r="AK71" s="323"/>
      <c r="AL71" s="323"/>
      <c r="AM71" s="323"/>
      <c r="AN71" s="323"/>
      <c r="AO71" s="323"/>
      <c r="AP71" s="323"/>
      <c r="AQ71" s="60"/>
      <c r="AR71" s="324"/>
      <c r="AS71" s="325"/>
      <c r="AV71" s="251" t="str">
        <f t="shared" si="27"/>
        <v>1</v>
      </c>
      <c r="AW71" s="251" t="e">
        <f t="shared" ca="1" si="28"/>
        <v>#REF!</v>
      </c>
    </row>
    <row r="72" spans="5:49">
      <c r="AN72" s="344"/>
      <c r="AO72" s="345"/>
      <c r="AV72" s="251" t="str">
        <f t="shared" si="27"/>
        <v>1</v>
      </c>
      <c r="AW72" s="251" t="str">
        <f t="shared" si="28"/>
        <v>1</v>
      </c>
    </row>
    <row r="73" spans="5:49">
      <c r="AV73" s="251" t="str">
        <f t="shared" si="27"/>
        <v>1</v>
      </c>
      <c r="AW73" s="251" t="str">
        <f t="shared" si="28"/>
        <v>1</v>
      </c>
    </row>
    <row r="74" spans="5:49">
      <c r="O74" s="346"/>
      <c r="P74" s="346"/>
      <c r="R74" s="280" t="s">
        <v>633</v>
      </c>
      <c r="S74" s="346"/>
      <c r="T74" s="346"/>
      <c r="U74" s="346"/>
      <c r="V74" s="282" t="s">
        <v>61</v>
      </c>
      <c r="W74" s="281" t="s">
        <v>60</v>
      </c>
      <c r="X74" s="282" t="s">
        <v>63</v>
      </c>
      <c r="Y74" s="281" t="s">
        <v>59</v>
      </c>
      <c r="Z74" s="282" t="s">
        <v>602</v>
      </c>
      <c r="AA74" s="281" t="s">
        <v>638</v>
      </c>
      <c r="AV74" s="251" t="str">
        <f t="shared" si="27"/>
        <v>1</v>
      </c>
      <c r="AW74" s="251" t="str">
        <f t="shared" si="28"/>
        <v>1</v>
      </c>
    </row>
    <row r="75" spans="5:49">
      <c r="O75" s="8"/>
      <c r="P75" s="8"/>
      <c r="R75" s="347" t="s">
        <v>643</v>
      </c>
      <c r="S75" s="8"/>
      <c r="T75" s="8"/>
      <c r="U75" s="8"/>
      <c r="V75" s="348">
        <f>IF(Z75=0,0,(Z75/Z$96))</f>
        <v>0.73333333333333328</v>
      </c>
      <c r="W75" s="349">
        <f ca="1">IF(AA75=0,0,(AA75/AA$96))</f>
        <v>0.74630137457340084</v>
      </c>
      <c r="X75" s="350" t="s">
        <v>62</v>
      </c>
      <c r="Y75" s="269" t="s">
        <v>62</v>
      </c>
      <c r="Z75" s="351">
        <f t="shared" ref="Z75:AA95" si="36">SUMIF($G$31:$G$50,$R75,Z$31:Z$69)</f>
        <v>38280</v>
      </c>
      <c r="AA75" s="352">
        <f t="shared" ca="1" si="36"/>
        <v>3021162.0000000005</v>
      </c>
      <c r="AB75" s="6" t="str">
        <f t="shared" ref="AB75:AB95" si="37">R75</f>
        <v>ManTech</v>
      </c>
      <c r="AC75" s="60"/>
      <c r="AD75" s="60"/>
      <c r="AE75" s="60"/>
      <c r="AF75" s="60"/>
      <c r="AG75" s="60"/>
      <c r="AH75" s="60"/>
      <c r="AI75" s="60"/>
      <c r="AJ75" s="60"/>
      <c r="AK75" s="60"/>
      <c r="AL75" s="60"/>
      <c r="AM75" s="60"/>
      <c r="AN75" s="60"/>
      <c r="AO75" s="60"/>
      <c r="AP75" s="60"/>
      <c r="AQ75" s="60"/>
      <c r="AR75" s="324"/>
      <c r="AS75" s="325"/>
      <c r="AV75" s="251" t="str">
        <f t="shared" si="27"/>
        <v>1</v>
      </c>
      <c r="AW75" s="251" t="str">
        <f t="shared" ca="1" si="28"/>
        <v>1</v>
      </c>
    </row>
    <row r="76" spans="5:49">
      <c r="M76" s="11"/>
      <c r="O76" s="8"/>
      <c r="P76" s="8"/>
      <c r="R76" s="347" t="str">
        <f>InputSheet!C149</f>
        <v>Segovia, Inc.</v>
      </c>
      <c r="S76" s="8"/>
      <c r="T76" s="8"/>
      <c r="U76" s="8"/>
      <c r="V76" s="348">
        <f t="shared" ref="V76:W95" si="38">IF(Z76=0,0,(Z76/Z$96))</f>
        <v>0.26666666666666666</v>
      </c>
      <c r="W76" s="349">
        <f t="shared" ca="1" si="38"/>
        <v>0.25369862542659916</v>
      </c>
      <c r="X76" s="348">
        <f>IF(Z76=0,0,(Z76/(Z$96-Z$75)))</f>
        <v>1</v>
      </c>
      <c r="Y76" s="353">
        <f ca="1">IF(AA76=0,0,(AA76/(AA$96-AA$75)))</f>
        <v>1</v>
      </c>
      <c r="Z76" s="351">
        <f t="shared" si="36"/>
        <v>13920</v>
      </c>
      <c r="AA76" s="352">
        <f t="shared" ca="1" si="36"/>
        <v>1027017.6000000001</v>
      </c>
      <c r="AB76" s="6" t="str">
        <f t="shared" si="37"/>
        <v>Segovia, Inc.</v>
      </c>
      <c r="AC76" s="60"/>
      <c r="AD76" s="60"/>
      <c r="AE76" s="60"/>
      <c r="AF76" s="60"/>
      <c r="AG76" s="60"/>
      <c r="AH76" s="60"/>
      <c r="AI76" s="60"/>
      <c r="AJ76" s="60"/>
      <c r="AK76" s="60"/>
      <c r="AL76" s="60"/>
      <c r="AM76" s="60"/>
      <c r="AN76" s="60"/>
      <c r="AO76" s="60"/>
      <c r="AP76" s="60"/>
      <c r="AQ76" s="60"/>
      <c r="AR76" s="324"/>
      <c r="AS76" s="325"/>
      <c r="AV76" s="251" t="str">
        <f t="shared" ca="1" si="27"/>
        <v>1</v>
      </c>
      <c r="AW76" s="251" t="str">
        <f t="shared" ca="1" si="28"/>
        <v>1</v>
      </c>
    </row>
    <row r="77" spans="5:49">
      <c r="M77" s="11"/>
      <c r="O77" s="8"/>
      <c r="P77" s="8"/>
      <c r="R77" s="347" t="str">
        <f>InputSheet!C150</f>
        <v>Briggs and Sons</v>
      </c>
      <c r="S77" s="8"/>
      <c r="T77" s="8"/>
      <c r="U77" s="8"/>
      <c r="V77" s="348">
        <f t="shared" si="38"/>
        <v>0</v>
      </c>
      <c r="W77" s="349">
        <f t="shared" si="38"/>
        <v>0</v>
      </c>
      <c r="X77" s="348">
        <f t="shared" ref="X77:Y95" si="39">IF(Z77=0,0,(Z77/(Z$96-Z$75)))</f>
        <v>0</v>
      </c>
      <c r="Y77" s="353">
        <f t="shared" si="39"/>
        <v>0</v>
      </c>
      <c r="Z77" s="351">
        <f t="shared" si="36"/>
        <v>0</v>
      </c>
      <c r="AA77" s="352">
        <f t="shared" si="36"/>
        <v>0</v>
      </c>
      <c r="AB77" s="6" t="str">
        <f t="shared" si="37"/>
        <v>Briggs and Sons</v>
      </c>
      <c r="AC77" s="60"/>
      <c r="AD77" s="60"/>
      <c r="AE77" s="60"/>
      <c r="AF77" s="60"/>
      <c r="AG77" s="60"/>
      <c r="AH77" s="60"/>
      <c r="AI77" s="60"/>
      <c r="AJ77" s="60"/>
      <c r="AK77" s="60"/>
      <c r="AL77" s="60"/>
      <c r="AM77" s="60"/>
      <c r="AN77" s="60"/>
      <c r="AO77" s="60"/>
      <c r="AP77" s="60"/>
      <c r="AQ77" s="60"/>
      <c r="AR77" s="324"/>
      <c r="AS77" s="325"/>
      <c r="AV77" s="251" t="str">
        <f t="shared" si="27"/>
        <v>0</v>
      </c>
      <c r="AW77" s="251" t="str">
        <f t="shared" si="28"/>
        <v>0</v>
      </c>
    </row>
    <row r="78" spans="5:49">
      <c r="M78" s="11"/>
      <c r="O78" s="8"/>
      <c r="P78" s="8"/>
      <c r="R78" s="347" t="str">
        <f>InputSheet!C151</f>
        <v>Yvan</v>
      </c>
      <c r="S78" s="8"/>
      <c r="T78" s="8"/>
      <c r="U78" s="8"/>
      <c r="V78" s="348">
        <f t="shared" si="38"/>
        <v>0</v>
      </c>
      <c r="W78" s="349">
        <f t="shared" si="38"/>
        <v>0</v>
      </c>
      <c r="X78" s="348">
        <f t="shared" si="39"/>
        <v>0</v>
      </c>
      <c r="Y78" s="353">
        <f t="shared" si="39"/>
        <v>0</v>
      </c>
      <c r="Z78" s="351">
        <f t="shared" si="36"/>
        <v>0</v>
      </c>
      <c r="AA78" s="352">
        <f t="shared" si="36"/>
        <v>0</v>
      </c>
      <c r="AB78" s="6" t="str">
        <f t="shared" si="37"/>
        <v>Yvan</v>
      </c>
      <c r="AC78" s="60"/>
      <c r="AD78" s="60"/>
      <c r="AE78" s="60"/>
      <c r="AF78" s="60"/>
      <c r="AG78" s="60"/>
      <c r="AH78" s="60"/>
      <c r="AI78" s="60"/>
      <c r="AJ78" s="60"/>
      <c r="AK78" s="60"/>
      <c r="AL78" s="60"/>
      <c r="AM78" s="60"/>
      <c r="AN78" s="60"/>
      <c r="AO78" s="60"/>
      <c r="AP78" s="60"/>
      <c r="AQ78" s="60"/>
      <c r="AR78" s="324"/>
      <c r="AS78" s="325"/>
      <c r="AV78" s="251" t="str">
        <f t="shared" si="27"/>
        <v>0</v>
      </c>
      <c r="AW78" s="251" t="str">
        <f t="shared" si="28"/>
        <v>0</v>
      </c>
    </row>
    <row r="79" spans="5:49">
      <c r="O79" s="8"/>
      <c r="P79" s="8"/>
      <c r="R79" s="347" t="str">
        <f>InputSheet!C152</f>
        <v>Sub 4</v>
      </c>
      <c r="S79" s="8"/>
      <c r="T79" s="8"/>
      <c r="U79" s="8"/>
      <c r="V79" s="348">
        <f t="shared" si="38"/>
        <v>0</v>
      </c>
      <c r="W79" s="349">
        <f t="shared" si="38"/>
        <v>0</v>
      </c>
      <c r="X79" s="348">
        <f t="shared" si="39"/>
        <v>0</v>
      </c>
      <c r="Y79" s="353">
        <f t="shared" si="39"/>
        <v>0</v>
      </c>
      <c r="Z79" s="351">
        <f t="shared" si="36"/>
        <v>0</v>
      </c>
      <c r="AA79" s="352">
        <f t="shared" si="36"/>
        <v>0</v>
      </c>
      <c r="AB79" s="6" t="str">
        <f t="shared" si="37"/>
        <v>Sub 4</v>
      </c>
      <c r="AC79" s="60"/>
      <c r="AD79" s="60"/>
      <c r="AE79" s="60"/>
      <c r="AF79" s="60"/>
      <c r="AG79" s="60"/>
      <c r="AH79" s="60"/>
      <c r="AI79" s="60"/>
      <c r="AJ79" s="60"/>
      <c r="AK79" s="60"/>
      <c r="AL79" s="60"/>
      <c r="AM79" s="60"/>
      <c r="AN79" s="60"/>
      <c r="AO79" s="60"/>
      <c r="AP79" s="60"/>
      <c r="AQ79" s="60"/>
      <c r="AR79" s="324"/>
      <c r="AS79" s="325"/>
      <c r="AV79" s="251" t="str">
        <f t="shared" si="27"/>
        <v>0</v>
      </c>
      <c r="AW79" s="251" t="str">
        <f t="shared" si="28"/>
        <v>0</v>
      </c>
    </row>
    <row r="80" spans="5:49">
      <c r="O80" s="8"/>
      <c r="P80" s="8"/>
      <c r="R80" s="347" t="str">
        <f>InputSheet!C153</f>
        <v>Sub 5</v>
      </c>
      <c r="S80" s="8"/>
      <c r="T80" s="8"/>
      <c r="U80" s="8"/>
      <c r="V80" s="348">
        <f t="shared" si="38"/>
        <v>0</v>
      </c>
      <c r="W80" s="349">
        <f t="shared" si="38"/>
        <v>0</v>
      </c>
      <c r="X80" s="348">
        <f t="shared" si="39"/>
        <v>0</v>
      </c>
      <c r="Y80" s="353">
        <f t="shared" si="39"/>
        <v>0</v>
      </c>
      <c r="Z80" s="351">
        <f t="shared" si="36"/>
        <v>0</v>
      </c>
      <c r="AA80" s="352">
        <f t="shared" si="36"/>
        <v>0</v>
      </c>
      <c r="AB80" s="6" t="str">
        <f t="shared" si="37"/>
        <v>Sub 5</v>
      </c>
      <c r="AC80" s="60"/>
      <c r="AD80" s="60"/>
      <c r="AE80" s="60"/>
      <c r="AF80" s="60"/>
      <c r="AG80" s="60"/>
      <c r="AH80" s="60"/>
      <c r="AI80" s="60"/>
      <c r="AJ80" s="60"/>
      <c r="AK80" s="60"/>
      <c r="AL80" s="60"/>
      <c r="AM80" s="60"/>
      <c r="AN80" s="60"/>
      <c r="AO80" s="60"/>
      <c r="AP80" s="60"/>
      <c r="AQ80" s="60"/>
      <c r="AR80" s="324"/>
      <c r="AS80" s="325"/>
      <c r="AV80" s="251" t="str">
        <f t="shared" si="27"/>
        <v>0</v>
      </c>
      <c r="AW80" s="251" t="str">
        <f t="shared" si="28"/>
        <v>0</v>
      </c>
    </row>
    <row r="81" spans="15:49">
      <c r="O81" s="8"/>
      <c r="P81" s="8"/>
      <c r="R81" s="347" t="str">
        <f>InputSheet!C154</f>
        <v>Sub 6</v>
      </c>
      <c r="S81" s="8"/>
      <c r="T81" s="8"/>
      <c r="U81" s="8"/>
      <c r="V81" s="348">
        <f t="shared" si="38"/>
        <v>0</v>
      </c>
      <c r="W81" s="349">
        <f t="shared" si="38"/>
        <v>0</v>
      </c>
      <c r="X81" s="348">
        <f t="shared" si="39"/>
        <v>0</v>
      </c>
      <c r="Y81" s="353">
        <f t="shared" si="39"/>
        <v>0</v>
      </c>
      <c r="Z81" s="351">
        <f t="shared" si="36"/>
        <v>0</v>
      </c>
      <c r="AA81" s="352">
        <f t="shared" si="36"/>
        <v>0</v>
      </c>
      <c r="AB81" s="6" t="str">
        <f t="shared" si="37"/>
        <v>Sub 6</v>
      </c>
      <c r="AC81" s="60"/>
      <c r="AD81" s="60"/>
      <c r="AE81" s="60"/>
      <c r="AF81" s="60"/>
      <c r="AG81" s="60"/>
      <c r="AH81" s="60"/>
      <c r="AI81" s="60"/>
      <c r="AJ81" s="60"/>
      <c r="AK81" s="60"/>
      <c r="AL81" s="60"/>
      <c r="AM81" s="60"/>
      <c r="AN81" s="60"/>
      <c r="AO81" s="60"/>
      <c r="AP81" s="60"/>
      <c r="AQ81" s="60"/>
      <c r="AR81" s="324"/>
      <c r="AS81" s="325"/>
      <c r="AV81" s="251" t="str">
        <f t="shared" si="27"/>
        <v>0</v>
      </c>
      <c r="AW81" s="251" t="str">
        <f t="shared" si="28"/>
        <v>0</v>
      </c>
    </row>
    <row r="82" spans="15:49">
      <c r="O82" s="8"/>
      <c r="P82" s="8"/>
      <c r="R82" s="347" t="str">
        <f>InputSheet!C155</f>
        <v>Sub 7</v>
      </c>
      <c r="S82" s="8"/>
      <c r="T82" s="8"/>
      <c r="U82" s="8"/>
      <c r="V82" s="348">
        <f t="shared" si="38"/>
        <v>0</v>
      </c>
      <c r="W82" s="349">
        <f t="shared" si="38"/>
        <v>0</v>
      </c>
      <c r="X82" s="348">
        <f t="shared" si="39"/>
        <v>0</v>
      </c>
      <c r="Y82" s="353">
        <f t="shared" si="39"/>
        <v>0</v>
      </c>
      <c r="Z82" s="351">
        <f t="shared" si="36"/>
        <v>0</v>
      </c>
      <c r="AA82" s="352">
        <f t="shared" si="36"/>
        <v>0</v>
      </c>
      <c r="AB82" s="6" t="str">
        <f t="shared" si="37"/>
        <v>Sub 7</v>
      </c>
      <c r="AC82" s="60"/>
      <c r="AD82" s="60"/>
      <c r="AE82" s="60"/>
      <c r="AF82" s="60"/>
      <c r="AG82" s="60"/>
      <c r="AH82" s="60"/>
      <c r="AI82" s="60"/>
      <c r="AJ82" s="60"/>
      <c r="AK82" s="60"/>
      <c r="AL82" s="60"/>
      <c r="AM82" s="60"/>
      <c r="AN82" s="60"/>
      <c r="AO82" s="60"/>
      <c r="AP82" s="60"/>
      <c r="AQ82" s="60"/>
      <c r="AR82" s="324"/>
      <c r="AS82" s="325"/>
      <c r="AV82" s="251" t="str">
        <f t="shared" si="27"/>
        <v>0</v>
      </c>
      <c r="AW82" s="251" t="str">
        <f t="shared" si="28"/>
        <v>0</v>
      </c>
    </row>
    <row r="83" spans="15:49">
      <c r="O83" s="8"/>
      <c r="P83" s="8"/>
      <c r="R83" s="347" t="str">
        <f>InputSheet!C156</f>
        <v>Sub 8</v>
      </c>
      <c r="S83" s="8"/>
      <c r="T83" s="8"/>
      <c r="U83" s="8"/>
      <c r="V83" s="348">
        <f t="shared" si="38"/>
        <v>0</v>
      </c>
      <c r="W83" s="349">
        <f t="shared" si="38"/>
        <v>0</v>
      </c>
      <c r="X83" s="348">
        <f t="shared" si="39"/>
        <v>0</v>
      </c>
      <c r="Y83" s="353">
        <f t="shared" si="39"/>
        <v>0</v>
      </c>
      <c r="Z83" s="351">
        <f t="shared" si="36"/>
        <v>0</v>
      </c>
      <c r="AA83" s="352">
        <f t="shared" si="36"/>
        <v>0</v>
      </c>
      <c r="AB83" s="6" t="str">
        <f t="shared" si="37"/>
        <v>Sub 8</v>
      </c>
      <c r="AC83" s="60"/>
      <c r="AD83" s="60"/>
      <c r="AE83" s="60"/>
      <c r="AF83" s="60"/>
      <c r="AG83" s="60"/>
      <c r="AH83" s="60"/>
      <c r="AI83" s="60"/>
      <c r="AJ83" s="60"/>
      <c r="AK83" s="60"/>
      <c r="AL83" s="60"/>
      <c r="AM83" s="60"/>
      <c r="AN83" s="60"/>
      <c r="AO83" s="60"/>
      <c r="AP83" s="60"/>
      <c r="AQ83" s="60"/>
      <c r="AR83" s="324"/>
      <c r="AS83" s="325"/>
      <c r="AV83" s="251" t="str">
        <f t="shared" si="27"/>
        <v>0</v>
      </c>
      <c r="AW83" s="251" t="str">
        <f t="shared" si="28"/>
        <v>0</v>
      </c>
    </row>
    <row r="84" spans="15:49">
      <c r="O84" s="8"/>
      <c r="P84" s="8"/>
      <c r="R84" s="347" t="str">
        <f>InputSheet!C157</f>
        <v>Sub 9</v>
      </c>
      <c r="S84" s="8"/>
      <c r="T84" s="8"/>
      <c r="U84" s="8"/>
      <c r="V84" s="348">
        <f t="shared" si="38"/>
        <v>0</v>
      </c>
      <c r="W84" s="349">
        <f t="shared" si="38"/>
        <v>0</v>
      </c>
      <c r="X84" s="348">
        <f t="shared" si="39"/>
        <v>0</v>
      </c>
      <c r="Y84" s="353">
        <f t="shared" si="39"/>
        <v>0</v>
      </c>
      <c r="Z84" s="351">
        <f t="shared" si="36"/>
        <v>0</v>
      </c>
      <c r="AA84" s="352">
        <f t="shared" si="36"/>
        <v>0</v>
      </c>
      <c r="AB84" s="6" t="str">
        <f t="shared" si="37"/>
        <v>Sub 9</v>
      </c>
      <c r="AC84" s="60"/>
      <c r="AD84" s="60"/>
      <c r="AE84" s="60"/>
      <c r="AF84" s="60"/>
      <c r="AG84" s="60"/>
      <c r="AH84" s="60"/>
      <c r="AI84" s="60"/>
      <c r="AJ84" s="60"/>
      <c r="AK84" s="60"/>
      <c r="AL84" s="60"/>
      <c r="AM84" s="60"/>
      <c r="AN84" s="60"/>
      <c r="AO84" s="60"/>
      <c r="AP84" s="60"/>
      <c r="AQ84" s="60"/>
      <c r="AR84" s="324"/>
      <c r="AS84" s="325"/>
      <c r="AV84" s="251" t="str">
        <f t="shared" si="27"/>
        <v>0</v>
      </c>
      <c r="AW84" s="251" t="str">
        <f t="shared" si="28"/>
        <v>0</v>
      </c>
    </row>
    <row r="85" spans="15:49">
      <c r="O85" s="8"/>
      <c r="P85" s="8"/>
      <c r="R85" s="347" t="str">
        <f>InputSheet!C158</f>
        <v>Sub 10</v>
      </c>
      <c r="S85" s="8"/>
      <c r="T85" s="8"/>
      <c r="U85" s="8"/>
      <c r="V85" s="348">
        <f t="shared" si="38"/>
        <v>0</v>
      </c>
      <c r="W85" s="349">
        <f t="shared" si="38"/>
        <v>0</v>
      </c>
      <c r="X85" s="348">
        <f t="shared" si="39"/>
        <v>0</v>
      </c>
      <c r="Y85" s="353">
        <f t="shared" si="39"/>
        <v>0</v>
      </c>
      <c r="Z85" s="351">
        <f t="shared" si="36"/>
        <v>0</v>
      </c>
      <c r="AA85" s="352">
        <f t="shared" si="36"/>
        <v>0</v>
      </c>
      <c r="AB85" s="6" t="str">
        <f t="shared" si="37"/>
        <v>Sub 10</v>
      </c>
      <c r="AC85" s="60"/>
      <c r="AD85" s="60"/>
      <c r="AE85" s="60"/>
      <c r="AF85" s="60"/>
      <c r="AG85" s="60"/>
      <c r="AH85" s="60"/>
      <c r="AI85" s="60"/>
      <c r="AJ85" s="60"/>
      <c r="AK85" s="60"/>
      <c r="AL85" s="60"/>
      <c r="AM85" s="60"/>
      <c r="AN85" s="60"/>
      <c r="AO85" s="60"/>
      <c r="AP85" s="60"/>
      <c r="AQ85" s="60"/>
      <c r="AR85" s="324"/>
      <c r="AS85" s="325"/>
      <c r="AV85" s="251" t="str">
        <f t="shared" si="27"/>
        <v>0</v>
      </c>
      <c r="AW85" s="251" t="str">
        <f t="shared" si="28"/>
        <v>0</v>
      </c>
    </row>
    <row r="86" spans="15:49">
      <c r="O86" s="8"/>
      <c r="P86" s="8"/>
      <c r="R86" s="347" t="str">
        <f>InputSheet!C159</f>
        <v>Sub 11</v>
      </c>
      <c r="S86" s="8"/>
      <c r="T86" s="8"/>
      <c r="U86" s="8"/>
      <c r="V86" s="348">
        <f t="shared" si="38"/>
        <v>0</v>
      </c>
      <c r="W86" s="349">
        <f t="shared" si="38"/>
        <v>0</v>
      </c>
      <c r="X86" s="348">
        <f t="shared" si="39"/>
        <v>0</v>
      </c>
      <c r="Y86" s="353">
        <f t="shared" si="39"/>
        <v>0</v>
      </c>
      <c r="Z86" s="351">
        <f t="shared" si="36"/>
        <v>0</v>
      </c>
      <c r="AA86" s="352">
        <f t="shared" si="36"/>
        <v>0</v>
      </c>
      <c r="AB86" s="6" t="str">
        <f t="shared" si="37"/>
        <v>Sub 11</v>
      </c>
      <c r="AC86" s="60"/>
      <c r="AD86" s="60"/>
      <c r="AE86" s="60"/>
      <c r="AF86" s="60"/>
      <c r="AG86" s="60"/>
      <c r="AH86" s="60"/>
      <c r="AI86" s="60"/>
      <c r="AJ86" s="60"/>
      <c r="AK86" s="60"/>
      <c r="AL86" s="60"/>
      <c r="AM86" s="60"/>
      <c r="AN86" s="60"/>
      <c r="AO86" s="60"/>
      <c r="AP86" s="60"/>
      <c r="AQ86" s="60"/>
      <c r="AR86" s="324"/>
      <c r="AS86" s="325"/>
      <c r="AV86" s="251" t="str">
        <f t="shared" si="27"/>
        <v>0</v>
      </c>
      <c r="AW86" s="251" t="str">
        <f t="shared" si="28"/>
        <v>0</v>
      </c>
    </row>
    <row r="87" spans="15:49">
      <c r="O87" s="8"/>
      <c r="P87" s="8"/>
      <c r="R87" s="347" t="str">
        <f>InputSheet!C160</f>
        <v>Sub 12</v>
      </c>
      <c r="S87" s="8"/>
      <c r="T87" s="8"/>
      <c r="U87" s="8"/>
      <c r="V87" s="348">
        <f t="shared" si="38"/>
        <v>0</v>
      </c>
      <c r="W87" s="349">
        <f t="shared" si="38"/>
        <v>0</v>
      </c>
      <c r="X87" s="348">
        <f t="shared" si="39"/>
        <v>0</v>
      </c>
      <c r="Y87" s="353">
        <f t="shared" si="39"/>
        <v>0</v>
      </c>
      <c r="Z87" s="351">
        <f t="shared" si="36"/>
        <v>0</v>
      </c>
      <c r="AA87" s="352">
        <f t="shared" si="36"/>
        <v>0</v>
      </c>
      <c r="AB87" s="6" t="str">
        <f t="shared" si="37"/>
        <v>Sub 12</v>
      </c>
      <c r="AC87" s="60"/>
      <c r="AD87" s="60"/>
      <c r="AE87" s="60"/>
      <c r="AF87" s="60"/>
      <c r="AG87" s="60"/>
      <c r="AH87" s="60"/>
      <c r="AI87" s="60"/>
      <c r="AJ87" s="60"/>
      <c r="AK87" s="60"/>
      <c r="AL87" s="60"/>
      <c r="AM87" s="60"/>
      <c r="AN87" s="60"/>
      <c r="AO87" s="60"/>
      <c r="AP87" s="60"/>
      <c r="AQ87" s="60"/>
      <c r="AR87" s="324"/>
      <c r="AS87" s="325"/>
      <c r="AV87" s="251" t="str">
        <f t="shared" si="27"/>
        <v>0</v>
      </c>
      <c r="AW87" s="251" t="str">
        <f t="shared" si="28"/>
        <v>0</v>
      </c>
    </row>
    <row r="88" spans="15:49">
      <c r="O88" s="8"/>
      <c r="P88" s="8"/>
      <c r="R88" s="347" t="str">
        <f>InputSheet!C161</f>
        <v>Sub 13</v>
      </c>
      <c r="S88" s="8"/>
      <c r="T88" s="8"/>
      <c r="U88" s="8"/>
      <c r="V88" s="348">
        <f t="shared" si="38"/>
        <v>0</v>
      </c>
      <c r="W88" s="349">
        <f t="shared" si="38"/>
        <v>0</v>
      </c>
      <c r="X88" s="348">
        <f t="shared" si="39"/>
        <v>0</v>
      </c>
      <c r="Y88" s="353">
        <f t="shared" si="39"/>
        <v>0</v>
      </c>
      <c r="Z88" s="351">
        <f t="shared" si="36"/>
        <v>0</v>
      </c>
      <c r="AA88" s="352">
        <f t="shared" si="36"/>
        <v>0</v>
      </c>
      <c r="AB88" s="6" t="str">
        <f t="shared" si="37"/>
        <v>Sub 13</v>
      </c>
      <c r="AC88" s="60"/>
      <c r="AD88" s="60"/>
      <c r="AE88" s="60"/>
      <c r="AF88" s="60"/>
      <c r="AG88" s="60"/>
      <c r="AH88" s="60"/>
      <c r="AI88" s="60"/>
      <c r="AJ88" s="60"/>
      <c r="AK88" s="60"/>
      <c r="AL88" s="60"/>
      <c r="AM88" s="60"/>
      <c r="AN88" s="60"/>
      <c r="AO88" s="60"/>
      <c r="AP88" s="60"/>
      <c r="AQ88" s="60"/>
      <c r="AR88" s="324"/>
      <c r="AS88" s="325"/>
      <c r="AV88" s="251" t="str">
        <f t="shared" si="27"/>
        <v>0</v>
      </c>
      <c r="AW88" s="251" t="str">
        <f t="shared" si="28"/>
        <v>0</v>
      </c>
    </row>
    <row r="89" spans="15:49">
      <c r="O89" s="8"/>
      <c r="P89" s="8"/>
      <c r="R89" s="347" t="str">
        <f>InputSheet!C162</f>
        <v>Sub 14</v>
      </c>
      <c r="S89" s="8"/>
      <c r="T89" s="8"/>
      <c r="U89" s="8"/>
      <c r="V89" s="348">
        <f t="shared" si="38"/>
        <v>0</v>
      </c>
      <c r="W89" s="349">
        <f t="shared" si="38"/>
        <v>0</v>
      </c>
      <c r="X89" s="348">
        <f t="shared" si="39"/>
        <v>0</v>
      </c>
      <c r="Y89" s="353">
        <f t="shared" si="39"/>
        <v>0</v>
      </c>
      <c r="Z89" s="351">
        <f t="shared" si="36"/>
        <v>0</v>
      </c>
      <c r="AA89" s="352">
        <f t="shared" si="36"/>
        <v>0</v>
      </c>
      <c r="AB89" s="6" t="str">
        <f t="shared" si="37"/>
        <v>Sub 14</v>
      </c>
      <c r="AC89" s="60"/>
      <c r="AD89" s="60"/>
      <c r="AE89" s="60"/>
      <c r="AF89" s="60"/>
      <c r="AG89" s="60"/>
      <c r="AH89" s="60"/>
      <c r="AI89" s="60"/>
      <c r="AJ89" s="60"/>
      <c r="AK89" s="60"/>
      <c r="AL89" s="60"/>
      <c r="AM89" s="60"/>
      <c r="AN89" s="60"/>
      <c r="AO89" s="60"/>
      <c r="AP89" s="60"/>
      <c r="AQ89" s="60"/>
      <c r="AR89" s="324"/>
      <c r="AS89" s="325"/>
      <c r="AV89" s="251" t="str">
        <f t="shared" si="27"/>
        <v>0</v>
      </c>
      <c r="AW89" s="251" t="str">
        <f t="shared" si="28"/>
        <v>0</v>
      </c>
    </row>
    <row r="90" spans="15:49">
      <c r="O90" s="8"/>
      <c r="P90" s="8"/>
      <c r="R90" s="347" t="str">
        <f>InputSheet!C163</f>
        <v>Sub 15</v>
      </c>
      <c r="S90" s="8"/>
      <c r="T90" s="8"/>
      <c r="U90" s="8"/>
      <c r="V90" s="348">
        <f t="shared" si="38"/>
        <v>0</v>
      </c>
      <c r="W90" s="349">
        <f t="shared" si="38"/>
        <v>0</v>
      </c>
      <c r="X90" s="348">
        <f t="shared" si="39"/>
        <v>0</v>
      </c>
      <c r="Y90" s="353">
        <f t="shared" si="39"/>
        <v>0</v>
      </c>
      <c r="Z90" s="351">
        <f t="shared" si="36"/>
        <v>0</v>
      </c>
      <c r="AA90" s="352">
        <f t="shared" si="36"/>
        <v>0</v>
      </c>
      <c r="AB90" s="6" t="str">
        <f t="shared" si="37"/>
        <v>Sub 15</v>
      </c>
      <c r="AC90" s="60"/>
      <c r="AD90" s="60"/>
      <c r="AE90" s="60"/>
      <c r="AF90" s="60"/>
      <c r="AG90" s="60"/>
      <c r="AH90" s="60"/>
      <c r="AI90" s="60"/>
      <c r="AJ90" s="60"/>
      <c r="AK90" s="60"/>
      <c r="AL90" s="60"/>
      <c r="AM90" s="60"/>
      <c r="AN90" s="60"/>
      <c r="AO90" s="60"/>
      <c r="AP90" s="60"/>
      <c r="AQ90" s="60"/>
      <c r="AR90" s="324"/>
      <c r="AS90" s="325"/>
      <c r="AV90" s="251" t="str">
        <f t="shared" si="27"/>
        <v>0</v>
      </c>
      <c r="AW90" s="251" t="str">
        <f t="shared" si="28"/>
        <v>0</v>
      </c>
    </row>
    <row r="91" spans="15:49">
      <c r="O91" s="8"/>
      <c r="P91" s="8"/>
      <c r="R91" s="347" t="str">
        <f>InputSheet!C164</f>
        <v>Sub 16</v>
      </c>
      <c r="S91" s="8"/>
      <c r="T91" s="8"/>
      <c r="U91" s="8"/>
      <c r="V91" s="348">
        <f t="shared" si="38"/>
        <v>0</v>
      </c>
      <c r="W91" s="349">
        <f t="shared" si="38"/>
        <v>0</v>
      </c>
      <c r="X91" s="348">
        <f t="shared" si="39"/>
        <v>0</v>
      </c>
      <c r="Y91" s="353">
        <f t="shared" si="39"/>
        <v>0</v>
      </c>
      <c r="Z91" s="351">
        <f t="shared" si="36"/>
        <v>0</v>
      </c>
      <c r="AA91" s="352">
        <f t="shared" si="36"/>
        <v>0</v>
      </c>
      <c r="AB91" s="6" t="str">
        <f t="shared" si="37"/>
        <v>Sub 16</v>
      </c>
      <c r="AC91" s="60"/>
      <c r="AD91" s="60"/>
      <c r="AE91" s="60"/>
      <c r="AF91" s="60"/>
      <c r="AG91" s="60"/>
      <c r="AH91" s="60"/>
      <c r="AI91" s="60"/>
      <c r="AJ91" s="60"/>
      <c r="AK91" s="60"/>
      <c r="AL91" s="60"/>
      <c r="AM91" s="60"/>
      <c r="AN91" s="60"/>
      <c r="AO91" s="60"/>
      <c r="AP91" s="60"/>
      <c r="AQ91" s="60"/>
      <c r="AR91" s="324"/>
      <c r="AS91" s="325"/>
      <c r="AV91" s="251" t="str">
        <f t="shared" si="27"/>
        <v>0</v>
      </c>
      <c r="AW91" s="251" t="str">
        <f t="shared" si="28"/>
        <v>0</v>
      </c>
    </row>
    <row r="92" spans="15:49">
      <c r="O92" s="8"/>
      <c r="P92" s="8"/>
      <c r="R92" s="347" t="str">
        <f>InputSheet!C165</f>
        <v>Sub 17</v>
      </c>
      <c r="S92" s="8"/>
      <c r="T92" s="8"/>
      <c r="U92" s="8"/>
      <c r="V92" s="348">
        <f t="shared" si="38"/>
        <v>0</v>
      </c>
      <c r="W92" s="349">
        <f t="shared" si="38"/>
        <v>0</v>
      </c>
      <c r="X92" s="348">
        <f t="shared" si="39"/>
        <v>0</v>
      </c>
      <c r="Y92" s="353">
        <f t="shared" si="39"/>
        <v>0</v>
      </c>
      <c r="Z92" s="351">
        <f t="shared" si="36"/>
        <v>0</v>
      </c>
      <c r="AA92" s="352">
        <f t="shared" si="36"/>
        <v>0</v>
      </c>
      <c r="AB92" s="6" t="str">
        <f t="shared" si="37"/>
        <v>Sub 17</v>
      </c>
      <c r="AC92" s="60"/>
      <c r="AD92" s="60"/>
      <c r="AE92" s="60"/>
      <c r="AF92" s="60"/>
      <c r="AG92" s="60"/>
      <c r="AH92" s="60"/>
      <c r="AI92" s="60"/>
      <c r="AJ92" s="60"/>
      <c r="AK92" s="60"/>
      <c r="AL92" s="60"/>
      <c r="AM92" s="60"/>
      <c r="AN92" s="60"/>
      <c r="AO92" s="60"/>
      <c r="AP92" s="60"/>
      <c r="AQ92" s="60"/>
      <c r="AR92" s="324"/>
      <c r="AS92" s="325"/>
      <c r="AV92" s="251" t="str">
        <f t="shared" si="27"/>
        <v>0</v>
      </c>
      <c r="AW92" s="251" t="str">
        <f t="shared" si="28"/>
        <v>0</v>
      </c>
    </row>
    <row r="93" spans="15:49">
      <c r="O93" s="8"/>
      <c r="P93" s="8"/>
      <c r="R93" s="347" t="str">
        <f>InputSheet!C166</f>
        <v>Sub 18</v>
      </c>
      <c r="S93" s="8"/>
      <c r="T93" s="8"/>
      <c r="U93" s="8"/>
      <c r="V93" s="348">
        <f t="shared" si="38"/>
        <v>0</v>
      </c>
      <c r="W93" s="349">
        <f t="shared" si="38"/>
        <v>0</v>
      </c>
      <c r="X93" s="348">
        <f t="shared" si="39"/>
        <v>0</v>
      </c>
      <c r="Y93" s="353">
        <f t="shared" si="39"/>
        <v>0</v>
      </c>
      <c r="Z93" s="351">
        <f t="shared" si="36"/>
        <v>0</v>
      </c>
      <c r="AA93" s="352">
        <f t="shared" si="36"/>
        <v>0</v>
      </c>
      <c r="AB93" s="6" t="str">
        <f t="shared" si="37"/>
        <v>Sub 18</v>
      </c>
      <c r="AC93" s="60"/>
      <c r="AD93" s="60"/>
      <c r="AE93" s="60"/>
      <c r="AF93" s="60"/>
      <c r="AG93" s="60"/>
      <c r="AH93" s="60"/>
      <c r="AI93" s="60"/>
      <c r="AJ93" s="60"/>
      <c r="AK93" s="60"/>
      <c r="AL93" s="60"/>
      <c r="AM93" s="60"/>
      <c r="AN93" s="60"/>
      <c r="AO93" s="60"/>
      <c r="AP93" s="60"/>
      <c r="AQ93" s="60"/>
      <c r="AR93" s="324"/>
      <c r="AS93" s="325"/>
      <c r="AV93" s="251" t="str">
        <f t="shared" si="27"/>
        <v>0</v>
      </c>
      <c r="AW93" s="251" t="str">
        <f t="shared" si="28"/>
        <v>0</v>
      </c>
    </row>
    <row r="94" spans="15:49">
      <c r="O94" s="8"/>
      <c r="P94" s="8"/>
      <c r="R94" s="347" t="str">
        <f>InputSheet!C167</f>
        <v>Sub 19</v>
      </c>
      <c r="S94" s="8"/>
      <c r="T94" s="8"/>
      <c r="U94" s="8"/>
      <c r="V94" s="348">
        <f t="shared" si="38"/>
        <v>0</v>
      </c>
      <c r="W94" s="349">
        <f t="shared" si="38"/>
        <v>0</v>
      </c>
      <c r="X94" s="348">
        <f t="shared" si="39"/>
        <v>0</v>
      </c>
      <c r="Y94" s="353">
        <f t="shared" si="39"/>
        <v>0</v>
      </c>
      <c r="Z94" s="351">
        <f t="shared" si="36"/>
        <v>0</v>
      </c>
      <c r="AA94" s="352">
        <f t="shared" si="36"/>
        <v>0</v>
      </c>
      <c r="AB94" s="6" t="str">
        <f t="shared" si="37"/>
        <v>Sub 19</v>
      </c>
      <c r="AC94" s="60"/>
      <c r="AD94" s="60"/>
      <c r="AE94" s="60"/>
      <c r="AF94" s="60"/>
      <c r="AG94" s="60"/>
      <c r="AH94" s="60"/>
      <c r="AI94" s="60"/>
      <c r="AJ94" s="60"/>
      <c r="AK94" s="60"/>
      <c r="AL94" s="60"/>
      <c r="AM94" s="60"/>
      <c r="AN94" s="60"/>
      <c r="AO94" s="60"/>
      <c r="AP94" s="60"/>
      <c r="AQ94" s="60"/>
      <c r="AR94" s="324"/>
      <c r="AS94" s="325"/>
      <c r="AV94" s="251" t="str">
        <f t="shared" si="27"/>
        <v>0</v>
      </c>
      <c r="AW94" s="251" t="str">
        <f t="shared" si="28"/>
        <v>0</v>
      </c>
    </row>
    <row r="95" spans="15:49">
      <c r="O95" s="8"/>
      <c r="P95" s="8"/>
      <c r="R95" s="347" t="str">
        <f>InputSheet!C168</f>
        <v>Sub 20</v>
      </c>
      <c r="S95" s="8"/>
      <c r="T95" s="8"/>
      <c r="U95" s="8"/>
      <c r="V95" s="348">
        <f t="shared" si="38"/>
        <v>0</v>
      </c>
      <c r="W95" s="349">
        <f t="shared" si="38"/>
        <v>0</v>
      </c>
      <c r="X95" s="348">
        <f t="shared" si="39"/>
        <v>0</v>
      </c>
      <c r="Y95" s="353">
        <f t="shared" si="39"/>
        <v>0</v>
      </c>
      <c r="Z95" s="351">
        <f t="shared" si="36"/>
        <v>0</v>
      </c>
      <c r="AA95" s="352">
        <f t="shared" si="36"/>
        <v>0</v>
      </c>
      <c r="AB95" s="6" t="str">
        <f t="shared" si="37"/>
        <v>Sub 20</v>
      </c>
      <c r="AC95" s="60"/>
      <c r="AD95" s="60"/>
      <c r="AE95" s="60"/>
      <c r="AF95" s="60"/>
      <c r="AG95" s="60"/>
      <c r="AH95" s="60"/>
      <c r="AI95" s="60"/>
      <c r="AJ95" s="60"/>
      <c r="AK95" s="60"/>
      <c r="AL95" s="60"/>
      <c r="AM95" s="60"/>
      <c r="AN95" s="60"/>
      <c r="AO95" s="60"/>
      <c r="AP95" s="60"/>
      <c r="AQ95" s="60"/>
      <c r="AR95" s="324"/>
      <c r="AS95" s="325"/>
      <c r="AV95" s="251" t="str">
        <f t="shared" si="27"/>
        <v>0</v>
      </c>
      <c r="AW95" s="251" t="str">
        <f t="shared" si="28"/>
        <v>0</v>
      </c>
    </row>
    <row r="96" spans="15:49" ht="13.5" thickBot="1">
      <c r="O96" s="355"/>
      <c r="P96" s="355"/>
      <c r="R96" s="354" t="s">
        <v>650</v>
      </c>
      <c r="S96" s="355"/>
      <c r="T96" s="355"/>
      <c r="U96" s="355"/>
      <c r="V96" s="354"/>
      <c r="W96" s="356"/>
      <c r="X96" s="354"/>
      <c r="Y96" s="357"/>
      <c r="Z96" s="358">
        <f>SUM(Z75:Z95)</f>
        <v>52200</v>
      </c>
      <c r="AA96" s="359">
        <f ca="1">SUM(AA75:AA95)</f>
        <v>4048179.6000000006</v>
      </c>
      <c r="AC96" s="360"/>
      <c r="AD96" s="360"/>
      <c r="AE96" s="360"/>
      <c r="AF96" s="360"/>
      <c r="AG96" s="360"/>
      <c r="AH96" s="360"/>
      <c r="AI96" s="360"/>
      <c r="AJ96" s="360"/>
      <c r="AK96" s="360"/>
      <c r="AL96" s="360"/>
      <c r="AM96" s="360"/>
      <c r="AN96" s="360"/>
      <c r="AO96" s="360"/>
      <c r="AP96" s="360"/>
      <c r="AQ96" s="60"/>
      <c r="AR96" s="324"/>
      <c r="AS96" s="325"/>
      <c r="AV96" s="251" t="str">
        <f t="shared" si="27"/>
        <v>1</v>
      </c>
      <c r="AW96" s="251" t="str">
        <f t="shared" ca="1" si="28"/>
        <v>1</v>
      </c>
    </row>
    <row r="97" spans="15:49" ht="13.5" thickTop="1">
      <c r="O97" s="327"/>
      <c r="P97" s="327"/>
      <c r="R97" s="361"/>
      <c r="S97" s="327"/>
      <c r="T97" s="327"/>
      <c r="U97" s="327"/>
      <c r="V97" s="327"/>
      <c r="W97" s="327"/>
      <c r="X97" s="327"/>
      <c r="Y97" s="327"/>
      <c r="Z97" s="327"/>
      <c r="AA97" s="362"/>
      <c r="AV97" s="251" t="str">
        <f t="shared" si="27"/>
        <v>1</v>
      </c>
      <c r="AW97" s="251" t="str">
        <f t="shared" si="28"/>
        <v>1</v>
      </c>
    </row>
  </sheetData>
  <autoFilter ref="AV29:AW29"/>
  <mergeCells count="1">
    <mergeCell ref="F2:L2"/>
  </mergeCells>
  <conditionalFormatting sqref="R24">
    <cfRule type="cellIs" dxfId="1" priority="1" stopIfTrue="1" operator="greaterThan">
      <formula>0</formula>
    </cfRule>
  </conditionalFormatting>
  <dataValidations count="2">
    <dataValidation type="list" allowBlank="1" showInputMessage="1" showErrorMessage="1" sqref="L32:L46">
      <formula1>$L$9:$L$25</formula1>
    </dataValidation>
    <dataValidation type="list" allowBlank="1" showInputMessage="1" showErrorMessage="1" sqref="G32:G46">
      <formula1>$R$75:$R$95</formula1>
    </dataValidation>
  </dataValidations>
  <printOptions horizontalCentered="1"/>
  <pageMargins left="1" right="1" top="0.5" bottom="0.5" header="0.5" footer="0.5"/>
  <pageSetup scale="35" fitToHeight="1000" orientation="landscape" r:id="rId1"/>
  <headerFooter alignWithMargins="0"/>
  <rowBreaks count="1" manualBreakCount="1">
    <brk id="72" min="3" max="25" man="1"/>
  </rowBreaks>
  <legacyDrawing r:id="rId2"/>
</worksheet>
</file>

<file path=xl/worksheets/sheet3.xml><?xml version="1.0" encoding="utf-8"?>
<worksheet xmlns="http://schemas.openxmlformats.org/spreadsheetml/2006/main" xmlns:r="http://schemas.openxmlformats.org/officeDocument/2006/relationships">
  <dimension ref="A1:Q42"/>
  <sheetViews>
    <sheetView showZeros="0" view="pageBreakPreview" zoomScale="70" zoomScaleNormal="75" zoomScaleSheetLayoutView="70" workbookViewId="0">
      <selection activeCell="K11" sqref="K11"/>
    </sheetView>
  </sheetViews>
  <sheetFormatPr defaultRowHeight="15.75"/>
  <cols>
    <col min="1" max="1" width="9.28515625" style="924" customWidth="1"/>
    <col min="2" max="2" width="10.85546875" style="926" customWidth="1"/>
    <col min="3" max="3" width="16.28515625" style="926" customWidth="1"/>
    <col min="4" max="4" width="32.28515625" style="926" customWidth="1"/>
    <col min="5" max="6" width="8.5703125" style="929" customWidth="1"/>
    <col min="7" max="7" width="16.42578125" style="929" bestFit="1" customWidth="1"/>
    <col min="8" max="8" width="13.7109375" style="929" customWidth="1"/>
    <col min="9" max="9" width="10.7109375" style="929" customWidth="1"/>
    <col min="10" max="10" width="11.7109375" style="930" customWidth="1"/>
    <col min="11" max="11" width="12.28515625" style="930" bestFit="1" customWidth="1"/>
    <col min="12" max="13" width="11.28515625" style="930" customWidth="1"/>
    <col min="14" max="14" width="12.28515625" style="930" customWidth="1"/>
    <col min="15" max="15" width="10.7109375" style="930" customWidth="1"/>
    <col min="16" max="16" width="12.7109375" style="930" customWidth="1"/>
    <col min="17" max="17" width="26.140625" customWidth="1"/>
    <col min="18" max="18" width="45.7109375" style="926" bestFit="1" customWidth="1"/>
    <col min="19" max="19" width="47.42578125" style="926" bestFit="1" customWidth="1"/>
    <col min="20" max="20" width="10.5703125" style="926" bestFit="1" customWidth="1"/>
    <col min="21" max="16384" width="9.140625" style="926"/>
  </cols>
  <sheetData>
    <row r="1" spans="1:17">
      <c r="A1" s="920" t="s">
        <v>610</v>
      </c>
      <c r="B1" s="921" t="str">
        <f>+InputSheet!D4</f>
        <v>P-12246</v>
      </c>
      <c r="C1" s="922"/>
      <c r="D1" s="923"/>
      <c r="E1" s="924"/>
      <c r="F1" s="924"/>
      <c r="G1" s="924"/>
      <c r="H1" s="924"/>
      <c r="I1" s="924"/>
      <c r="J1" s="925"/>
      <c r="K1" s="925"/>
      <c r="L1" s="925"/>
      <c r="M1" s="925"/>
      <c r="N1" s="925"/>
      <c r="O1" s="925"/>
      <c r="P1" s="925"/>
    </row>
    <row r="2" spans="1:17">
      <c r="A2" s="920" t="s">
        <v>855</v>
      </c>
      <c r="B2" s="927" t="s">
        <v>856</v>
      </c>
      <c r="C2" s="928"/>
      <c r="D2" s="928"/>
      <c r="E2" s="928"/>
      <c r="F2" s="928"/>
      <c r="G2" s="928"/>
      <c r="H2" s="928"/>
      <c r="I2" s="928"/>
      <c r="J2" s="928"/>
      <c r="K2" s="928"/>
      <c r="L2" s="928"/>
      <c r="M2" s="928"/>
      <c r="N2" s="928"/>
      <c r="O2" s="928"/>
      <c r="P2" s="928"/>
    </row>
    <row r="3" spans="1:17">
      <c r="A3" s="920" t="s">
        <v>612</v>
      </c>
      <c r="B3" s="922" t="s">
        <v>857</v>
      </c>
      <c r="C3" s="928"/>
      <c r="D3" s="928"/>
      <c r="E3" s="928"/>
      <c r="F3" s="928"/>
      <c r="G3" s="928"/>
      <c r="H3" s="928"/>
      <c r="J3" s="928"/>
      <c r="K3" s="928"/>
      <c r="L3" s="928"/>
      <c r="M3" s="928"/>
      <c r="N3" s="928"/>
      <c r="O3" s="928"/>
      <c r="P3" s="928"/>
    </row>
    <row r="4" spans="1:17">
      <c r="A4" s="920" t="s">
        <v>611</v>
      </c>
      <c r="B4" s="922" t="s">
        <v>858</v>
      </c>
      <c r="C4" s="928"/>
      <c r="D4" s="928"/>
      <c r="E4" s="928"/>
      <c r="F4" s="928"/>
      <c r="G4" s="928"/>
      <c r="H4" s="928"/>
      <c r="I4" s="928"/>
      <c r="J4" s="928"/>
      <c r="K4" s="928"/>
      <c r="L4" s="928"/>
      <c r="M4" s="928"/>
      <c r="N4" s="928"/>
      <c r="O4" s="928"/>
      <c r="P4" s="928"/>
    </row>
    <row r="5" spans="1:17" ht="16.5" thickBot="1">
      <c r="Q5" s="926"/>
    </row>
    <row r="6" spans="1:17" ht="21" customHeight="1" thickTop="1">
      <c r="A6" s="931"/>
      <c r="B6" s="932"/>
      <c r="C6" s="932"/>
      <c r="D6" s="933"/>
      <c r="E6" s="934"/>
      <c r="F6" s="934"/>
      <c r="G6" s="934"/>
      <c r="H6" s="934"/>
      <c r="I6" s="934"/>
      <c r="J6" s="935"/>
      <c r="K6" s="936"/>
      <c r="L6" s="936"/>
      <c r="M6" s="936"/>
      <c r="N6" s="936"/>
      <c r="O6" s="937"/>
      <c r="P6" s="938"/>
      <c r="Q6" s="926"/>
    </row>
    <row r="7" spans="1:17">
      <c r="A7" s="939"/>
      <c r="B7" s="940"/>
      <c r="C7" s="940"/>
      <c r="D7" s="940"/>
      <c r="E7" s="941" t="s">
        <v>859</v>
      </c>
      <c r="F7" s="941" t="s">
        <v>859</v>
      </c>
      <c r="G7" s="941" t="s">
        <v>859</v>
      </c>
      <c r="H7" s="941" t="s">
        <v>860</v>
      </c>
      <c r="I7" s="941" t="s">
        <v>861</v>
      </c>
      <c r="J7" s="942" t="s">
        <v>862</v>
      </c>
      <c r="K7" s="943" t="s">
        <v>863</v>
      </c>
      <c r="L7" s="943" t="s">
        <v>864</v>
      </c>
      <c r="M7" s="943" t="s">
        <v>865</v>
      </c>
      <c r="N7" s="943" t="s">
        <v>866</v>
      </c>
      <c r="O7" s="944" t="s">
        <v>671</v>
      </c>
      <c r="P7" s="945"/>
      <c r="Q7" s="926"/>
    </row>
    <row r="8" spans="1:17">
      <c r="A8" s="946" t="s">
        <v>867</v>
      </c>
      <c r="B8" s="947" t="s">
        <v>868</v>
      </c>
      <c r="C8" s="947"/>
      <c r="D8" s="947" t="s">
        <v>869</v>
      </c>
      <c r="E8" s="948" t="s">
        <v>870</v>
      </c>
      <c r="F8" s="948" t="s">
        <v>871</v>
      </c>
      <c r="G8" s="948" t="s">
        <v>872</v>
      </c>
      <c r="H8" s="948" t="s">
        <v>873</v>
      </c>
      <c r="I8" s="948" t="s">
        <v>866</v>
      </c>
      <c r="J8" s="949" t="s">
        <v>609</v>
      </c>
      <c r="K8" s="950" t="s">
        <v>609</v>
      </c>
      <c r="L8" s="950" t="s">
        <v>609</v>
      </c>
      <c r="M8" s="950" t="s">
        <v>609</v>
      </c>
      <c r="N8" s="950" t="s">
        <v>609</v>
      </c>
      <c r="O8" s="951" t="s">
        <v>609</v>
      </c>
      <c r="P8" s="952" t="s">
        <v>641</v>
      </c>
      <c r="Q8" s="952" t="s">
        <v>986</v>
      </c>
    </row>
    <row r="9" spans="1:17">
      <c r="A9" s="939"/>
      <c r="B9" s="940"/>
      <c r="C9" s="940"/>
      <c r="D9" s="940"/>
      <c r="E9" s="953"/>
      <c r="F9" s="953"/>
      <c r="G9" s="953"/>
      <c r="H9" s="953"/>
      <c r="I9" s="953"/>
      <c r="J9" s="954"/>
      <c r="K9" s="955"/>
      <c r="L9" s="955"/>
      <c r="M9" s="955"/>
      <c r="N9" s="955"/>
      <c r="O9" s="956"/>
      <c r="P9" s="945"/>
      <c r="Q9" s="1114">
        <v>0.2</v>
      </c>
    </row>
    <row r="10" spans="1:17">
      <c r="A10" s="957">
        <v>1</v>
      </c>
      <c r="B10" s="1187" t="s">
        <v>890</v>
      </c>
      <c r="C10" s="1188"/>
      <c r="D10" s="958" t="s">
        <v>891</v>
      </c>
      <c r="E10" s="959">
        <v>1</v>
      </c>
      <c r="F10" s="959">
        <v>1</v>
      </c>
      <c r="G10" s="960">
        <v>6</v>
      </c>
      <c r="H10" s="1014">
        <v>1</v>
      </c>
      <c r="I10" s="961">
        <v>0</v>
      </c>
      <c r="J10" s="962">
        <v>573.29</v>
      </c>
      <c r="K10" s="962">
        <v>241</v>
      </c>
      <c r="L10" s="962"/>
      <c r="M10" s="962">
        <v>121.76</v>
      </c>
      <c r="N10" s="963"/>
      <c r="O10" s="962">
        <v>20</v>
      </c>
      <c r="P10" s="964"/>
      <c r="Q10" s="926"/>
    </row>
    <row r="11" spans="1:17">
      <c r="A11" s="957">
        <f>1+A10</f>
        <v>2</v>
      </c>
      <c r="B11" s="1189" t="s">
        <v>891</v>
      </c>
      <c r="C11" s="1190"/>
      <c r="D11" s="965" t="s">
        <v>892</v>
      </c>
      <c r="E11" s="959">
        <v>1</v>
      </c>
      <c r="F11" s="959">
        <v>1</v>
      </c>
      <c r="G11" s="960">
        <v>6</v>
      </c>
      <c r="H11" s="1014">
        <v>1</v>
      </c>
      <c r="I11" s="961"/>
      <c r="J11" s="962">
        <v>1924</v>
      </c>
      <c r="K11" s="962"/>
      <c r="L11" s="962"/>
      <c r="M11" s="962">
        <v>144.91999999999999</v>
      </c>
      <c r="N11" s="963"/>
      <c r="O11" s="962">
        <v>20</v>
      </c>
      <c r="P11" s="964"/>
      <c r="Q11" s="926"/>
    </row>
    <row r="12" spans="1:17">
      <c r="A12" s="957">
        <f>1+A11</f>
        <v>3</v>
      </c>
      <c r="B12" s="1187" t="s">
        <v>892</v>
      </c>
      <c r="C12" s="1191"/>
      <c r="D12" s="965" t="s">
        <v>890</v>
      </c>
      <c r="E12" s="959">
        <v>1</v>
      </c>
      <c r="F12" s="959">
        <v>1</v>
      </c>
      <c r="G12" s="960">
        <v>0</v>
      </c>
      <c r="H12" s="959">
        <v>0</v>
      </c>
      <c r="I12" s="961"/>
      <c r="J12" s="962">
        <v>1028</v>
      </c>
      <c r="K12" s="962"/>
      <c r="L12" s="962"/>
      <c r="M12" s="962">
        <v>65.489999999999995</v>
      </c>
      <c r="N12" s="963"/>
      <c r="O12" s="962">
        <v>20</v>
      </c>
      <c r="P12" s="964"/>
      <c r="Q12" s="926"/>
    </row>
    <row r="13" spans="1:17" ht="7.5" customHeight="1">
      <c r="A13" s="966"/>
      <c r="B13" s="967"/>
      <c r="C13" s="967"/>
      <c r="D13" s="967"/>
      <c r="E13" s="968"/>
      <c r="F13" s="968"/>
      <c r="G13" s="968"/>
      <c r="H13" s="968"/>
      <c r="I13" s="968"/>
      <c r="J13" s="969"/>
      <c r="K13" s="970"/>
      <c r="L13" s="970"/>
      <c r="M13" s="970"/>
      <c r="N13" s="970"/>
      <c r="O13" s="971"/>
      <c r="P13" s="972"/>
      <c r="Q13" s="926"/>
    </row>
    <row r="14" spans="1:17" ht="7.5" customHeight="1">
      <c r="A14" s="939"/>
      <c r="B14" s="940"/>
      <c r="C14" s="940"/>
      <c r="D14" s="940"/>
      <c r="E14" s="973"/>
      <c r="F14" s="973"/>
      <c r="G14" s="973"/>
      <c r="H14" s="973"/>
      <c r="I14" s="973"/>
      <c r="J14" s="974"/>
      <c r="K14" s="975"/>
      <c r="L14" s="975"/>
      <c r="M14" s="975"/>
      <c r="N14" s="975"/>
      <c r="O14" s="976"/>
      <c r="P14" s="964"/>
      <c r="Q14" s="926"/>
    </row>
    <row r="15" spans="1:17">
      <c r="A15" s="977" t="s">
        <v>874</v>
      </c>
      <c r="B15" s="947"/>
      <c r="C15" s="940"/>
      <c r="D15" s="940"/>
      <c r="E15" s="973"/>
      <c r="F15" s="973"/>
      <c r="G15" s="973"/>
      <c r="H15" s="973"/>
      <c r="I15" s="973"/>
      <c r="J15" s="974"/>
      <c r="K15" s="975"/>
      <c r="L15" s="975"/>
      <c r="M15" s="975"/>
      <c r="N15" s="975"/>
      <c r="O15" s="976"/>
      <c r="P15" s="964"/>
      <c r="Q15" s="926"/>
    </row>
    <row r="16" spans="1:17">
      <c r="A16" s="957">
        <f t="shared" ref="A16:B18" si="0">+A10</f>
        <v>1</v>
      </c>
      <c r="B16" s="940" t="str">
        <f t="shared" si="0"/>
        <v>Denver, CO</v>
      </c>
      <c r="C16" s="940"/>
      <c r="D16" s="940" t="str">
        <f t="shared" ref="D16:I17" si="1">+D10</f>
        <v>Washington, DC</v>
      </c>
      <c r="E16" s="973">
        <f t="shared" si="1"/>
        <v>1</v>
      </c>
      <c r="F16" s="973">
        <f t="shared" si="1"/>
        <v>1</v>
      </c>
      <c r="G16" s="973">
        <f t="shared" si="1"/>
        <v>6</v>
      </c>
      <c r="H16" s="973">
        <f t="shared" si="1"/>
        <v>1</v>
      </c>
      <c r="I16" s="973">
        <f t="shared" si="1"/>
        <v>0</v>
      </c>
      <c r="J16" s="974">
        <f>ROUND(J10*F10*E10,0)</f>
        <v>573</v>
      </c>
      <c r="K16" s="975">
        <f>ROUND(K10*E10*F10*G10,0)</f>
        <v>1446</v>
      </c>
      <c r="L16" s="975">
        <f>ROUND(L10*E10*F10,0)</f>
        <v>0</v>
      </c>
      <c r="M16" s="975">
        <f>ROUND(M10*H10*F10*(G10+1),0)</f>
        <v>852</v>
      </c>
      <c r="N16" s="975">
        <f>ROUND((N10*I10*F10*E10),0)</f>
        <v>0</v>
      </c>
      <c r="O16" s="976">
        <f>O10*E10*F10*(G10+1)</f>
        <v>140</v>
      </c>
      <c r="P16" s="964">
        <f>SUM(J16:O16)</f>
        <v>3011</v>
      </c>
      <c r="Q16" s="930">
        <f>P16*($Q$9)</f>
        <v>602.20000000000005</v>
      </c>
    </row>
    <row r="17" spans="1:17">
      <c r="A17" s="957">
        <f t="shared" si="0"/>
        <v>2</v>
      </c>
      <c r="B17" s="940" t="str">
        <f t="shared" si="0"/>
        <v>Washington, DC</v>
      </c>
      <c r="C17" s="940"/>
      <c r="D17" s="940" t="str">
        <f t="shared" si="1"/>
        <v>Mons, Belgium</v>
      </c>
      <c r="E17" s="973">
        <f t="shared" si="1"/>
        <v>1</v>
      </c>
      <c r="F17" s="973">
        <f t="shared" si="1"/>
        <v>1</v>
      </c>
      <c r="G17" s="973">
        <f t="shared" si="1"/>
        <v>6</v>
      </c>
      <c r="H17" s="973">
        <f t="shared" si="1"/>
        <v>1</v>
      </c>
      <c r="I17" s="973">
        <f t="shared" si="1"/>
        <v>0</v>
      </c>
      <c r="J17" s="974">
        <f>ROUND(J11*F11*E11,0)</f>
        <v>1924</v>
      </c>
      <c r="K17" s="975">
        <f>ROUND(K11*E11*F11*G11,0)</f>
        <v>0</v>
      </c>
      <c r="L17" s="975">
        <f>ROUND(L11*E11*F11,0)</f>
        <v>0</v>
      </c>
      <c r="M17" s="975">
        <f>ROUND(M11*H11*F11*(G11+1),0)</f>
        <v>1014</v>
      </c>
      <c r="N17" s="975">
        <f>ROUND((N11*I11*F11*E11),0)</f>
        <v>0</v>
      </c>
      <c r="O17" s="976">
        <f>O11*E11*F11*(G11+1)</f>
        <v>140</v>
      </c>
      <c r="P17" s="964">
        <f>SUM(J17:O17)</f>
        <v>3078</v>
      </c>
      <c r="Q17" s="930">
        <f>P17*($Q$9)</f>
        <v>615.6</v>
      </c>
    </row>
    <row r="18" spans="1:17">
      <c r="A18" s="957">
        <f t="shared" si="0"/>
        <v>3</v>
      </c>
      <c r="B18" s="940" t="str">
        <f t="shared" si="0"/>
        <v>Mons, Belgium</v>
      </c>
      <c r="C18" s="940"/>
      <c r="D18" s="940" t="str">
        <f t="shared" ref="D18:I18" si="2">+D12</f>
        <v>Denver, CO</v>
      </c>
      <c r="E18" s="973">
        <f t="shared" si="2"/>
        <v>1</v>
      </c>
      <c r="F18" s="973">
        <f t="shared" si="2"/>
        <v>1</v>
      </c>
      <c r="G18" s="973">
        <f t="shared" si="2"/>
        <v>0</v>
      </c>
      <c r="H18" s="973">
        <f t="shared" si="2"/>
        <v>0</v>
      </c>
      <c r="I18" s="973">
        <f t="shared" si="2"/>
        <v>0</v>
      </c>
      <c r="J18" s="974">
        <f>ROUND(J12*F12*E12,0)</f>
        <v>1028</v>
      </c>
      <c r="K18" s="975">
        <f>ROUND(K12*E12*F12*G12,0)</f>
        <v>0</v>
      </c>
      <c r="L18" s="975">
        <f>ROUND(L12*E12*F12,0)</f>
        <v>0</v>
      </c>
      <c r="M18" s="975">
        <f>ROUND(M12*H12*F12*(G12+1),0)</f>
        <v>0</v>
      </c>
      <c r="N18" s="975">
        <f>ROUND((N12*I12*F12*E12),0)</f>
        <v>0</v>
      </c>
      <c r="O18" s="976">
        <f>O12*E12*F12*(G12+1)</f>
        <v>20</v>
      </c>
      <c r="P18" s="964">
        <f>SUM(J18:O18)</f>
        <v>1048</v>
      </c>
      <c r="Q18" s="930">
        <f>P18</f>
        <v>1048</v>
      </c>
    </row>
    <row r="19" spans="1:17" ht="9" customHeight="1">
      <c r="A19" s="966"/>
      <c r="B19" s="967"/>
      <c r="C19" s="967"/>
      <c r="D19" s="967"/>
      <c r="E19" s="978"/>
      <c r="F19" s="978"/>
      <c r="G19" s="978"/>
      <c r="H19" s="978"/>
      <c r="I19" s="978"/>
      <c r="J19" s="969"/>
      <c r="K19" s="970"/>
      <c r="L19" s="970"/>
      <c r="M19" s="970"/>
      <c r="N19" s="970"/>
      <c r="O19" s="971"/>
      <c r="P19" s="972"/>
      <c r="Q19" s="926"/>
    </row>
    <row r="20" spans="1:17">
      <c r="A20" s="939"/>
      <c r="B20" s="940"/>
      <c r="C20" s="940"/>
      <c r="D20" s="940"/>
      <c r="E20" s="953"/>
      <c r="F20" s="953"/>
      <c r="G20" s="953"/>
      <c r="H20" s="953"/>
      <c r="I20" s="953"/>
      <c r="J20" s="974"/>
      <c r="K20" s="975"/>
      <c r="L20" s="975"/>
      <c r="M20" s="975"/>
      <c r="N20" s="975"/>
      <c r="O20" s="976"/>
      <c r="P20" s="964"/>
      <c r="Q20" s="926"/>
    </row>
    <row r="21" spans="1:17" ht="16.5" thickBot="1">
      <c r="A21" s="939" t="s">
        <v>956</v>
      </c>
      <c r="B21" s="979"/>
      <c r="C21" s="979"/>
      <c r="D21" s="940"/>
      <c r="E21" s="953"/>
      <c r="F21" s="953"/>
      <c r="G21" s="953"/>
      <c r="H21" s="953"/>
      <c r="I21" s="953"/>
      <c r="J21" s="980">
        <f t="shared" ref="J21:O21" si="3">SUM(J16:J19)</f>
        <v>3525</v>
      </c>
      <c r="K21" s="981">
        <f t="shared" si="3"/>
        <v>1446</v>
      </c>
      <c r="L21" s="981">
        <f t="shared" si="3"/>
        <v>0</v>
      </c>
      <c r="M21" s="981">
        <f t="shared" si="3"/>
        <v>1866</v>
      </c>
      <c r="N21" s="981">
        <f t="shared" si="3"/>
        <v>0</v>
      </c>
      <c r="O21" s="982">
        <f t="shared" si="3"/>
        <v>300</v>
      </c>
      <c r="P21" s="983">
        <f>SUM(P16:P19)</f>
        <v>7137</v>
      </c>
      <c r="Q21" s="983">
        <f>SUM(Q16:Q19)</f>
        <v>2265.8000000000002</v>
      </c>
    </row>
    <row r="22" spans="1:17" ht="16.5" thickBot="1">
      <c r="A22" s="984"/>
      <c r="B22" s="985"/>
      <c r="C22" s="985"/>
      <c r="D22" s="985"/>
      <c r="E22" s="986"/>
      <c r="F22" s="986"/>
      <c r="G22" s="986"/>
      <c r="H22" s="986"/>
      <c r="I22" s="986"/>
      <c r="J22" s="987"/>
      <c r="K22" s="987"/>
      <c r="L22" s="987"/>
      <c r="M22" s="987"/>
      <c r="N22" s="987"/>
      <c r="O22" s="988"/>
      <c r="P22" s="989"/>
      <c r="Q22" s="926"/>
    </row>
    <row r="23" spans="1:17" ht="16.5" thickTop="1">
      <c r="Q23" s="926"/>
    </row>
    <row r="27" spans="1:17">
      <c r="A27" s="990" t="s">
        <v>875</v>
      </c>
      <c r="Q27" s="926"/>
    </row>
    <row r="28" spans="1:17">
      <c r="A28" s="924" t="s">
        <v>876</v>
      </c>
      <c r="Q28" s="926"/>
    </row>
    <row r="29" spans="1:17">
      <c r="B29" s="926" t="s">
        <v>877</v>
      </c>
      <c r="Q29" s="926"/>
    </row>
    <row r="30" spans="1:17">
      <c r="B30" s="926" t="s">
        <v>878</v>
      </c>
      <c r="Q30" s="926"/>
    </row>
    <row r="31" spans="1:17">
      <c r="B31" s="926" t="s">
        <v>879</v>
      </c>
      <c r="Q31" s="926"/>
    </row>
    <row r="32" spans="1:17">
      <c r="B32" s="926" t="s">
        <v>880</v>
      </c>
      <c r="Q32" s="926"/>
    </row>
    <row r="33" spans="1:17">
      <c r="A33" s="926"/>
      <c r="B33" s="926" t="s">
        <v>881</v>
      </c>
      <c r="Q33" s="926"/>
    </row>
    <row r="34" spans="1:17">
      <c r="B34" s="926" t="s">
        <v>882</v>
      </c>
      <c r="Q34" s="926"/>
    </row>
    <row r="35" spans="1:17" ht="12" customHeight="1">
      <c r="Q35" s="926"/>
    </row>
    <row r="36" spans="1:17">
      <c r="A36" s="924" t="s">
        <v>883</v>
      </c>
      <c r="Q36" s="926"/>
    </row>
    <row r="37" spans="1:17">
      <c r="B37" s="926" t="s">
        <v>884</v>
      </c>
      <c r="C37" s="991"/>
      <c r="D37" s="991"/>
      <c r="E37" s="992"/>
      <c r="F37" s="992"/>
      <c r="G37" s="992"/>
      <c r="H37" s="992"/>
      <c r="I37" s="992"/>
      <c r="J37" s="993"/>
      <c r="Q37" s="926"/>
    </row>
    <row r="38" spans="1:17">
      <c r="B38" s="926" t="s">
        <v>885</v>
      </c>
      <c r="C38" s="991"/>
      <c r="D38" s="991"/>
      <c r="E38" s="992"/>
      <c r="F38" s="992"/>
      <c r="G38" s="992"/>
      <c r="H38" s="992"/>
      <c r="I38" s="992"/>
      <c r="J38" s="993"/>
      <c r="Q38" s="926"/>
    </row>
    <row r="39" spans="1:17">
      <c r="A39" s="994" t="s">
        <v>886</v>
      </c>
      <c r="B39" s="926" t="s">
        <v>887</v>
      </c>
      <c r="Q39" s="926"/>
    </row>
    <row r="40" spans="1:17">
      <c r="A40" s="994"/>
      <c r="B40" s="926" t="s">
        <v>888</v>
      </c>
      <c r="Q40" s="926"/>
    </row>
    <row r="41" spans="1:17">
      <c r="B41" s="926" t="s">
        <v>889</v>
      </c>
      <c r="Q41" s="926"/>
    </row>
    <row r="42" spans="1:17">
      <c r="Q42" s="926"/>
    </row>
  </sheetData>
  <mergeCells count="3">
    <mergeCell ref="B10:C10"/>
    <mergeCell ref="B11:C11"/>
    <mergeCell ref="B12:C12"/>
  </mergeCells>
  <printOptions horizontalCentered="1"/>
  <pageMargins left="0.5" right="0.5" top="0.75" bottom="0.75" header="0.5" footer="0.5"/>
  <pageSetup scale="55" orientation="landscape" cellComments="asDisplayed" horizontalDpi="300" verticalDpi="300" r:id="rId1"/>
  <headerFooter alignWithMargins="0"/>
  <rowBreaks count="1" manualBreakCount="1">
    <brk id="23" max="15" man="1"/>
  </rowBreaks>
</worksheet>
</file>

<file path=xl/worksheets/sheet30.xml><?xml version="1.0" encoding="utf-8"?>
<worksheet xmlns="http://schemas.openxmlformats.org/spreadsheetml/2006/main" xmlns:r="http://schemas.openxmlformats.org/officeDocument/2006/relationships">
  <sheetPr>
    <tabColor indexed="57"/>
    <pageSetUpPr fitToPage="1"/>
  </sheetPr>
  <dimension ref="A1:AW97"/>
  <sheetViews>
    <sheetView showGridLines="0" view="pageBreakPreview" zoomScale="85" zoomScaleNormal="70" zoomScaleSheetLayoutView="85" workbookViewId="0">
      <selection activeCell="E53" sqref="E53"/>
    </sheetView>
  </sheetViews>
  <sheetFormatPr defaultRowHeight="12.75" outlineLevelRow="1" outlineLevelCol="1"/>
  <cols>
    <col min="1" max="1" width="9.5703125" style="8" bestFit="1" customWidth="1"/>
    <col min="2" max="2" width="9.5703125" style="8" customWidth="1"/>
    <col min="3" max="3" width="9.140625" style="8"/>
    <col min="4" max="4" width="3.85546875" style="8" customWidth="1"/>
    <col min="5" max="5" width="17.7109375" style="6" customWidth="1"/>
    <col min="6" max="7" width="10.5703125" style="6" customWidth="1"/>
    <col min="8" max="8" width="3" style="6" customWidth="1"/>
    <col min="9" max="9" width="11.28515625" style="6" bestFit="1" customWidth="1"/>
    <col min="10" max="10" width="16.5703125" style="6" hidden="1" customWidth="1" outlineLevel="1"/>
    <col min="11" max="11" width="20.42578125" style="6" hidden="1" customWidth="1" outlineLevel="1"/>
    <col min="12" max="12" width="14" style="6" bestFit="1" customWidth="1" collapsed="1"/>
    <col min="13" max="13" width="14.7109375" style="6" bestFit="1" customWidth="1"/>
    <col min="14" max="14" width="12" style="6" customWidth="1"/>
    <col min="15" max="15" width="11.140625" style="6" customWidth="1" outlineLevel="1"/>
    <col min="16" max="16" width="9.85546875" style="6" customWidth="1" outlineLevel="1"/>
    <col min="17" max="17" width="9.85546875" style="6" bestFit="1" customWidth="1"/>
    <col min="18" max="18" width="16.7109375" style="6" bestFit="1" customWidth="1"/>
    <col min="19" max="19" width="16.42578125" style="6" bestFit="1" customWidth="1" outlineLevel="1"/>
    <col min="20" max="20" width="12.42578125" style="6" bestFit="1" customWidth="1" outlineLevel="1"/>
    <col min="21" max="21" width="8.42578125" style="6" bestFit="1" customWidth="1" outlineLevel="1"/>
    <col min="22" max="22" width="10.5703125" style="6" customWidth="1"/>
    <col min="23" max="23" width="8.85546875" style="6" bestFit="1" customWidth="1"/>
    <col min="24" max="24" width="11.140625" style="6" customWidth="1"/>
    <col min="25" max="25" width="10" style="6" customWidth="1"/>
    <col min="26" max="26" width="10.42578125" style="6" customWidth="1"/>
    <col min="27" max="27" width="13.28515625" style="6" customWidth="1"/>
    <col min="28" max="28" width="12.42578125" style="6" customWidth="1" outlineLevel="1"/>
    <col min="29" max="31" width="10.7109375" style="6" customWidth="1" outlineLevel="1"/>
    <col min="32" max="32" width="9.85546875" style="6" customWidth="1" outlineLevel="1"/>
    <col min="33" max="38" width="11.140625" style="6" customWidth="1" outlineLevel="1"/>
    <col min="39" max="39" width="11.28515625" style="6" customWidth="1" outlineLevel="1"/>
    <col min="40" max="40" width="10.28515625" style="6" customWidth="1" outlineLevel="1"/>
    <col min="41" max="41" width="11.140625" style="6" customWidth="1" outlineLevel="1"/>
    <col min="42" max="42" width="10.7109375" style="6" customWidth="1" outlineLevel="1"/>
    <col min="43" max="43" width="3.5703125" style="8" customWidth="1" outlineLevel="1"/>
    <col min="44" max="44" width="13.7109375" style="6" customWidth="1" outlineLevel="1"/>
    <col min="45" max="45" width="13.7109375" style="8" customWidth="1"/>
    <col min="46" max="47" width="9.140625" style="8" customWidth="1"/>
    <col min="48" max="49" width="19.85546875" style="251" bestFit="1" customWidth="1"/>
    <col min="50" max="16384" width="9.140625" style="8"/>
  </cols>
  <sheetData>
    <row r="1" spans="1:49">
      <c r="E1" s="241" t="s">
        <v>666</v>
      </c>
      <c r="F1" s="242" t="str">
        <f>InputSheet!D1</f>
        <v>NCSA HQ 7010</v>
      </c>
      <c r="G1" s="243"/>
      <c r="H1" s="243"/>
      <c r="I1" s="243"/>
      <c r="J1" s="244"/>
      <c r="K1" s="244"/>
      <c r="L1" s="243"/>
      <c r="M1" s="245" t="s">
        <v>610</v>
      </c>
      <c r="N1" s="242" t="str">
        <f>InputSheet!D4</f>
        <v>P-12246</v>
      </c>
      <c r="O1" s="243"/>
      <c r="P1" s="243"/>
      <c r="Q1" s="243"/>
      <c r="R1" s="243"/>
      <c r="S1" s="243"/>
      <c r="T1" s="243"/>
      <c r="U1" s="243"/>
      <c r="V1" s="243"/>
      <c r="W1" s="243"/>
      <c r="X1" s="243"/>
      <c r="Y1" s="243"/>
      <c r="Z1" s="243"/>
      <c r="AA1" s="243"/>
      <c r="AB1" s="246"/>
      <c r="AV1" s="247"/>
      <c r="AW1" s="247"/>
    </row>
    <row r="2" spans="1:49">
      <c r="E2" s="248" t="s">
        <v>612</v>
      </c>
      <c r="F2" s="1195" t="str">
        <f>InputSheet!D2</f>
        <v>CIS Consultant Services</v>
      </c>
      <c r="G2" s="1195"/>
      <c r="H2" s="1195"/>
      <c r="I2" s="1195"/>
      <c r="J2" s="1195"/>
      <c r="K2" s="1195"/>
      <c r="L2" s="1196"/>
      <c r="M2" s="249" t="s">
        <v>611</v>
      </c>
      <c r="N2" s="27" t="str">
        <f>InputSheet!D3</f>
        <v>ManTech Telecommunications and Information Systems Corporation</v>
      </c>
      <c r="O2" s="8"/>
      <c r="P2" s="8"/>
      <c r="Q2" s="8"/>
      <c r="R2" s="8"/>
      <c r="S2" s="8"/>
      <c r="T2" s="8"/>
      <c r="U2" s="8"/>
      <c r="V2" s="8"/>
      <c r="W2" s="8"/>
      <c r="X2" s="8"/>
      <c r="Y2" s="8"/>
      <c r="Z2" s="8"/>
      <c r="AA2" s="8"/>
      <c r="AB2" s="250"/>
    </row>
    <row r="3" spans="1:49" s="254" customFormat="1" ht="13.5" thickBot="1">
      <c r="A3" s="8"/>
      <c r="B3" s="8"/>
      <c r="C3" s="8"/>
      <c r="D3" s="8"/>
      <c r="E3" s="252" t="s">
        <v>613</v>
      </c>
      <c r="F3" s="253" t="s">
        <v>619</v>
      </c>
      <c r="J3" s="255"/>
      <c r="K3" s="255"/>
      <c r="M3" s="256"/>
      <c r="Q3" s="257"/>
      <c r="AB3" s="258"/>
      <c r="AG3" s="257"/>
      <c r="AH3" s="257"/>
      <c r="AI3" s="257"/>
      <c r="AJ3" s="257"/>
      <c r="AK3" s="257"/>
      <c r="AL3" s="257"/>
      <c r="AV3" s="259"/>
      <c r="AW3" s="259"/>
    </row>
    <row r="4" spans="1:49">
      <c r="E4" s="248"/>
      <c r="F4" s="8"/>
      <c r="G4" s="8"/>
      <c r="H4" s="8"/>
      <c r="I4" s="8"/>
      <c r="J4" s="260"/>
      <c r="K4" s="260"/>
      <c r="L4" s="8"/>
      <c r="M4" s="8"/>
      <c r="N4" s="8"/>
      <c r="O4" s="8"/>
      <c r="P4" s="8"/>
      <c r="Q4" s="8"/>
      <c r="R4" s="8"/>
      <c r="S4" s="8"/>
      <c r="T4" s="8"/>
      <c r="U4" s="8"/>
      <c r="V4" s="8"/>
      <c r="W4" s="8"/>
      <c r="X4" s="8"/>
      <c r="Y4" s="8"/>
      <c r="Z4" s="8"/>
      <c r="AA4" s="8"/>
      <c r="AB4" s="1031"/>
      <c r="AP4" s="8"/>
    </row>
    <row r="5" spans="1:49" hidden="1" outlineLevel="1">
      <c r="E5" s="248"/>
      <c r="F5" s="8"/>
      <c r="G5" s="8"/>
      <c r="H5" s="8"/>
      <c r="I5" s="8"/>
      <c r="J5" s="261"/>
      <c r="K5" s="261"/>
      <c r="L5" s="262"/>
      <c r="M5" s="8"/>
      <c r="N5" s="263" t="str">
        <f>N28&amp;"%"</f>
        <v>B%</v>
      </c>
      <c r="O5" s="263" t="str">
        <f>O28&amp;"%"</f>
        <v>%</v>
      </c>
      <c r="P5" s="263" t="str">
        <f>P28&amp;"%"</f>
        <v>%</v>
      </c>
      <c r="Q5" s="263" t="str">
        <f t="shared" ref="Q5:X5" si="0">Q28&amp;"%"</f>
        <v>C%</v>
      </c>
      <c r="R5" s="263" t="str">
        <f t="shared" si="0"/>
        <v>D%</v>
      </c>
      <c r="S5" s="263" t="str">
        <f>S28&amp;"%"</f>
        <v>%</v>
      </c>
      <c r="T5" s="263" t="str">
        <f>T28&amp;"%"</f>
        <v>%</v>
      </c>
      <c r="U5" s="263" t="str">
        <f>U28&amp;"%"</f>
        <v>%</v>
      </c>
      <c r="V5" s="263" t="str">
        <f t="shared" si="0"/>
        <v>E%</v>
      </c>
      <c r="W5" s="263"/>
      <c r="X5" s="263" t="str">
        <f t="shared" si="0"/>
        <v>G%</v>
      </c>
      <c r="Y5" s="8"/>
      <c r="Z5" s="8"/>
      <c r="AA5" s="8"/>
      <c r="AB5" s="1031"/>
      <c r="AF5" s="263"/>
      <c r="AG5" s="263"/>
      <c r="AH5" s="263"/>
      <c r="AI5" s="263"/>
      <c r="AJ5" s="263"/>
      <c r="AK5" s="263"/>
      <c r="AL5" s="263"/>
      <c r="AM5" s="263"/>
      <c r="AN5" s="263"/>
      <c r="AO5" s="263"/>
      <c r="AP5" s="264"/>
      <c r="AQ5" s="47"/>
    </row>
    <row r="6" spans="1:49" hidden="1" outlineLevel="1">
      <c r="E6" s="248"/>
      <c r="F6" s="8"/>
      <c r="G6" s="8"/>
      <c r="H6" s="8"/>
      <c r="I6" s="265"/>
      <c r="J6" s="266"/>
      <c r="K6" s="263"/>
      <c r="L6" s="267">
        <f ca="1">COLUMN(L6)-COLUMN(OFFSET($L6,0,-1))</f>
        <v>1</v>
      </c>
      <c r="M6" s="267">
        <f t="shared" ref="M6:X6" ca="1" si="1">COLUMN(M6)-COLUMN(OFFSET($L6,0,-1))</f>
        <v>2</v>
      </c>
      <c r="N6" s="267">
        <f t="shared" ca="1" si="1"/>
        <v>3</v>
      </c>
      <c r="O6" s="267">
        <f t="shared" ca="1" si="1"/>
        <v>4</v>
      </c>
      <c r="P6" s="267">
        <f t="shared" ca="1" si="1"/>
        <v>5</v>
      </c>
      <c r="Q6" s="267">
        <f t="shared" ca="1" si="1"/>
        <v>6</v>
      </c>
      <c r="R6" s="267">
        <f t="shared" ca="1" si="1"/>
        <v>7</v>
      </c>
      <c r="S6" s="267">
        <f t="shared" ca="1" si="1"/>
        <v>8</v>
      </c>
      <c r="T6" s="267">
        <f t="shared" ca="1" si="1"/>
        <v>9</v>
      </c>
      <c r="U6" s="267">
        <f t="shared" ca="1" si="1"/>
        <v>10</v>
      </c>
      <c r="V6" s="267">
        <f t="shared" ca="1" si="1"/>
        <v>11</v>
      </c>
      <c r="W6" s="267"/>
      <c r="X6" s="267">
        <f t="shared" ca="1" si="1"/>
        <v>13</v>
      </c>
      <c r="Y6" s="8"/>
      <c r="Z6" s="8"/>
      <c r="AA6" s="8"/>
      <c r="AB6" s="1031"/>
      <c r="AC6" s="266"/>
      <c r="AD6" s="266"/>
      <c r="AE6" s="266"/>
      <c r="AF6" s="263"/>
      <c r="AG6" s="263"/>
      <c r="AH6" s="263"/>
      <c r="AI6" s="263"/>
      <c r="AJ6" s="263"/>
      <c r="AK6" s="263"/>
      <c r="AL6" s="263"/>
      <c r="AM6" s="263"/>
      <c r="AN6" s="263"/>
      <c r="AO6" s="263"/>
      <c r="AP6" s="264"/>
      <c r="AQ6" s="47"/>
    </row>
    <row r="7" spans="1:49" collapsed="1">
      <c r="E7" s="268"/>
      <c r="F7" s="39" t="s">
        <v>587</v>
      </c>
      <c r="G7" s="39" t="s">
        <v>588</v>
      </c>
      <c r="H7" s="39"/>
      <c r="I7" s="269"/>
      <c r="J7" s="270"/>
      <c r="K7" s="270"/>
      <c r="L7" s="271"/>
      <c r="M7" s="272"/>
      <c r="N7" s="272"/>
      <c r="O7" s="272"/>
      <c r="P7" s="272"/>
      <c r="Q7" s="272" t="str">
        <f>InputSheet!D41</f>
        <v>Contr/Govt</v>
      </c>
      <c r="R7" s="272"/>
      <c r="S7" s="272"/>
      <c r="T7" s="272"/>
      <c r="U7" s="272"/>
      <c r="V7" s="272" t="str">
        <f>$Q7</f>
        <v>Contr/Govt</v>
      </c>
      <c r="W7" s="272"/>
      <c r="X7" s="273"/>
      <c r="Y7" s="8"/>
      <c r="Z7" s="8"/>
      <c r="AA7" s="8"/>
      <c r="AB7" s="1032"/>
      <c r="AC7" s="270"/>
      <c r="AD7" s="270"/>
      <c r="AE7" s="270"/>
      <c r="AF7" s="270"/>
      <c r="AG7" s="270"/>
      <c r="AH7" s="270"/>
      <c r="AI7" s="270"/>
      <c r="AJ7" s="270"/>
      <c r="AK7" s="270"/>
      <c r="AL7" s="270"/>
      <c r="AM7" s="270"/>
      <c r="AN7" s="270"/>
      <c r="AO7" s="274"/>
      <c r="AP7" s="249"/>
    </row>
    <row r="8" spans="1:49" ht="14.25" customHeight="1">
      <c r="E8" s="239" t="str">
        <f>InputSheet!$C$24</f>
        <v>Option Year 2</v>
      </c>
      <c r="F8" s="275">
        <f>VLOOKUP($E$8,InputSheet!$C$22:$G$38,2,FALSE)</f>
        <v>40909</v>
      </c>
      <c r="G8" s="276">
        <f>VLOOKUP($E$8,InputSheet!$C$22:$G$38,3,FALSE)</f>
        <v>41152</v>
      </c>
      <c r="H8" s="277"/>
      <c r="I8" s="278"/>
      <c r="J8" s="279" t="s">
        <v>593</v>
      </c>
      <c r="K8" s="279" t="s">
        <v>628</v>
      </c>
      <c r="L8" s="280" t="s">
        <v>52</v>
      </c>
      <c r="M8" s="279" t="s">
        <v>0</v>
      </c>
      <c r="N8" s="279" t="s">
        <v>620</v>
      </c>
      <c r="O8" s="279" t="s">
        <v>895</v>
      </c>
      <c r="P8" s="279" t="s">
        <v>911</v>
      </c>
      <c r="Q8" s="279" t="s">
        <v>621</v>
      </c>
      <c r="R8" s="279" t="s">
        <v>637</v>
      </c>
      <c r="S8" s="279" t="s">
        <v>919</v>
      </c>
      <c r="T8" s="279" t="s">
        <v>949</v>
      </c>
      <c r="U8" s="279" t="s">
        <v>950</v>
      </c>
      <c r="V8" s="279" t="s">
        <v>597</v>
      </c>
      <c r="W8" s="279" t="s">
        <v>53</v>
      </c>
      <c r="X8" s="281" t="s">
        <v>55</v>
      </c>
      <c r="Y8" s="8"/>
      <c r="Z8" s="8"/>
      <c r="AA8" s="8"/>
      <c r="AB8" s="1033" t="s">
        <v>717</v>
      </c>
      <c r="AC8" s="279"/>
      <c r="AD8" s="279"/>
      <c r="AE8" s="279"/>
      <c r="AF8" s="279"/>
      <c r="AG8" s="279"/>
      <c r="AH8" s="279"/>
      <c r="AI8" s="279"/>
      <c r="AJ8" s="279"/>
      <c r="AK8" s="279"/>
      <c r="AL8" s="279"/>
      <c r="AM8" s="279"/>
      <c r="AN8" s="279"/>
      <c r="AO8" s="279"/>
      <c r="AP8" s="249"/>
    </row>
    <row r="9" spans="1:49" hidden="1">
      <c r="B9" s="8">
        <v>750</v>
      </c>
      <c r="E9" s="248"/>
      <c r="F9" s="8"/>
      <c r="G9" s="8"/>
      <c r="H9" s="8"/>
      <c r="I9" s="278"/>
      <c r="J9" s="283" t="str">
        <f>InputSheet!I40</f>
        <v>IS</v>
      </c>
      <c r="K9" s="284" t="str">
        <f>InputSheet!$D$42</f>
        <v>Contr</v>
      </c>
      <c r="L9" s="207" t="s">
        <v>622</v>
      </c>
      <c r="M9" s="285">
        <f>InputSheet!$E$7</f>
        <v>3.3000000000000002E-2</v>
      </c>
      <c r="N9" s="286">
        <f>VLOOKUP(($E$8&amp;$J9),InputSheet!$A$22:$G$130,7,FALSE)</f>
        <v>1.0890977106249997</v>
      </c>
      <c r="O9" s="833">
        <v>0.35</v>
      </c>
      <c r="P9" s="833">
        <v>0.35</v>
      </c>
      <c r="Q9" s="287">
        <f>IF(Q$7="",VLOOKUP($E$8&amp;$J9&amp;Q$8&amp;$K9,Indirects,2,FALSE),VLOOKUP($E$8&amp;$J9&amp;Q$8&amp;Q$7,Indirects,2,FALSE))</f>
        <v>0.31240000000000001</v>
      </c>
      <c r="R9" s="287">
        <f>IF(R$7="",VLOOKUP($E$8&amp;$J9&amp;R$8&amp;$K9,Indirects,2,FALSE),VLOOKUP($E$8&amp;$J9&amp;R$8&amp;R$7,Indirects,2,FALSE))</f>
        <v>0.1988</v>
      </c>
      <c r="S9" s="1015">
        <v>5000</v>
      </c>
      <c r="T9" s="833">
        <v>0.35</v>
      </c>
      <c r="U9" s="833">
        <v>0.35</v>
      </c>
      <c r="V9" s="287">
        <f>IF(V$7="",VLOOKUP($E$8&amp;$J9&amp;V$8&amp;$K9,Indirects,2,FALSE),VLOOKUP($E$8&amp;$J9&amp;V$8&amp;V$7,Indirects,2,FALSE))</f>
        <v>8.9499999999999996E-2</v>
      </c>
      <c r="W9" s="288"/>
      <c r="X9" s="213">
        <v>0.15</v>
      </c>
      <c r="Y9" s="8"/>
      <c r="Z9" s="8"/>
      <c r="AA9" s="8"/>
      <c r="AB9" s="1034">
        <f t="shared" ref="AB9:AB24" si="2">IF(M9="","",M9)</f>
        <v>3.3000000000000002E-2</v>
      </c>
      <c r="AC9" s="1018"/>
      <c r="AD9" s="1018"/>
      <c r="AE9" s="1018"/>
      <c r="AF9" s="287"/>
      <c r="AG9" s="287"/>
      <c r="AH9" s="287"/>
      <c r="AI9" s="287"/>
      <c r="AJ9" s="287"/>
      <c r="AK9" s="287"/>
      <c r="AL9" s="287"/>
      <c r="AM9" s="287"/>
      <c r="AN9" s="287"/>
      <c r="AO9" s="287"/>
      <c r="AP9" s="249"/>
    </row>
    <row r="10" spans="1:49" ht="15" customHeight="1">
      <c r="B10" s="8">
        <f>B9/3</f>
        <v>250</v>
      </c>
      <c r="E10" s="248"/>
      <c r="F10" s="8"/>
      <c r="G10" s="8"/>
      <c r="H10" s="8"/>
      <c r="I10" s="278"/>
      <c r="J10" s="289" t="str">
        <f>J$9</f>
        <v>IS</v>
      </c>
      <c r="K10" s="290" t="str">
        <f>InputSheet!$D$43</f>
        <v>Govt</v>
      </c>
      <c r="L10" s="208" t="s">
        <v>623</v>
      </c>
      <c r="M10" s="285">
        <f>InputSheet!$E$7</f>
        <v>3.3000000000000002E-2</v>
      </c>
      <c r="N10" s="286">
        <f>VLOOKUP(($E$8&amp;$J10),InputSheet!$A$22:$G$130,7,FALSE)</f>
        <v>1.0890977106249997</v>
      </c>
      <c r="O10" s="834">
        <v>0.35</v>
      </c>
      <c r="P10" s="834">
        <v>0.35</v>
      </c>
      <c r="Q10" s="287">
        <f>IF(Q$7="",VLOOKUP($E$8&amp;$J10&amp;Q$8&amp;$K10,Indirects,2,FALSE),VLOOKUP($E$8&amp;$J10&amp;Q$8&amp;Q$7,Indirects,2,FALSE))</f>
        <v>0.31240000000000001</v>
      </c>
      <c r="R10" s="287">
        <f>IF(R$7="",VLOOKUP($E$8&amp;$J10&amp;R$8&amp;$K10,Indirects,2,FALSE),VLOOKUP($E$8&amp;$J10&amp;R$8&amp;R$7,Indirects,2,FALSE))</f>
        <v>2.23E-2</v>
      </c>
      <c r="S10" s="1015">
        <v>5000</v>
      </c>
      <c r="T10" s="1058">
        <f>75.04*10</f>
        <v>750.40000000000009</v>
      </c>
      <c r="U10" s="834">
        <v>1.9E-2</v>
      </c>
      <c r="V10" s="287">
        <f t="shared" ref="V10:V24" si="3">IF(V$7="",VLOOKUP($E$8&amp;$J10&amp;V$8&amp;$K10,Indirects,2,FALSE),VLOOKUP($E$8&amp;$J10&amp;V$8&amp;V$7,Indirects,2,FALSE))</f>
        <v>8.9499999999999996E-2</v>
      </c>
      <c r="W10" s="291"/>
      <c r="X10" s="209">
        <f>'Pricing Summary'!C52</f>
        <v>0.08</v>
      </c>
      <c r="Y10" s="8"/>
      <c r="Z10" s="8"/>
      <c r="AA10" s="8"/>
      <c r="AB10" s="1034">
        <f t="shared" si="2"/>
        <v>3.3000000000000002E-2</v>
      </c>
      <c r="AC10" s="1019"/>
      <c r="AD10" s="1019"/>
      <c r="AE10" s="1019"/>
      <c r="AF10" s="287"/>
      <c r="AG10" s="287"/>
      <c r="AH10" s="287"/>
      <c r="AI10" s="287"/>
      <c r="AJ10" s="287"/>
      <c r="AK10" s="287"/>
      <c r="AL10" s="287"/>
      <c r="AM10" s="287"/>
      <c r="AN10" s="287"/>
      <c r="AO10" s="287"/>
      <c r="AP10" s="249"/>
    </row>
    <row r="11" spans="1:49" hidden="1" outlineLevel="1">
      <c r="E11" s="248"/>
      <c r="F11" s="8"/>
      <c r="G11" s="8"/>
      <c r="H11" s="8"/>
      <c r="I11" s="278"/>
      <c r="J11" s="289" t="str">
        <f t="shared" ref="J11:J24" si="4">J$9</f>
        <v>IS</v>
      </c>
      <c r="K11" s="290" t="str">
        <f>K$9</f>
        <v>Contr</v>
      </c>
      <c r="L11" s="208" t="s">
        <v>667</v>
      </c>
      <c r="M11" s="293">
        <v>0</v>
      </c>
      <c r="N11" s="292">
        <v>1</v>
      </c>
      <c r="O11" s="833">
        <v>0</v>
      </c>
      <c r="P11" s="834">
        <v>0</v>
      </c>
      <c r="Q11" s="287">
        <f t="shared" ref="Q11:R20" si="5">IF(Q$7="",VLOOKUP($E$8&amp;$J11&amp;Q$8&amp;$K11,Indirects,2,FALSE),VLOOKUP($E$8&amp;$J11&amp;Q$8&amp;Q$7,Indirects,2,FALSE))</f>
        <v>0.31240000000000001</v>
      </c>
      <c r="R11" s="287">
        <f t="shared" si="5"/>
        <v>0.1988</v>
      </c>
      <c r="S11" s="834">
        <v>0</v>
      </c>
      <c r="T11" s="834">
        <v>0</v>
      </c>
      <c r="U11" s="834">
        <v>0</v>
      </c>
      <c r="V11" s="287">
        <f t="shared" si="3"/>
        <v>8.9499999999999996E-2</v>
      </c>
      <c r="W11" s="291"/>
      <c r="X11" s="209">
        <f t="shared" ref="X11:X22" si="6">X10</f>
        <v>0.08</v>
      </c>
      <c r="Y11" s="8"/>
      <c r="Z11" s="8"/>
      <c r="AA11" s="8"/>
      <c r="AB11" s="1034">
        <f t="shared" si="2"/>
        <v>0</v>
      </c>
      <c r="AC11" s="1019"/>
      <c r="AD11" s="1019"/>
      <c r="AE11" s="1019"/>
      <c r="AF11" s="287"/>
      <c r="AG11" s="287"/>
      <c r="AH11" s="287"/>
      <c r="AI11" s="287"/>
      <c r="AJ11" s="287"/>
      <c r="AK11" s="287"/>
      <c r="AL11" s="287"/>
      <c r="AM11" s="287"/>
      <c r="AN11" s="287"/>
      <c r="AO11" s="287"/>
      <c r="AP11" s="249"/>
    </row>
    <row r="12" spans="1:49" hidden="1" outlineLevel="1">
      <c r="E12" s="248"/>
      <c r="F12" s="8"/>
      <c r="G12" s="8"/>
      <c r="H12" s="8"/>
      <c r="I12" s="278"/>
      <c r="J12" s="289" t="str">
        <f t="shared" si="4"/>
        <v>IS</v>
      </c>
      <c r="K12" s="290" t="str">
        <f>K$10</f>
        <v>Govt</v>
      </c>
      <c r="L12" s="208" t="s">
        <v>668</v>
      </c>
      <c r="M12" s="293">
        <v>0</v>
      </c>
      <c r="N12" s="292">
        <v>1</v>
      </c>
      <c r="O12" s="834">
        <v>0</v>
      </c>
      <c r="P12" s="834">
        <v>0</v>
      </c>
      <c r="Q12" s="287">
        <f t="shared" si="5"/>
        <v>0.31240000000000001</v>
      </c>
      <c r="R12" s="287">
        <f t="shared" si="5"/>
        <v>2.23E-2</v>
      </c>
      <c r="S12" s="834">
        <v>0</v>
      </c>
      <c r="T12" s="834">
        <v>0</v>
      </c>
      <c r="U12" s="834">
        <v>0</v>
      </c>
      <c r="V12" s="287">
        <f t="shared" si="3"/>
        <v>8.9499999999999996E-2</v>
      </c>
      <c r="W12" s="291"/>
      <c r="X12" s="209">
        <f t="shared" si="6"/>
        <v>0.08</v>
      </c>
      <c r="Y12" s="8"/>
      <c r="Z12" s="8"/>
      <c r="AA12" s="8"/>
      <c r="AB12" s="1034">
        <f t="shared" si="2"/>
        <v>0</v>
      </c>
      <c r="AC12" s="1019"/>
      <c r="AD12" s="1019"/>
      <c r="AE12" s="1019"/>
      <c r="AF12" s="287"/>
      <c r="AG12" s="287"/>
      <c r="AH12" s="287"/>
      <c r="AI12" s="287"/>
      <c r="AJ12" s="287"/>
      <c r="AK12" s="287"/>
      <c r="AL12" s="287"/>
      <c r="AM12" s="287"/>
      <c r="AN12" s="287"/>
      <c r="AO12" s="287"/>
      <c r="AP12" s="249"/>
    </row>
    <row r="13" spans="1:49" hidden="1" outlineLevel="1">
      <c r="E13" s="248"/>
      <c r="F13" s="8"/>
      <c r="G13" s="8"/>
      <c r="H13" s="8"/>
      <c r="I13" s="278"/>
      <c r="J13" s="289" t="str">
        <f>InputSheet!I87</f>
        <v>ESD</v>
      </c>
      <c r="K13" s="290" t="str">
        <f>K$9</f>
        <v>Contr</v>
      </c>
      <c r="L13" s="208" t="s">
        <v>624</v>
      </c>
      <c r="M13" s="285">
        <f>InputSheet!$E$54</f>
        <v>3.3000000000000002E-2</v>
      </c>
      <c r="N13" s="286">
        <f>VLOOKUP(($E$8&amp;$J13),InputSheet!$A$22:$G$130,7,FALSE)</f>
        <v>1.0890977106249997</v>
      </c>
      <c r="O13" s="833">
        <v>0</v>
      </c>
      <c r="P13" s="833">
        <v>0</v>
      </c>
      <c r="Q13" s="287">
        <f>IF(Q$7="",VLOOKUP($E$8&amp;$J13&amp;Q$8&amp;$K13,Indirects,2,FALSE),VLOOKUP($E$8&amp;$J13&amp;Q$8&amp;Q$7,Indirects,2,FALSE))</f>
        <v>0</v>
      </c>
      <c r="R13" s="287">
        <f t="shared" si="5"/>
        <v>0</v>
      </c>
      <c r="S13" s="833">
        <v>0</v>
      </c>
      <c r="T13" s="833">
        <v>0</v>
      </c>
      <c r="U13" s="833">
        <v>0</v>
      </c>
      <c r="V13" s="287">
        <f t="shared" si="3"/>
        <v>0</v>
      </c>
      <c r="W13" s="291"/>
      <c r="X13" s="209">
        <f t="shared" si="6"/>
        <v>0.08</v>
      </c>
      <c r="Y13" s="8"/>
      <c r="Z13" s="8"/>
      <c r="AA13" s="8"/>
      <c r="AB13" s="1034">
        <f t="shared" si="2"/>
        <v>3.3000000000000002E-2</v>
      </c>
      <c r="AC13" s="1019"/>
      <c r="AD13" s="1019"/>
      <c r="AE13" s="1019"/>
      <c r="AF13" s="287"/>
      <c r="AG13" s="287"/>
      <c r="AH13" s="287"/>
      <c r="AI13" s="287"/>
      <c r="AJ13" s="287"/>
      <c r="AK13" s="287"/>
      <c r="AL13" s="287"/>
      <c r="AM13" s="287"/>
      <c r="AN13" s="287"/>
      <c r="AO13" s="287"/>
      <c r="AP13" s="249"/>
    </row>
    <row r="14" spans="1:49" hidden="1" outlineLevel="1">
      <c r="E14" s="248"/>
      <c r="F14" s="8"/>
      <c r="G14" s="8"/>
      <c r="H14" s="8"/>
      <c r="I14" s="278"/>
      <c r="J14" s="289" t="str">
        <f>J13</f>
        <v>ESD</v>
      </c>
      <c r="K14" s="290" t="str">
        <f>K$10</f>
        <v>Govt</v>
      </c>
      <c r="L14" s="208" t="s">
        <v>625</v>
      </c>
      <c r="M14" s="285">
        <f>InputSheet!$E$54</f>
        <v>3.3000000000000002E-2</v>
      </c>
      <c r="N14" s="286">
        <f>VLOOKUP(($E$8&amp;$J14),InputSheet!$A$22:$G$130,7,FALSE)</f>
        <v>1.0890977106249997</v>
      </c>
      <c r="O14" s="834">
        <v>0</v>
      </c>
      <c r="P14" s="834">
        <v>0</v>
      </c>
      <c r="Q14" s="287">
        <f>IF(Q$7="",VLOOKUP($E$8&amp;$J14&amp;Q$8&amp;$K14,Indirects,2,FALSE),VLOOKUP($E$8&amp;$J14&amp;Q$8&amp;Q$7,Indirects,2,FALSE))</f>
        <v>0</v>
      </c>
      <c r="R14" s="287">
        <f t="shared" si="5"/>
        <v>0</v>
      </c>
      <c r="S14" s="834">
        <v>0</v>
      </c>
      <c r="T14" s="834">
        <v>0</v>
      </c>
      <c r="U14" s="834">
        <v>0</v>
      </c>
      <c r="V14" s="287">
        <f t="shared" si="3"/>
        <v>0</v>
      </c>
      <c r="W14" s="291"/>
      <c r="X14" s="209">
        <f t="shared" si="6"/>
        <v>0.08</v>
      </c>
      <c r="Y14" s="8"/>
      <c r="Z14" s="8"/>
      <c r="AA14" s="8"/>
      <c r="AB14" s="1034">
        <f t="shared" si="2"/>
        <v>3.3000000000000002E-2</v>
      </c>
      <c r="AC14" s="1019"/>
      <c r="AD14" s="1019"/>
      <c r="AE14" s="1019"/>
      <c r="AF14" s="287"/>
      <c r="AG14" s="287"/>
      <c r="AH14" s="287"/>
      <c r="AI14" s="287"/>
      <c r="AJ14" s="287"/>
      <c r="AK14" s="287"/>
      <c r="AL14" s="287"/>
      <c r="AM14" s="287"/>
      <c r="AN14" s="287"/>
      <c r="AO14" s="287"/>
      <c r="AP14" s="249"/>
    </row>
    <row r="15" spans="1:49" hidden="1" outlineLevel="1">
      <c r="E15" s="248"/>
      <c r="F15" s="8"/>
      <c r="G15" s="8"/>
      <c r="H15" s="8"/>
      <c r="I15" s="278"/>
      <c r="J15" s="289" t="str">
        <f>InputSheet!I134</f>
        <v>ESD</v>
      </c>
      <c r="K15" s="290" t="str">
        <f>K$9</f>
        <v>Contr</v>
      </c>
      <c r="L15" s="208" t="s">
        <v>784</v>
      </c>
      <c r="M15" s="285">
        <f>InputSheet!$E$101</f>
        <v>3.3000000000000002E-2</v>
      </c>
      <c r="N15" s="286">
        <f>VLOOKUP(($E$8&amp;$J15),InputSheet!$A$22:$G$130,7,FALSE)</f>
        <v>1.0890977106249997</v>
      </c>
      <c r="O15" s="833">
        <v>0</v>
      </c>
      <c r="P15" s="833">
        <v>0</v>
      </c>
      <c r="Q15" s="287">
        <f>IF(Q$7="",VLOOKUP($E$8&amp;$J15&amp;Q$8&amp;$K15,Indirects,2,FALSE),VLOOKUP($E$8&amp;$J15&amp;Q$8&amp;Q$7,Indirects,2,FALSE))</f>
        <v>0</v>
      </c>
      <c r="R15" s="287">
        <f t="shared" si="5"/>
        <v>0</v>
      </c>
      <c r="S15" s="833">
        <v>0</v>
      </c>
      <c r="T15" s="833">
        <v>0</v>
      </c>
      <c r="U15" s="833">
        <v>0</v>
      </c>
      <c r="V15" s="287">
        <f t="shared" si="3"/>
        <v>0</v>
      </c>
      <c r="W15" s="291"/>
      <c r="X15" s="209">
        <f t="shared" si="6"/>
        <v>0.08</v>
      </c>
      <c r="Y15" s="8"/>
      <c r="Z15" s="8"/>
      <c r="AA15" s="8"/>
      <c r="AB15" s="1034">
        <f t="shared" si="2"/>
        <v>3.3000000000000002E-2</v>
      </c>
      <c r="AC15" s="1019"/>
      <c r="AD15" s="1019"/>
      <c r="AE15" s="1019"/>
      <c r="AF15" s="287"/>
      <c r="AG15" s="287"/>
      <c r="AH15" s="287"/>
      <c r="AI15" s="287"/>
      <c r="AJ15" s="287"/>
      <c r="AK15" s="287"/>
      <c r="AL15" s="287"/>
      <c r="AM15" s="287"/>
      <c r="AN15" s="287"/>
      <c r="AO15" s="287"/>
      <c r="AP15" s="249"/>
    </row>
    <row r="16" spans="1:49" hidden="1" outlineLevel="1">
      <c r="E16" s="248"/>
      <c r="F16" s="8"/>
      <c r="G16" s="8"/>
      <c r="H16" s="8"/>
      <c r="I16" s="278"/>
      <c r="J16" s="289" t="str">
        <f>J15</f>
        <v>ESD</v>
      </c>
      <c r="K16" s="290" t="str">
        <f>K$10</f>
        <v>Govt</v>
      </c>
      <c r="L16" s="208" t="s">
        <v>785</v>
      </c>
      <c r="M16" s="285">
        <f>InputSheet!$E$101</f>
        <v>3.3000000000000002E-2</v>
      </c>
      <c r="N16" s="286">
        <f>VLOOKUP(($E$8&amp;$J16),InputSheet!$A$22:$G$130,7,FALSE)</f>
        <v>1.0890977106249997</v>
      </c>
      <c r="O16" s="834">
        <v>0</v>
      </c>
      <c r="P16" s="834">
        <v>0</v>
      </c>
      <c r="Q16" s="287">
        <f t="shared" si="5"/>
        <v>0</v>
      </c>
      <c r="R16" s="287">
        <f t="shared" si="5"/>
        <v>0</v>
      </c>
      <c r="S16" s="834">
        <v>0</v>
      </c>
      <c r="T16" s="834">
        <v>0</v>
      </c>
      <c r="U16" s="834">
        <v>0</v>
      </c>
      <c r="V16" s="287">
        <f t="shared" si="3"/>
        <v>0</v>
      </c>
      <c r="W16" s="291"/>
      <c r="X16" s="209">
        <f t="shared" si="6"/>
        <v>0.08</v>
      </c>
      <c r="Y16" s="8"/>
      <c r="Z16" s="8"/>
      <c r="AA16" s="8"/>
      <c r="AB16" s="1034">
        <f t="shared" si="2"/>
        <v>3.3000000000000002E-2</v>
      </c>
      <c r="AC16" s="1019"/>
      <c r="AD16" s="1019"/>
      <c r="AE16" s="1019"/>
      <c r="AF16" s="287"/>
      <c r="AG16" s="287"/>
      <c r="AH16" s="287"/>
      <c r="AI16" s="287"/>
      <c r="AJ16" s="287"/>
      <c r="AK16" s="287"/>
      <c r="AL16" s="287"/>
      <c r="AM16" s="287"/>
      <c r="AN16" s="287"/>
      <c r="AO16" s="287"/>
      <c r="AP16" s="249"/>
    </row>
    <row r="17" spans="4:49" hidden="1" outlineLevel="1">
      <c r="E17" s="248"/>
      <c r="F17" s="8"/>
      <c r="G17" s="8"/>
      <c r="H17" s="8"/>
      <c r="I17" s="278"/>
      <c r="J17" s="289" t="str">
        <f t="shared" si="4"/>
        <v>IS</v>
      </c>
      <c r="K17" s="290" t="str">
        <f>K$9</f>
        <v>Contr</v>
      </c>
      <c r="L17" s="208" t="s">
        <v>716</v>
      </c>
      <c r="M17" s="285">
        <f>InputSheet!$E$7</f>
        <v>3.3000000000000002E-2</v>
      </c>
      <c r="N17" s="286">
        <f>VLOOKUP(($E$8&amp;$J17),InputSheet!$A$22:$G$130,7,FALSE)</f>
        <v>1.0890977106249997</v>
      </c>
      <c r="O17" s="834">
        <v>0.5</v>
      </c>
      <c r="P17" s="834">
        <v>0</v>
      </c>
      <c r="Q17" s="287">
        <f t="shared" si="5"/>
        <v>0.31240000000000001</v>
      </c>
      <c r="R17" s="287">
        <f t="shared" si="5"/>
        <v>0.1988</v>
      </c>
      <c r="S17" s="834">
        <v>0</v>
      </c>
      <c r="T17" s="834">
        <v>0</v>
      </c>
      <c r="U17" s="834">
        <v>0</v>
      </c>
      <c r="V17" s="287">
        <f t="shared" si="3"/>
        <v>8.9499999999999996E-2</v>
      </c>
      <c r="W17" s="291"/>
      <c r="X17" s="209">
        <f t="shared" si="6"/>
        <v>0.08</v>
      </c>
      <c r="Y17" s="8"/>
      <c r="Z17" s="8"/>
      <c r="AA17" s="8"/>
      <c r="AB17" s="1034">
        <f t="shared" si="2"/>
        <v>3.3000000000000002E-2</v>
      </c>
      <c r="AC17" s="1019"/>
      <c r="AD17" s="1019"/>
      <c r="AE17" s="1019"/>
      <c r="AF17" s="287"/>
      <c r="AG17" s="287"/>
      <c r="AH17" s="287"/>
      <c r="AI17" s="287"/>
      <c r="AJ17" s="287"/>
      <c r="AK17" s="287"/>
      <c r="AL17" s="287"/>
      <c r="AM17" s="287"/>
      <c r="AN17" s="287"/>
      <c r="AO17" s="287"/>
      <c r="AP17" s="249"/>
    </row>
    <row r="18" spans="4:49" hidden="1" outlineLevel="1">
      <c r="E18" s="248"/>
      <c r="F18" s="8"/>
      <c r="G18" s="8"/>
      <c r="H18" s="8"/>
      <c r="I18" s="278"/>
      <c r="J18" s="289" t="str">
        <f t="shared" si="4"/>
        <v>IS</v>
      </c>
      <c r="K18" s="290" t="str">
        <f>K$10</f>
        <v>Govt</v>
      </c>
      <c r="L18" s="208" t="s">
        <v>715</v>
      </c>
      <c r="M18" s="285">
        <f>InputSheet!$E$7</f>
        <v>3.3000000000000002E-2</v>
      </c>
      <c r="N18" s="286">
        <f>VLOOKUP(($E$8&amp;$J18),InputSheet!$A$22:$G$130,7,FALSE)</f>
        <v>1.0890977106249997</v>
      </c>
      <c r="O18" s="834">
        <v>0.5</v>
      </c>
      <c r="P18" s="834">
        <v>0</v>
      </c>
      <c r="Q18" s="287">
        <f t="shared" si="5"/>
        <v>0.31240000000000001</v>
      </c>
      <c r="R18" s="287">
        <f t="shared" si="5"/>
        <v>2.23E-2</v>
      </c>
      <c r="S18" s="834">
        <v>0</v>
      </c>
      <c r="T18" s="834">
        <v>0</v>
      </c>
      <c r="U18" s="834">
        <v>0</v>
      </c>
      <c r="V18" s="287">
        <f t="shared" si="3"/>
        <v>8.9499999999999996E-2</v>
      </c>
      <c r="W18" s="291"/>
      <c r="X18" s="209">
        <f t="shared" si="6"/>
        <v>0.08</v>
      </c>
      <c r="Y18" s="8"/>
      <c r="Z18" s="8"/>
      <c r="AA18" s="8"/>
      <c r="AB18" s="1034">
        <f t="shared" si="2"/>
        <v>3.3000000000000002E-2</v>
      </c>
      <c r="AC18" s="1019"/>
      <c r="AD18" s="1019"/>
      <c r="AE18" s="1019"/>
      <c r="AF18" s="287"/>
      <c r="AG18" s="287"/>
      <c r="AH18" s="287"/>
      <c r="AI18" s="287"/>
      <c r="AJ18" s="287"/>
      <c r="AK18" s="287"/>
      <c r="AL18" s="287"/>
      <c r="AM18" s="287"/>
      <c r="AN18" s="287"/>
      <c r="AO18" s="287"/>
      <c r="AP18" s="249"/>
    </row>
    <row r="19" spans="4:49" hidden="1" outlineLevel="1">
      <c r="E19" s="248"/>
      <c r="F19" s="8"/>
      <c r="G19" s="8"/>
      <c r="H19" s="8"/>
      <c r="I19" s="278"/>
      <c r="J19" s="289" t="str">
        <f t="shared" si="4"/>
        <v>IS</v>
      </c>
      <c r="K19" s="290" t="str">
        <f>K$9</f>
        <v>Contr</v>
      </c>
      <c r="L19" s="208" t="s">
        <v>670</v>
      </c>
      <c r="M19" s="293">
        <v>0</v>
      </c>
      <c r="N19" s="292">
        <v>1</v>
      </c>
      <c r="O19" s="833">
        <v>0.5</v>
      </c>
      <c r="P19" s="833">
        <v>0</v>
      </c>
      <c r="Q19" s="287">
        <f t="shared" si="5"/>
        <v>0.31240000000000001</v>
      </c>
      <c r="R19" s="287">
        <f t="shared" si="5"/>
        <v>0.1988</v>
      </c>
      <c r="S19" s="833">
        <v>0</v>
      </c>
      <c r="T19" s="833">
        <v>0</v>
      </c>
      <c r="U19" s="833">
        <v>0</v>
      </c>
      <c r="V19" s="287">
        <f t="shared" si="3"/>
        <v>8.9499999999999996E-2</v>
      </c>
      <c r="W19" s="291"/>
      <c r="X19" s="209">
        <f t="shared" si="6"/>
        <v>0.08</v>
      </c>
      <c r="Y19" s="8"/>
      <c r="Z19" s="8"/>
      <c r="AA19" s="8"/>
      <c r="AB19" s="1034">
        <f t="shared" si="2"/>
        <v>0</v>
      </c>
      <c r="AC19" s="1019"/>
      <c r="AD19" s="1019"/>
      <c r="AE19" s="1019"/>
      <c r="AF19" s="287"/>
      <c r="AG19" s="287"/>
      <c r="AH19" s="287"/>
      <c r="AI19" s="287"/>
      <c r="AJ19" s="287"/>
      <c r="AK19" s="287"/>
      <c r="AL19" s="287"/>
      <c r="AM19" s="287"/>
      <c r="AN19" s="287"/>
      <c r="AO19" s="287"/>
      <c r="AP19" s="249"/>
    </row>
    <row r="20" spans="4:49" hidden="1" outlineLevel="1">
      <c r="E20" s="248"/>
      <c r="F20" s="8"/>
      <c r="G20" s="8"/>
      <c r="H20" s="8"/>
      <c r="I20" s="278"/>
      <c r="J20" s="289" t="str">
        <f t="shared" si="4"/>
        <v>IS</v>
      </c>
      <c r="K20" s="290" t="str">
        <f>K$10</f>
        <v>Govt</v>
      </c>
      <c r="L20" s="208" t="s">
        <v>669</v>
      </c>
      <c r="M20" s="293">
        <v>0</v>
      </c>
      <c r="N20" s="292">
        <v>1</v>
      </c>
      <c r="O20" s="834">
        <v>0.5</v>
      </c>
      <c r="P20" s="834">
        <v>0</v>
      </c>
      <c r="Q20" s="287">
        <f t="shared" si="5"/>
        <v>0.31240000000000001</v>
      </c>
      <c r="R20" s="287">
        <f t="shared" si="5"/>
        <v>2.23E-2</v>
      </c>
      <c r="S20" s="834">
        <v>0</v>
      </c>
      <c r="T20" s="834">
        <v>0</v>
      </c>
      <c r="U20" s="834">
        <v>0</v>
      </c>
      <c r="V20" s="287">
        <f t="shared" si="3"/>
        <v>8.9499999999999996E-2</v>
      </c>
      <c r="W20" s="291"/>
      <c r="X20" s="209">
        <f t="shared" si="6"/>
        <v>0.08</v>
      </c>
      <c r="Y20" s="8"/>
      <c r="Z20" s="8"/>
      <c r="AA20" s="8"/>
      <c r="AB20" s="1034">
        <f t="shared" si="2"/>
        <v>0</v>
      </c>
      <c r="AC20" s="1019"/>
      <c r="AD20" s="1019"/>
      <c r="AE20" s="1019"/>
      <c r="AF20" s="287"/>
      <c r="AG20" s="287"/>
      <c r="AH20" s="287"/>
      <c r="AI20" s="287"/>
      <c r="AJ20" s="287"/>
      <c r="AK20" s="287"/>
      <c r="AL20" s="287"/>
      <c r="AM20" s="287"/>
      <c r="AN20" s="287"/>
      <c r="AO20" s="287"/>
      <c r="AP20" s="249"/>
    </row>
    <row r="21" spans="4:49" collapsed="1">
      <c r="E21" s="248"/>
      <c r="F21" s="8"/>
      <c r="G21" s="8"/>
      <c r="H21" s="8"/>
      <c r="I21" s="278"/>
      <c r="J21" s="283" t="str">
        <f t="shared" si="4"/>
        <v>IS</v>
      </c>
      <c r="K21" s="284" t="str">
        <f>InputSheet!$D$44</f>
        <v>Contr/Govt</v>
      </c>
      <c r="L21" s="210" t="s">
        <v>684</v>
      </c>
      <c r="M21" s="285">
        <v>0</v>
      </c>
      <c r="N21" s="286">
        <v>1</v>
      </c>
      <c r="O21" s="833">
        <v>0</v>
      </c>
      <c r="P21" s="833">
        <v>0</v>
      </c>
      <c r="Q21" s="287"/>
      <c r="R21" s="287">
        <f>VLOOKUP($E$8&amp;$J21&amp;InputSheet!$C$44&amp;$K21,Indirects,2,FALSE)</f>
        <v>2.8799999999999999E-2</v>
      </c>
      <c r="S21" s="833">
        <v>0</v>
      </c>
      <c r="T21" s="833">
        <v>0</v>
      </c>
      <c r="U21" s="833">
        <v>0</v>
      </c>
      <c r="V21" s="287">
        <f t="shared" si="3"/>
        <v>8.9499999999999996E-2</v>
      </c>
      <c r="W21" s="288"/>
      <c r="X21" s="209">
        <f>'Pricing Summary'!C53</f>
        <v>0.08</v>
      </c>
      <c r="Y21" s="8"/>
      <c r="Z21" s="8"/>
      <c r="AA21" s="8"/>
      <c r="AB21" s="1035">
        <f t="shared" si="2"/>
        <v>0</v>
      </c>
      <c r="AC21" s="1018"/>
      <c r="AD21" s="1018"/>
      <c r="AE21" s="1018"/>
      <c r="AF21" s="287"/>
      <c r="AG21" s="287"/>
      <c r="AH21" s="287"/>
      <c r="AI21" s="287"/>
      <c r="AJ21" s="287"/>
      <c r="AK21" s="287"/>
      <c r="AL21" s="287"/>
      <c r="AM21" s="287"/>
      <c r="AN21" s="287"/>
      <c r="AO21" s="287"/>
      <c r="AP21" s="249"/>
    </row>
    <row r="22" spans="4:49" hidden="1">
      <c r="E22" s="248"/>
      <c r="F22" s="8"/>
      <c r="G22" s="8"/>
      <c r="H22" s="8"/>
      <c r="I22" s="278"/>
      <c r="J22" s="289" t="str">
        <f t="shared" si="4"/>
        <v>IS</v>
      </c>
      <c r="K22" s="290" t="str">
        <f>K21</f>
        <v>Contr/Govt</v>
      </c>
      <c r="L22" s="211" t="s">
        <v>685</v>
      </c>
      <c r="M22" s="807">
        <v>0</v>
      </c>
      <c r="N22" s="294">
        <f>N21</f>
        <v>1</v>
      </c>
      <c r="O22" s="835">
        <v>0</v>
      </c>
      <c r="P22" s="835">
        <v>0</v>
      </c>
      <c r="Q22" s="295"/>
      <c r="R22" s="296">
        <f>VLOOKUP($E$8&amp;$J22&amp;InputSheet!$C$44&amp;$K22,Indirects,2,FALSE)</f>
        <v>2.8799999999999999E-2</v>
      </c>
      <c r="S22" s="835">
        <v>0</v>
      </c>
      <c r="T22" s="835">
        <v>0</v>
      </c>
      <c r="U22" s="835">
        <v>0</v>
      </c>
      <c r="V22" s="296">
        <f t="shared" si="3"/>
        <v>8.9499999999999996E-2</v>
      </c>
      <c r="W22" s="297"/>
      <c r="X22" s="212">
        <f t="shared" si="6"/>
        <v>0.08</v>
      </c>
      <c r="Y22" s="8"/>
      <c r="Z22" s="8"/>
      <c r="AA22" s="8"/>
      <c r="AB22" s="1035">
        <f t="shared" si="2"/>
        <v>0</v>
      </c>
      <c r="AC22" s="1020"/>
      <c r="AD22" s="1020"/>
      <c r="AE22" s="1020"/>
      <c r="AF22" s="295"/>
      <c r="AG22" s="296"/>
      <c r="AH22" s="296"/>
      <c r="AI22" s="296"/>
      <c r="AJ22" s="296"/>
      <c r="AK22" s="296"/>
      <c r="AL22" s="296"/>
      <c r="AM22" s="296"/>
      <c r="AN22" s="296"/>
      <c r="AO22" s="296"/>
      <c r="AP22" s="249"/>
    </row>
    <row r="23" spans="4:49" hidden="1">
      <c r="E23" s="248"/>
      <c r="F23" s="8"/>
      <c r="G23" s="8"/>
      <c r="H23" s="8"/>
      <c r="I23" s="278"/>
      <c r="J23" s="289" t="str">
        <f t="shared" si="4"/>
        <v>IS</v>
      </c>
      <c r="K23" s="290" t="str">
        <f>K22</f>
        <v>Contr/Govt</v>
      </c>
      <c r="L23" s="207" t="s">
        <v>616</v>
      </c>
      <c r="M23" s="808">
        <v>0</v>
      </c>
      <c r="N23" s="298">
        <v>1</v>
      </c>
      <c r="O23" s="836">
        <v>0</v>
      </c>
      <c r="P23" s="836">
        <v>0</v>
      </c>
      <c r="Q23" s="299"/>
      <c r="R23" s="299">
        <f>VLOOKUP($E$8&amp;$J23&amp;InputSheet!$C$44&amp;$K23,Indirects,2,FALSE)</f>
        <v>2.8799999999999999E-2</v>
      </c>
      <c r="S23" s="836">
        <v>0</v>
      </c>
      <c r="T23" s="836">
        <v>0</v>
      </c>
      <c r="U23" s="836">
        <v>0</v>
      </c>
      <c r="V23" s="299">
        <f t="shared" si="3"/>
        <v>8.9499999999999996E-2</v>
      </c>
      <c r="W23" s="300"/>
      <c r="X23" s="213">
        <v>0</v>
      </c>
      <c r="Y23" s="8"/>
      <c r="Z23" s="8"/>
      <c r="AA23" s="8"/>
      <c r="AB23" s="1035">
        <f t="shared" si="2"/>
        <v>0</v>
      </c>
      <c r="AC23" s="1021"/>
      <c r="AD23" s="1021"/>
      <c r="AE23" s="1021"/>
      <c r="AF23" s="299"/>
      <c r="AG23" s="299"/>
      <c r="AH23" s="299"/>
      <c r="AI23" s="299"/>
      <c r="AJ23" s="299"/>
      <c r="AK23" s="299"/>
      <c r="AL23" s="299"/>
      <c r="AM23" s="299"/>
      <c r="AN23" s="299"/>
      <c r="AO23" s="299"/>
      <c r="AP23" s="249"/>
    </row>
    <row r="24" spans="4:49">
      <c r="E24" s="248"/>
      <c r="F24" s="8"/>
      <c r="G24" s="8"/>
      <c r="H24" s="8"/>
      <c r="I24" s="278"/>
      <c r="J24" s="301" t="str">
        <f t="shared" si="4"/>
        <v>IS</v>
      </c>
      <c r="K24" s="302" t="str">
        <f>K23</f>
        <v>Contr/Govt</v>
      </c>
      <c r="L24" s="237" t="s">
        <v>617</v>
      </c>
      <c r="M24" s="809">
        <v>0</v>
      </c>
      <c r="N24" s="303">
        <v>1</v>
      </c>
      <c r="O24" s="837">
        <v>0</v>
      </c>
      <c r="P24" s="837">
        <v>0</v>
      </c>
      <c r="Q24" s="304"/>
      <c r="R24" s="305">
        <f>IF(OR($J$24="MBI - FT",$J$24="MBI - PT"),R23,0)</f>
        <v>0</v>
      </c>
      <c r="S24" s="837">
        <v>0</v>
      </c>
      <c r="T24" s="837">
        <v>0</v>
      </c>
      <c r="U24" s="837">
        <v>0</v>
      </c>
      <c r="V24" s="305">
        <f t="shared" si="3"/>
        <v>8.9499999999999996E-2</v>
      </c>
      <c r="W24" s="306"/>
      <c r="X24" s="238">
        <f>'Pricing Summary'!C54</f>
        <v>0.08</v>
      </c>
      <c r="Y24" s="8"/>
      <c r="Z24" s="8"/>
      <c r="AA24" s="8"/>
      <c r="AB24" s="1035">
        <f t="shared" si="2"/>
        <v>0</v>
      </c>
      <c r="AC24" s="1022"/>
      <c r="AD24" s="1022"/>
      <c r="AE24" s="1022"/>
      <c r="AF24" s="304"/>
      <c r="AG24" s="305"/>
      <c r="AH24" s="305"/>
      <c r="AI24" s="305"/>
      <c r="AJ24" s="305"/>
      <c r="AK24" s="305"/>
      <c r="AL24" s="305"/>
      <c r="AM24" s="305"/>
      <c r="AN24" s="305"/>
      <c r="AO24" s="305"/>
      <c r="AP24" s="249"/>
    </row>
    <row r="25" spans="4:49">
      <c r="E25" s="248"/>
      <c r="F25" s="8"/>
      <c r="G25" s="8"/>
      <c r="H25" s="8"/>
      <c r="I25" s="8"/>
      <c r="J25" s="307"/>
      <c r="K25" s="307"/>
      <c r="L25" s="307"/>
      <c r="M25" s="307"/>
      <c r="N25" s="307"/>
      <c r="O25" s="307"/>
      <c r="P25" s="307"/>
      <c r="Q25" s="307"/>
      <c r="R25" s="307"/>
      <c r="S25" s="307"/>
      <c r="T25" s="307"/>
      <c r="U25" s="307"/>
      <c r="V25" s="307"/>
      <c r="W25" s="307"/>
      <c r="X25" s="307"/>
      <c r="Y25" s="8"/>
      <c r="Z25" s="8"/>
      <c r="AA25" s="8"/>
      <c r="AB25" s="250" t="s">
        <v>920</v>
      </c>
      <c r="AC25" s="8"/>
      <c r="AD25" s="8"/>
      <c r="AE25" s="8"/>
      <c r="AF25" s="8"/>
      <c r="AG25" s="8"/>
      <c r="AH25" s="8"/>
      <c r="AI25" s="8"/>
      <c r="AJ25" s="8"/>
      <c r="AK25" s="8"/>
      <c r="AL25" s="8"/>
      <c r="AM25" s="8"/>
      <c r="AN25" s="8"/>
      <c r="AO25" s="8"/>
      <c r="AP25" s="8"/>
      <c r="AV25" s="308"/>
      <c r="AW25" s="308"/>
    </row>
    <row r="26" spans="4:49" hidden="1" outlineLevel="1">
      <c r="E26" s="248"/>
      <c r="F26" s="8"/>
      <c r="G26" s="8"/>
      <c r="H26" s="8"/>
      <c r="I26" s="8"/>
      <c r="J26" s="8"/>
      <c r="K26" s="8"/>
      <c r="L26" s="8"/>
      <c r="M26" s="309"/>
      <c r="N26" s="310" t="str">
        <f>M$28&amp;"*"&amp;N$5</f>
        <v>A*B%</v>
      </c>
      <c r="O26" s="310"/>
      <c r="P26" s="310"/>
      <c r="Q26" s="310" t="str">
        <f>N$28&amp;"*"&amp;Q$5</f>
        <v>B*C%</v>
      </c>
      <c r="R26" s="310" t="str">
        <f>"("&amp;N28&amp;"+"&amp;Q$28&amp;")"&amp;"*"&amp;R$5</f>
        <v>(B+C)*D%</v>
      </c>
      <c r="S26" s="310"/>
      <c r="T26" s="310"/>
      <c r="U26" s="310"/>
      <c r="V26" s="310" t="str">
        <f>"("&amp;N28&amp;"+"&amp;Q28&amp;"+"&amp;R$28&amp;")"&amp;"*"&amp;V$5</f>
        <v>(B+C+D)*E%</v>
      </c>
      <c r="W26" s="310" t="s">
        <v>776</v>
      </c>
      <c r="X26" s="310" t="str">
        <f>"("&amp;N28&amp;"+"&amp;Q28&amp;"+"&amp;R$28&amp;"+"&amp;V$28&amp;")"&amp;"*"&amp;X$5</f>
        <v>(B+C+D+E)*G%</v>
      </c>
      <c r="Y26" s="8"/>
      <c r="Z26" s="8"/>
      <c r="AA26" s="8"/>
      <c r="AB26" s="250"/>
    </row>
    <row r="27" spans="4:49" ht="8.25" hidden="1" customHeight="1" outlineLevel="1">
      <c r="E27" s="248"/>
      <c r="F27" s="8"/>
      <c r="G27" s="8"/>
      <c r="H27" s="8"/>
      <c r="I27" s="8"/>
      <c r="J27" s="8"/>
      <c r="K27" s="8"/>
      <c r="L27" s="8"/>
      <c r="M27" s="311"/>
      <c r="N27" s="312"/>
      <c r="O27" s="312"/>
      <c r="P27" s="312"/>
      <c r="Q27" s="312"/>
      <c r="R27" s="312"/>
      <c r="S27" s="312"/>
      <c r="T27" s="312"/>
      <c r="U27" s="312"/>
      <c r="V27" s="312"/>
      <c r="W27" s="312"/>
      <c r="X27" s="312"/>
      <c r="Y27" s="8"/>
      <c r="Z27" s="8"/>
      <c r="AA27" s="8"/>
      <c r="AB27" s="250"/>
    </row>
    <row r="28" spans="4:49" hidden="1" outlineLevel="1">
      <c r="E28" s="248"/>
      <c r="F28" s="8"/>
      <c r="G28" s="8"/>
      <c r="H28" s="8"/>
      <c r="I28" s="8"/>
      <c r="J28" s="8"/>
      <c r="K28" s="8"/>
      <c r="L28" s="8"/>
      <c r="M28" s="263" t="s">
        <v>601</v>
      </c>
      <c r="N28" s="263" t="s">
        <v>598</v>
      </c>
      <c r="O28" s="263"/>
      <c r="P28" s="263"/>
      <c r="Q28" s="263" t="s">
        <v>599</v>
      </c>
      <c r="R28" s="263" t="s">
        <v>618</v>
      </c>
      <c r="S28" s="263"/>
      <c r="T28" s="263"/>
      <c r="U28" s="263"/>
      <c r="V28" s="263" t="s">
        <v>645</v>
      </c>
      <c r="W28" s="263" t="s">
        <v>774</v>
      </c>
      <c r="X28" s="263" t="s">
        <v>775</v>
      </c>
      <c r="Y28" s="8"/>
      <c r="Z28" s="8"/>
      <c r="AA28" s="8"/>
      <c r="AB28" s="250"/>
    </row>
    <row r="29" spans="4:49" collapsed="1">
      <c r="E29" s="248"/>
      <c r="F29" s="8"/>
      <c r="G29" s="8"/>
      <c r="H29" s="8"/>
      <c r="I29" s="8"/>
      <c r="J29" s="8"/>
      <c r="K29" s="8"/>
      <c r="L29" s="8"/>
      <c r="M29" s="8"/>
      <c r="N29" s="8"/>
      <c r="O29" s="8"/>
      <c r="P29" s="8"/>
      <c r="Q29" s="8"/>
      <c r="R29" s="8"/>
      <c r="S29" s="8"/>
      <c r="T29" s="8"/>
      <c r="U29" s="8"/>
      <c r="V29" s="8"/>
      <c r="W29" s="313"/>
      <c r="X29" s="8"/>
      <c r="Y29" s="8"/>
      <c r="Z29" s="8"/>
      <c r="AA29" s="8"/>
      <c r="AB29" s="250">
        <v>12</v>
      </c>
      <c r="AP29" s="314"/>
      <c r="AQ29" s="39"/>
      <c r="AR29" s="314"/>
      <c r="AS29" s="39"/>
      <c r="AV29" s="308" t="s">
        <v>778</v>
      </c>
      <c r="AW29" s="308" t="s">
        <v>777</v>
      </c>
    </row>
    <row r="30" spans="4:49" ht="13.5" thickBot="1">
      <c r="E30" s="315" t="s">
        <v>632</v>
      </c>
      <c r="F30" s="37"/>
      <c r="G30" s="37" t="s">
        <v>633</v>
      </c>
      <c r="H30" s="8"/>
      <c r="I30" s="37" t="s">
        <v>634</v>
      </c>
      <c r="J30" s="47" t="s">
        <v>644</v>
      </c>
      <c r="K30" s="47" t="s">
        <v>644</v>
      </c>
      <c r="L30" s="37" t="str">
        <f>L8</f>
        <v>Burden Code</v>
      </c>
      <c r="M30" s="39" t="s">
        <v>635</v>
      </c>
      <c r="N30" s="39" t="s">
        <v>58</v>
      </c>
      <c r="O30" s="39" t="str">
        <f>O8</f>
        <v>Hazard</v>
      </c>
      <c r="P30" s="39" t="str">
        <f>P8</f>
        <v>Harship</v>
      </c>
      <c r="Q30" s="39" t="str">
        <f t="shared" ref="Q30:X30" si="7">Q8</f>
        <v>PRB</v>
      </c>
      <c r="R30" s="39" t="str">
        <f t="shared" si="7"/>
        <v>Overhead</v>
      </c>
      <c r="S30" s="39" t="str">
        <f>S8</f>
        <v>Completion Bonus</v>
      </c>
      <c r="T30" s="39" t="str">
        <f>T8</f>
        <v>War Risk Ins.</v>
      </c>
      <c r="U30" s="39" t="str">
        <f>U8</f>
        <v>DBA Ins.</v>
      </c>
      <c r="V30" s="39" t="str">
        <f t="shared" si="7"/>
        <v>G&amp;A</v>
      </c>
      <c r="W30" s="39" t="str">
        <f t="shared" si="7"/>
        <v>Cost</v>
      </c>
      <c r="X30" s="39" t="str">
        <f t="shared" si="7"/>
        <v>Profit / Fee</v>
      </c>
      <c r="Y30" s="39" t="s">
        <v>908</v>
      </c>
      <c r="Z30" s="39" t="s">
        <v>646</v>
      </c>
      <c r="AA30" s="39" t="s">
        <v>638</v>
      </c>
      <c r="AB30" s="316" t="s">
        <v>907</v>
      </c>
      <c r="AC30" s="314"/>
      <c r="AD30" s="314"/>
      <c r="AE30" s="314"/>
      <c r="AF30" s="314"/>
      <c r="AG30" s="314"/>
      <c r="AH30" s="314"/>
      <c r="AI30" s="314"/>
      <c r="AJ30" s="314"/>
      <c r="AK30" s="314"/>
      <c r="AL30" s="314"/>
      <c r="AM30" s="314"/>
      <c r="AN30" s="314"/>
      <c r="AO30" s="314"/>
      <c r="AP30" s="314"/>
      <c r="AQ30" s="39"/>
      <c r="AR30" s="314"/>
      <c r="AS30" s="39"/>
      <c r="AV30" s="251">
        <v>1</v>
      </c>
      <c r="AW30" s="251">
        <v>1</v>
      </c>
    </row>
    <row r="31" spans="4:49" s="317" customFormat="1" ht="16.5" thickBot="1">
      <c r="E31" s="240" t="s">
        <v>640</v>
      </c>
      <c r="F31" s="202"/>
      <c r="G31" s="202"/>
      <c r="H31" s="203"/>
      <c r="I31" s="202"/>
      <c r="J31" s="201"/>
      <c r="K31" s="201"/>
      <c r="L31" s="202"/>
      <c r="M31" s="204"/>
      <c r="N31" s="204"/>
      <c r="O31" s="204"/>
      <c r="P31" s="204"/>
      <c r="Q31" s="204"/>
      <c r="R31" s="204"/>
      <c r="S31" s="204"/>
      <c r="T31" s="204"/>
      <c r="U31" s="204"/>
      <c r="V31" s="204"/>
      <c r="W31" s="204"/>
      <c r="X31" s="204"/>
      <c r="Y31" s="204"/>
      <c r="Z31" s="204"/>
      <c r="AA31" s="204"/>
      <c r="AB31" s="205"/>
      <c r="AC31" s="206"/>
      <c r="AD31" s="206"/>
      <c r="AE31" s="206" t="s">
        <v>742</v>
      </c>
      <c r="AF31" s="206" t="s">
        <v>741</v>
      </c>
      <c r="AG31" s="206" t="s">
        <v>66</v>
      </c>
      <c r="AH31" s="206"/>
      <c r="AI31" s="206"/>
      <c r="AJ31" s="206"/>
      <c r="AK31" s="206"/>
      <c r="AL31" s="206"/>
      <c r="AM31" s="206"/>
      <c r="AN31" s="206"/>
      <c r="AO31" s="206"/>
      <c r="AP31" s="206"/>
      <c r="AQ31" s="206"/>
      <c r="AR31" s="206"/>
      <c r="AS31" s="318"/>
      <c r="AV31" s="251">
        <v>1</v>
      </c>
      <c r="AW31" s="251">
        <v>1</v>
      </c>
    </row>
    <row r="32" spans="4:49">
      <c r="D32" s="8">
        <v>1</v>
      </c>
      <c r="E32" s="319" t="str">
        <f t="shared" ref="E32:E46" si="8">VLOOKUP($D32,DL,2,FALSE)</f>
        <v xml:space="preserve">LAN/Wan Engineer </v>
      </c>
      <c r="F32" s="8"/>
      <c r="G32" s="363" t="str">
        <f>+InputSheet!E173</f>
        <v>ManTech</v>
      </c>
      <c r="H32" s="8"/>
      <c r="I32" s="320">
        <f t="shared" ref="I32:I46" si="9">VLOOKUP($D32,DL,5,FALSE)</f>
        <v>0</v>
      </c>
      <c r="J32" s="198" t="str">
        <f>G32&amp;D32&amp;I32&amp;L32</f>
        <v>ManTech10Govt</v>
      </c>
      <c r="K32" s="198"/>
      <c r="L32" s="363" t="s">
        <v>623</v>
      </c>
      <c r="M32" s="321">
        <f>IF(G32="ManTech",(VLOOKUP($D32,DL,6,FALSE)),(INDEX('Sub Rates'!$F$9:$IK$48,MATCH(($E32&amp;$L32),'Sub Rates'!$E$9:$E$48,0),MATCH(($E$8&amp;$G32),'Sub Rates'!$F$8:$IK$8,0))))</f>
        <v>29</v>
      </c>
      <c r="N32" s="321">
        <f t="shared" ref="N32:N46" ca="1" si="10">ROUND($M32*(VLOOKUP($L32,$L$9:$X$24,N$6,FALSE)),2)</f>
        <v>31.58</v>
      </c>
      <c r="O32" s="321">
        <f ca="1">$N32*(VLOOKUP($L32,$L$9:$X$24,O$6,FALSE))</f>
        <v>11.052999999999999</v>
      </c>
      <c r="P32" s="321">
        <f ca="1">$N32*(VLOOKUP($L32,$L$9:$X$24,P$6,FALSE))</f>
        <v>11.052999999999999</v>
      </c>
      <c r="Q32" s="321">
        <f ca="1">($N32+O32+P32)*(VLOOKUP($L32,$L$9:$X$24,Q$6,FALSE))</f>
        <v>16.7715064</v>
      </c>
      <c r="R32" s="321">
        <f ca="1">($N32+$Q32+O32+P32)*(VLOOKUP($L32,$L$9:$X$24,R$6,FALSE))</f>
        <v>1.5712023927200001</v>
      </c>
      <c r="S32" s="321">
        <f>$S$10/Z32</f>
        <v>2.4509803921568629</v>
      </c>
      <c r="T32" s="321">
        <f>$T$10/Z32</f>
        <v>0.36784313725490203</v>
      </c>
      <c r="U32" s="321">
        <f ca="1">N32*$U$10</f>
        <v>0.60002</v>
      </c>
      <c r="V32" s="321">
        <f ca="1">IF($G32="ManTech",(SUM($N32:$U32)*(VLOOKUP($L32,$L$9:$X$24,V$6,FALSE))),(IF(R32=0,((SUM(N32,#REF!))*(VLOOKUP($L32,$L$9:$X$24,V$6,FALSE))),(SUM($R32:$R32)*(VLOOKUP($L32,$L$9:$X$24,V$6,FALSE))))))</f>
        <v>6.7525559328307931</v>
      </c>
      <c r="W32" s="321">
        <f ca="1">SUM(N32:V32)</f>
        <v>82.200108254962558</v>
      </c>
      <c r="X32" s="321">
        <f t="shared" ref="X32:X46" ca="1" si="11">(W32*(VLOOKUP($L32,$L$9:$X$24,X$6,FALSE)))</f>
        <v>6.5760086603970045</v>
      </c>
      <c r="Y32" s="321">
        <f ca="1">ROUND(SUM(W32:X32),2)</f>
        <v>88.78</v>
      </c>
      <c r="Z32" s="214">
        <f>VLOOKUP(D32,InputSheet!B173:O187,14,FALSE)</f>
        <v>2040</v>
      </c>
      <c r="AA32" s="336">
        <f t="shared" ref="AA32:AA46" ca="1" si="12">$Y32*$Z32</f>
        <v>181111.2</v>
      </c>
      <c r="AB32" s="1036">
        <f ca="1">Y32*$AB$29</f>
        <v>1065.3600000000001</v>
      </c>
      <c r="AC32" s="323"/>
      <c r="AD32" s="323"/>
      <c r="AE32" s="323">
        <f ca="1">W32*Z32</f>
        <v>167688.22084012363</v>
      </c>
      <c r="AF32" s="323">
        <f ca="1">Y32*Z32</f>
        <v>181111.2</v>
      </c>
      <c r="AG32" s="323">
        <f ca="1">AF32-AE32</f>
        <v>13422.979159876384</v>
      </c>
      <c r="AH32" s="20">
        <f ca="1">IF(AG32=0,0,ROUND(AG32/AE32,2))</f>
        <v>0.08</v>
      </c>
      <c r="AI32" s="323"/>
      <c r="AJ32" s="323"/>
      <c r="AK32" s="323"/>
      <c r="AL32" s="323"/>
      <c r="AM32" s="323"/>
      <c r="AN32" s="323"/>
      <c r="AO32" s="323"/>
      <c r="AP32" s="323"/>
      <c r="AQ32" s="60"/>
      <c r="AR32" s="324"/>
      <c r="AS32" s="325"/>
      <c r="AV32" s="251" t="str">
        <f ca="1">IF((OR((Y32=""),(Y32&gt;0))),"1","0")</f>
        <v>1</v>
      </c>
      <c r="AW32" s="251" t="str">
        <f ca="1">IF((OR((AA32=""),(AA32&gt;0))),"1","0")</f>
        <v>1</v>
      </c>
    </row>
    <row r="33" spans="4:49">
      <c r="D33" s="8">
        <f>D32+1</f>
        <v>2</v>
      </c>
      <c r="E33" s="319" t="str">
        <f t="shared" si="8"/>
        <v>Functional Services Administrator</v>
      </c>
      <c r="F33" s="8"/>
      <c r="G33" s="363" t="str">
        <f>+InputSheet!E174</f>
        <v>ManTech</v>
      </c>
      <c r="H33" s="8"/>
      <c r="I33" s="320">
        <f t="shared" si="9"/>
        <v>0</v>
      </c>
      <c r="J33" s="198" t="str">
        <f t="shared" ref="J33:J46" si="13">G33&amp;D33&amp;I33&amp;L33</f>
        <v>ManTech20Govt</v>
      </c>
      <c r="K33" s="198"/>
      <c r="L33" s="363" t="s">
        <v>623</v>
      </c>
      <c r="M33" s="321">
        <f>IF(G33="ManTech",(VLOOKUP($D33,DL,6,FALSE)),(INDEX('Sub Rates'!$F$9:$IK$48,MATCH(($E33&amp;$L33),'Sub Rates'!$E$9:$E$48,0),MATCH(($E$8&amp;$G33),'Sub Rates'!$F$8:$IK$8,0))))</f>
        <v>33.81</v>
      </c>
      <c r="N33" s="321">
        <f t="shared" ca="1" si="10"/>
        <v>36.82</v>
      </c>
      <c r="O33" s="321">
        <f t="shared" ref="O33:P46" ca="1" si="14">$N33*(VLOOKUP($L33,$L$9:$X$24,O$6,FALSE))</f>
        <v>12.886999999999999</v>
      </c>
      <c r="P33" s="321">
        <f t="shared" ca="1" si="14"/>
        <v>12.886999999999999</v>
      </c>
      <c r="Q33" s="321">
        <f t="shared" ref="Q33:Q46" ca="1" si="15">($N33+O33+P33)*(VLOOKUP($L33,$L$9:$X$24,Q$6,FALSE))</f>
        <v>19.554365600000001</v>
      </c>
      <c r="R33" s="321">
        <f t="shared" ref="R33:R46" ca="1" si="16">($N33+$Q33+O33+P33)*(VLOOKUP($L33,$L$9:$X$24,R$6,FALSE))</f>
        <v>1.8319085528800001</v>
      </c>
      <c r="S33" s="321">
        <f t="shared" ref="S33:S46" si="17">$S$10/Z33</f>
        <v>2.4509803921568629</v>
      </c>
      <c r="T33" s="321">
        <f t="shared" ref="T33:T46" si="18">$T$10/Z33</f>
        <v>0.36784313725490203</v>
      </c>
      <c r="U33" s="321">
        <f t="shared" ref="U33:U46" ca="1" si="19">N33*$U$10</f>
        <v>0.69957999999999998</v>
      </c>
      <c r="V33" s="321">
        <f ca="1">IF($G33="ManTech",(SUM($N33:$U33)*(VLOOKUP($L33,$L$9:$X$24,V$6,FALSE))),(IF(R33=0,((SUM(N33,#REF!))*(VLOOKUP($L33,$L$9:$X$24,V$6,FALSE))),(SUM($R33:$R33)*(VLOOKUP($L33,$L$9:$X$24,V$6,FALSE))))))</f>
        <v>7.8311316525651131</v>
      </c>
      <c r="W33" s="321">
        <f t="shared" ref="W33:W46" ca="1" si="20">SUM(N33:V33)</f>
        <v>95.32980933485689</v>
      </c>
      <c r="X33" s="321">
        <f t="shared" ca="1" si="11"/>
        <v>7.6263847467885517</v>
      </c>
      <c r="Y33" s="321">
        <f t="shared" ref="Y33:Y46" ca="1" si="21">ROUND(SUM(W33:X33),2)</f>
        <v>102.96</v>
      </c>
      <c r="Z33" s="214">
        <f>VLOOKUP(D33,InputSheet!B174:O188,14,FALSE)</f>
        <v>2040</v>
      </c>
      <c r="AA33" s="336">
        <f t="shared" ca="1" si="12"/>
        <v>210038.39999999999</v>
      </c>
      <c r="AB33" s="1036">
        <f t="shared" ref="AB33:AB46" ca="1" si="22">Y33*$AB$29</f>
        <v>1235.52</v>
      </c>
      <c r="AC33" s="323"/>
      <c r="AD33" s="323"/>
      <c r="AE33" s="323">
        <f t="shared" ref="AE33:AE46" ca="1" si="23">W33*Z33</f>
        <v>194472.81104310806</v>
      </c>
      <c r="AF33" s="323">
        <f t="shared" ref="AF33:AF46" ca="1" si="24">Y33*Z33</f>
        <v>210038.39999999999</v>
      </c>
      <c r="AG33" s="323">
        <f t="shared" ref="AG33:AG46" ca="1" si="25">AF33-AE33</f>
        <v>15565.588956891937</v>
      </c>
      <c r="AH33" s="20">
        <f t="shared" ref="AH33:AH46" ca="1" si="26">IF(AG33=0,0,ROUND(AG33/AE33,2))</f>
        <v>0.08</v>
      </c>
      <c r="AI33" s="323"/>
      <c r="AJ33" s="323"/>
      <c r="AK33" s="323"/>
      <c r="AL33" s="323"/>
      <c r="AM33" s="323"/>
      <c r="AN33" s="323"/>
      <c r="AO33" s="323"/>
      <c r="AP33" s="323"/>
      <c r="AQ33" s="60"/>
      <c r="AR33" s="324"/>
      <c r="AS33" s="325"/>
      <c r="AV33" s="251" t="str">
        <f t="shared" ref="AV33:AV97" ca="1" si="27">IF((OR((Y33=""),(Y33&gt;0))),"1","0")</f>
        <v>1</v>
      </c>
      <c r="AW33" s="251" t="str">
        <f t="shared" ref="AW33:AW97" ca="1" si="28">IF((OR((AA33=""),(AA33&gt;0))),"1","0")</f>
        <v>1</v>
      </c>
    </row>
    <row r="34" spans="4:49">
      <c r="D34" s="8">
        <f t="shared" ref="D34:D42" si="29">D33+1</f>
        <v>3</v>
      </c>
      <c r="E34" s="319" t="str">
        <f t="shared" si="8"/>
        <v>Functional Services Administrator</v>
      </c>
      <c r="F34" s="8"/>
      <c r="G34" s="363" t="str">
        <f>+InputSheet!E175</f>
        <v>ManTech</v>
      </c>
      <c r="H34" s="8"/>
      <c r="I34" s="320">
        <f t="shared" si="9"/>
        <v>0</v>
      </c>
      <c r="J34" s="198" t="str">
        <f t="shared" si="13"/>
        <v>ManTech30Govt</v>
      </c>
      <c r="K34" s="198"/>
      <c r="L34" s="363" t="s">
        <v>623</v>
      </c>
      <c r="M34" s="321">
        <f>IF(G34="ManTech",(VLOOKUP($D34,DL,6,FALSE)),(INDEX('Sub Rates'!$F$9:$IK$48,MATCH(($E34&amp;$L34),'Sub Rates'!$E$9:$E$48,0),MATCH(($E$8&amp;$G34),'Sub Rates'!$F$8:$IK$8,0))))</f>
        <v>33.81</v>
      </c>
      <c r="N34" s="321">
        <f t="shared" ca="1" si="10"/>
        <v>36.82</v>
      </c>
      <c r="O34" s="321">
        <f t="shared" ca="1" si="14"/>
        <v>12.886999999999999</v>
      </c>
      <c r="P34" s="321">
        <f t="shared" ca="1" si="14"/>
        <v>12.886999999999999</v>
      </c>
      <c r="Q34" s="321">
        <f t="shared" ca="1" si="15"/>
        <v>19.554365600000001</v>
      </c>
      <c r="R34" s="321">
        <f t="shared" ca="1" si="16"/>
        <v>1.8319085528800001</v>
      </c>
      <c r="S34" s="321">
        <f t="shared" si="17"/>
        <v>2.4509803921568629</v>
      </c>
      <c r="T34" s="321">
        <f t="shared" si="18"/>
        <v>0.36784313725490203</v>
      </c>
      <c r="U34" s="321">
        <f t="shared" ca="1" si="19"/>
        <v>0.69957999999999998</v>
      </c>
      <c r="V34" s="321">
        <f ca="1">IF($G34="ManTech",(SUM($N34:$U34)*(VLOOKUP($L34,$L$9:$X$24,V$6,FALSE))),(IF(R34=0,((SUM(N34,#REF!))*(VLOOKUP($L34,$L$9:$X$24,V$6,FALSE))),(SUM($R34:$R34)*(VLOOKUP($L34,$L$9:$X$24,V$6,FALSE))))))</f>
        <v>7.8311316525651131</v>
      </c>
      <c r="W34" s="321">
        <f t="shared" ca="1" si="20"/>
        <v>95.32980933485689</v>
      </c>
      <c r="X34" s="321">
        <f t="shared" ca="1" si="11"/>
        <v>7.6263847467885517</v>
      </c>
      <c r="Y34" s="321">
        <f t="shared" ca="1" si="21"/>
        <v>102.96</v>
      </c>
      <c r="Z34" s="214">
        <f>VLOOKUP(D34,InputSheet!B175:O189,14,FALSE)</f>
        <v>2040</v>
      </c>
      <c r="AA34" s="336">
        <f t="shared" ca="1" si="12"/>
        <v>210038.39999999999</v>
      </c>
      <c r="AB34" s="1036">
        <f t="shared" ca="1" si="22"/>
        <v>1235.52</v>
      </c>
      <c r="AC34" s="323"/>
      <c r="AD34" s="323"/>
      <c r="AE34" s="323">
        <f t="shared" ca="1" si="23"/>
        <v>194472.81104310806</v>
      </c>
      <c r="AF34" s="323">
        <f t="shared" ca="1" si="24"/>
        <v>210038.39999999999</v>
      </c>
      <c r="AG34" s="323">
        <f t="shared" ca="1" si="25"/>
        <v>15565.588956891937</v>
      </c>
      <c r="AH34" s="20">
        <f t="shared" ca="1" si="26"/>
        <v>0.08</v>
      </c>
      <c r="AI34" s="323"/>
      <c r="AJ34" s="323"/>
      <c r="AK34" s="323"/>
      <c r="AL34" s="323"/>
      <c r="AM34" s="323"/>
      <c r="AN34" s="323"/>
      <c r="AO34" s="323"/>
      <c r="AP34" s="323"/>
      <c r="AQ34" s="60"/>
      <c r="AR34" s="324"/>
      <c r="AS34" s="325"/>
      <c r="AV34" s="251" t="str">
        <f t="shared" ca="1" si="27"/>
        <v>1</v>
      </c>
      <c r="AW34" s="251" t="str">
        <f t="shared" ca="1" si="28"/>
        <v>1</v>
      </c>
    </row>
    <row r="35" spans="4:49">
      <c r="D35" s="8">
        <f t="shared" si="29"/>
        <v>4</v>
      </c>
      <c r="E35" s="319" t="str">
        <f t="shared" si="8"/>
        <v>Functional Services Administrator</v>
      </c>
      <c r="F35" s="8"/>
      <c r="G35" s="363" t="str">
        <f>+InputSheet!E176</f>
        <v>ManTech</v>
      </c>
      <c r="H35" s="8"/>
      <c r="I35" s="320">
        <f t="shared" si="9"/>
        <v>0</v>
      </c>
      <c r="J35" s="198" t="str">
        <f t="shared" si="13"/>
        <v>ManTech40Govt_Sub</v>
      </c>
      <c r="K35" s="198"/>
      <c r="L35" s="363" t="s">
        <v>684</v>
      </c>
      <c r="M35" s="321">
        <f>IF(G35="ManTech",(VLOOKUP($D35,DL,6,FALSE)),(INDEX('Sub Rates'!$F$9:$IK$48,MATCH(($E35&amp;$L35),'Sub Rates'!$E$9:$E$48,0),MATCH(($E$8&amp;$G35),'Sub Rates'!$F$8:$IK$8,0))))</f>
        <v>33.81</v>
      </c>
      <c r="N35" s="321">
        <f t="shared" ca="1" si="10"/>
        <v>33.81</v>
      </c>
      <c r="O35" s="321">
        <f t="shared" ca="1" si="14"/>
        <v>0</v>
      </c>
      <c r="P35" s="321">
        <f t="shared" ca="1" si="14"/>
        <v>0</v>
      </c>
      <c r="Q35" s="321">
        <f t="shared" ca="1" si="15"/>
        <v>0</v>
      </c>
      <c r="R35" s="321">
        <f t="shared" ca="1" si="16"/>
        <v>0.97372800000000004</v>
      </c>
      <c r="S35" s="321">
        <v>0</v>
      </c>
      <c r="T35" s="321">
        <v>0</v>
      </c>
      <c r="U35" s="321">
        <v>0</v>
      </c>
      <c r="V35" s="321">
        <f ca="1">IF($G35="ManTech",(SUM($N35:$U35)*(VLOOKUP($L35,$L$9:$X$24,V$6,FALSE))),(IF(R35=0,((SUM(N35,#REF!))*(VLOOKUP($L35,$L$9:$X$24,V$6,FALSE))),(SUM($R35:$R35)*(VLOOKUP($L35,$L$9:$X$24,V$6,FALSE))))))</f>
        <v>3.1131436560000001</v>
      </c>
      <c r="W35" s="321">
        <f t="shared" ca="1" si="20"/>
        <v>37.896871656000002</v>
      </c>
      <c r="X35" s="321">
        <f t="shared" ca="1" si="11"/>
        <v>3.0317497324800002</v>
      </c>
      <c r="Y35" s="321">
        <f t="shared" ca="1" si="21"/>
        <v>40.93</v>
      </c>
      <c r="Z35" s="214">
        <f>VLOOKUP(D35,InputSheet!B176:O190,14,FALSE)</f>
        <v>2040</v>
      </c>
      <c r="AA35" s="336">
        <f t="shared" ca="1" si="12"/>
        <v>83497.2</v>
      </c>
      <c r="AB35" s="1036">
        <f t="shared" ca="1" si="22"/>
        <v>491.15999999999997</v>
      </c>
      <c r="AC35" s="323"/>
      <c r="AD35" s="323"/>
      <c r="AE35" s="323">
        <f t="shared" ca="1" si="23"/>
        <v>77309.618178240009</v>
      </c>
      <c r="AF35" s="323">
        <f t="shared" ca="1" si="24"/>
        <v>83497.2</v>
      </c>
      <c r="AG35" s="323">
        <f t="shared" ca="1" si="25"/>
        <v>6187.5818217599881</v>
      </c>
      <c r="AH35" s="20">
        <f t="shared" ca="1" si="26"/>
        <v>0.08</v>
      </c>
      <c r="AI35" s="323"/>
      <c r="AJ35" s="323"/>
      <c r="AK35" s="323"/>
      <c r="AL35" s="323"/>
      <c r="AM35" s="323"/>
      <c r="AN35" s="323"/>
      <c r="AO35" s="323"/>
      <c r="AP35" s="323"/>
      <c r="AQ35" s="60"/>
      <c r="AR35" s="324"/>
      <c r="AS35" s="325"/>
      <c r="AV35" s="251" t="str">
        <f t="shared" ca="1" si="27"/>
        <v>1</v>
      </c>
      <c r="AW35" s="251" t="str">
        <f t="shared" ca="1" si="28"/>
        <v>1</v>
      </c>
    </row>
    <row r="36" spans="4:49">
      <c r="D36" s="8">
        <f t="shared" si="29"/>
        <v>5</v>
      </c>
      <c r="E36" s="319" t="str">
        <f t="shared" si="8"/>
        <v>Service Desk</v>
      </c>
      <c r="F36" s="8"/>
      <c r="G36" s="363" t="str">
        <f>+InputSheet!E177</f>
        <v>ManTech</v>
      </c>
      <c r="H36" s="8"/>
      <c r="I36" s="320">
        <f t="shared" si="9"/>
        <v>0</v>
      </c>
      <c r="J36" s="198" t="str">
        <f t="shared" si="13"/>
        <v>ManTech50Govt</v>
      </c>
      <c r="K36" s="198"/>
      <c r="L36" s="363" t="s">
        <v>623</v>
      </c>
      <c r="M36" s="321">
        <f>IF(G36="ManTech",(VLOOKUP($D36,DL,6,FALSE)),(INDEX('Sub Rates'!$F$9:$IK$48,MATCH(($E36&amp;$L36),'Sub Rates'!$E$9:$E$48,0),MATCH(($E$8&amp;$G36),'Sub Rates'!$F$8:$IK$8,0))))</f>
        <v>26</v>
      </c>
      <c r="N36" s="321">
        <f t="shared" ca="1" si="10"/>
        <v>28.32</v>
      </c>
      <c r="O36" s="321">
        <f t="shared" ca="1" si="14"/>
        <v>9.911999999999999</v>
      </c>
      <c r="P36" s="321">
        <f t="shared" ca="1" si="14"/>
        <v>9.911999999999999</v>
      </c>
      <c r="Q36" s="321">
        <f t="shared" ca="1" si="15"/>
        <v>15.040185599999999</v>
      </c>
      <c r="R36" s="321">
        <f t="shared" ca="1" si="16"/>
        <v>1.40900733888</v>
      </c>
      <c r="S36" s="321">
        <f t="shared" si="17"/>
        <v>2.4509803921568629</v>
      </c>
      <c r="T36" s="321">
        <f t="shared" si="18"/>
        <v>0.36784313725490203</v>
      </c>
      <c r="U36" s="321">
        <f t="shared" ca="1" si="19"/>
        <v>0.53808</v>
      </c>
      <c r="V36" s="321">
        <f ca="1">IF($G36="ManTech",(SUM($N36:$U36)*(VLOOKUP($L36,$L$9:$X$24,V$6,FALSE))),(IF(R36=0,((SUM(N36,#REF!))*(VLOOKUP($L36,$L$9:$X$24,V$6,FALSE))),(SUM($R36:$R36)*(VLOOKUP($L36,$L$9:$X$24,V$6,FALSE))))))</f>
        <v>6.0815336339121124</v>
      </c>
      <c r="W36" s="321">
        <f t="shared" ca="1" si="20"/>
        <v>74.031630102203877</v>
      </c>
      <c r="X36" s="321">
        <f t="shared" ca="1" si="11"/>
        <v>5.9225304081763106</v>
      </c>
      <c r="Y36" s="321">
        <f t="shared" ca="1" si="21"/>
        <v>79.95</v>
      </c>
      <c r="Z36" s="214">
        <f>VLOOKUP(D36,InputSheet!B177:O191,14,FALSE)</f>
        <v>2040</v>
      </c>
      <c r="AA36" s="336">
        <f t="shared" ca="1" si="12"/>
        <v>163098</v>
      </c>
      <c r="AB36" s="1036">
        <f t="shared" ca="1" si="22"/>
        <v>959.40000000000009</v>
      </c>
      <c r="AC36" s="323"/>
      <c r="AD36" s="323"/>
      <c r="AE36" s="323">
        <f t="shared" ca="1" si="23"/>
        <v>151024.52540849592</v>
      </c>
      <c r="AF36" s="323">
        <f t="shared" ca="1" si="24"/>
        <v>163098</v>
      </c>
      <c r="AG36" s="323">
        <f t="shared" ca="1" si="25"/>
        <v>12073.474591504084</v>
      </c>
      <c r="AH36" s="20">
        <f t="shared" ca="1" si="26"/>
        <v>0.08</v>
      </c>
      <c r="AI36" s="323"/>
      <c r="AJ36" s="323"/>
      <c r="AK36" s="323"/>
      <c r="AL36" s="323"/>
      <c r="AM36" s="323"/>
      <c r="AN36" s="323"/>
      <c r="AO36" s="323"/>
      <c r="AP36" s="323"/>
      <c r="AQ36" s="60"/>
      <c r="AR36" s="324"/>
      <c r="AS36" s="325"/>
      <c r="AV36" s="251" t="str">
        <f t="shared" ca="1" si="27"/>
        <v>1</v>
      </c>
      <c r="AW36" s="251" t="str">
        <f t="shared" ca="1" si="28"/>
        <v>1</v>
      </c>
    </row>
    <row r="37" spans="4:49">
      <c r="D37" s="8">
        <f t="shared" si="29"/>
        <v>6</v>
      </c>
      <c r="E37" s="319" t="str">
        <f t="shared" si="8"/>
        <v>Service Desk</v>
      </c>
      <c r="F37" s="8"/>
      <c r="G37" s="363" t="str">
        <f>+InputSheet!E178</f>
        <v>ManTech</v>
      </c>
      <c r="H37" s="8"/>
      <c r="I37" s="320">
        <f t="shared" si="9"/>
        <v>0</v>
      </c>
      <c r="J37" s="198" t="str">
        <f t="shared" si="13"/>
        <v>ManTech60Govt</v>
      </c>
      <c r="K37" s="198"/>
      <c r="L37" s="363" t="s">
        <v>623</v>
      </c>
      <c r="M37" s="321">
        <f>IF(G37="ManTech",(VLOOKUP($D37,DL,6,FALSE)),(INDEX('Sub Rates'!$F$9:$IK$48,MATCH(($E37&amp;$L37),'Sub Rates'!$E$9:$E$48,0),MATCH(($E$8&amp;$G37),'Sub Rates'!$F$8:$IK$8,0))))</f>
        <v>26</v>
      </c>
      <c r="N37" s="321">
        <f t="shared" ca="1" si="10"/>
        <v>28.32</v>
      </c>
      <c r="O37" s="321">
        <f t="shared" ca="1" si="14"/>
        <v>9.911999999999999</v>
      </c>
      <c r="P37" s="321">
        <f t="shared" ca="1" si="14"/>
        <v>9.911999999999999</v>
      </c>
      <c r="Q37" s="321">
        <f t="shared" ca="1" si="15"/>
        <v>15.040185599999999</v>
      </c>
      <c r="R37" s="321">
        <f t="shared" ca="1" si="16"/>
        <v>1.40900733888</v>
      </c>
      <c r="S37" s="321">
        <f t="shared" si="17"/>
        <v>2.4509803921568629</v>
      </c>
      <c r="T37" s="321">
        <f t="shared" si="18"/>
        <v>0.36784313725490203</v>
      </c>
      <c r="U37" s="321">
        <f t="shared" ca="1" si="19"/>
        <v>0.53808</v>
      </c>
      <c r="V37" s="321">
        <f ca="1">IF($G37="ManTech",(SUM($N37:$U37)*(VLOOKUP($L37,$L$9:$X$24,V$6,FALSE))),(IF(R37=0,((SUM(N37,#REF!))*(VLOOKUP($L37,$L$9:$X$24,V$6,FALSE))),(SUM($R37:$R37)*(VLOOKUP($L37,$L$9:$X$24,V$6,FALSE))))))</f>
        <v>6.0815336339121124</v>
      </c>
      <c r="W37" s="321">
        <f t="shared" ca="1" si="20"/>
        <v>74.031630102203877</v>
      </c>
      <c r="X37" s="321">
        <f t="shared" ca="1" si="11"/>
        <v>5.9225304081763106</v>
      </c>
      <c r="Y37" s="321">
        <f ca="1">ROUND(SUM(W37:X37),2)</f>
        <v>79.95</v>
      </c>
      <c r="Z37" s="214">
        <f>VLOOKUP(D37,InputSheet!B178:O192,14,FALSE)</f>
        <v>2040</v>
      </c>
      <c r="AA37" s="336">
        <f t="shared" ca="1" si="12"/>
        <v>163098</v>
      </c>
      <c r="AB37" s="1036">
        <f t="shared" ca="1" si="22"/>
        <v>959.40000000000009</v>
      </c>
      <c r="AC37" s="323"/>
      <c r="AD37" s="323"/>
      <c r="AE37" s="323">
        <f t="shared" ca="1" si="23"/>
        <v>151024.52540849592</v>
      </c>
      <c r="AF37" s="323">
        <f t="shared" ca="1" si="24"/>
        <v>163098</v>
      </c>
      <c r="AG37" s="323">
        <f t="shared" ca="1" si="25"/>
        <v>12073.474591504084</v>
      </c>
      <c r="AH37" s="20">
        <f t="shared" ca="1" si="26"/>
        <v>0.08</v>
      </c>
      <c r="AI37" s="323"/>
      <c r="AJ37" s="323"/>
      <c r="AK37" s="323"/>
      <c r="AL37" s="323"/>
      <c r="AM37" s="323"/>
      <c r="AN37" s="323"/>
      <c r="AO37" s="323"/>
      <c r="AP37" s="323"/>
      <c r="AQ37" s="60"/>
      <c r="AR37" s="324"/>
      <c r="AS37" s="325"/>
      <c r="AV37" s="251" t="str">
        <f t="shared" ca="1" si="27"/>
        <v>1</v>
      </c>
      <c r="AW37" s="251" t="str">
        <f t="shared" ca="1" si="28"/>
        <v>1</v>
      </c>
    </row>
    <row r="38" spans="4:49">
      <c r="D38" s="8">
        <f t="shared" si="29"/>
        <v>7</v>
      </c>
      <c r="E38" s="319" t="str">
        <f t="shared" si="8"/>
        <v>CIS Training Supervisor</v>
      </c>
      <c r="F38" s="8"/>
      <c r="G38" s="363" t="str">
        <f>+InputSheet!E179</f>
        <v>Segovia, Inc.</v>
      </c>
      <c r="H38" s="8"/>
      <c r="I38" s="320">
        <f t="shared" si="9"/>
        <v>0</v>
      </c>
      <c r="J38" s="198" t="str">
        <f t="shared" si="13"/>
        <v>Segovia, Inc.70Govt_Sub</v>
      </c>
      <c r="K38" s="198"/>
      <c r="L38" s="363" t="s">
        <v>684</v>
      </c>
      <c r="M38" s="321">
        <f>IF(G38="ManTech",(VLOOKUP($D38,DL,6,FALSE)),(INDEX('Sub Rates'!$F$9:$IK$48,MATCH(($E38&amp;$L38),'Sub Rates'!$E$9:$E$48,0),MATCH(($E$8&amp;$G38),'Sub Rates'!$F$8:$IK$8,0))))</f>
        <v>81</v>
      </c>
      <c r="N38" s="321">
        <f t="shared" ca="1" si="10"/>
        <v>81</v>
      </c>
      <c r="O38" s="321">
        <f t="shared" ca="1" si="14"/>
        <v>0</v>
      </c>
      <c r="P38" s="321">
        <f t="shared" ca="1" si="14"/>
        <v>0</v>
      </c>
      <c r="Q38" s="321">
        <f t="shared" ca="1" si="15"/>
        <v>0</v>
      </c>
      <c r="R38" s="321">
        <f t="shared" ca="1" si="16"/>
        <v>2.3327999999999998</v>
      </c>
      <c r="S38" s="321">
        <v>0</v>
      </c>
      <c r="T38" s="321">
        <v>0</v>
      </c>
      <c r="U38" s="321">
        <v>0</v>
      </c>
      <c r="V38" s="321">
        <f ca="1">IF($G38="ManTech",(SUM($N38:$U38)*(VLOOKUP($L38,$L$9:$X$24,V$6,FALSE))),(IF(R38=0,((SUM(N38,#REF!))*(VLOOKUP($L38,$L$9:$X$24,V$6,FALSE))),(SUM($R38:$R38)*(VLOOKUP($L38,$L$9:$X$24,V$6,FALSE))))))</f>
        <v>0.20878559999999996</v>
      </c>
      <c r="W38" s="321">
        <f t="shared" ca="1" si="20"/>
        <v>83.541585600000005</v>
      </c>
      <c r="X38" s="321">
        <f t="shared" ca="1" si="11"/>
        <v>6.6833268480000001</v>
      </c>
      <c r="Y38" s="321">
        <f t="shared" ca="1" si="21"/>
        <v>90.22</v>
      </c>
      <c r="Z38" s="214">
        <f>VLOOKUP(D38,InputSheet!B179:O193,14,FALSE)</f>
        <v>2040</v>
      </c>
      <c r="AA38" s="336">
        <f t="shared" ca="1" si="12"/>
        <v>184048.8</v>
      </c>
      <c r="AB38" s="1036">
        <f t="shared" ca="1" si="22"/>
        <v>1082.6399999999999</v>
      </c>
      <c r="AC38" s="323"/>
      <c r="AD38" s="323"/>
      <c r="AE38" s="323">
        <f t="shared" ca="1" si="23"/>
        <v>170424.83462400001</v>
      </c>
      <c r="AF38" s="323">
        <f t="shared" ca="1" si="24"/>
        <v>184048.8</v>
      </c>
      <c r="AG38" s="323">
        <f t="shared" ca="1" si="25"/>
        <v>13623.965375999978</v>
      </c>
      <c r="AH38" s="20">
        <f t="shared" ca="1" si="26"/>
        <v>0.08</v>
      </c>
      <c r="AI38" s="323"/>
      <c r="AJ38" s="323"/>
      <c r="AK38" s="323"/>
      <c r="AL38" s="323"/>
      <c r="AM38" s="323"/>
      <c r="AN38" s="323"/>
      <c r="AO38" s="323"/>
      <c r="AP38" s="323"/>
      <c r="AQ38" s="60"/>
      <c r="AR38" s="324"/>
      <c r="AS38" s="325"/>
      <c r="AV38" s="251" t="str">
        <f t="shared" ca="1" si="27"/>
        <v>1</v>
      </c>
      <c r="AW38" s="251" t="str">
        <f t="shared" ca="1" si="28"/>
        <v>1</v>
      </c>
    </row>
    <row r="39" spans="4:49">
      <c r="D39" s="8">
        <f t="shared" si="29"/>
        <v>8</v>
      </c>
      <c r="E39" s="319" t="str">
        <f t="shared" si="8"/>
        <v>CIS Trainer</v>
      </c>
      <c r="F39" s="8"/>
      <c r="G39" s="363" t="str">
        <f>+InputSheet!E180</f>
        <v>Segovia, Inc.</v>
      </c>
      <c r="H39" s="8"/>
      <c r="I39" s="320">
        <f t="shared" si="9"/>
        <v>0</v>
      </c>
      <c r="J39" s="198" t="str">
        <f t="shared" si="13"/>
        <v>Segovia, Inc.80Govt_Sub</v>
      </c>
      <c r="K39" s="198"/>
      <c r="L39" s="363" t="s">
        <v>684</v>
      </c>
      <c r="M39" s="321">
        <f>IF(G39="ManTech",(VLOOKUP($D39,DL,6,FALSE)),(INDEX('Sub Rates'!$F$9:$IK$48,MATCH(($E39&amp;$L39),'Sub Rates'!$E$9:$E$48,0),MATCH(($E$8&amp;$G39),'Sub Rates'!$F$8:$IK$8,0))))</f>
        <v>69.083333333333329</v>
      </c>
      <c r="N39" s="321">
        <f t="shared" ca="1" si="10"/>
        <v>69.08</v>
      </c>
      <c r="O39" s="321">
        <f t="shared" ca="1" si="14"/>
        <v>0</v>
      </c>
      <c r="P39" s="321">
        <f t="shared" ca="1" si="14"/>
        <v>0</v>
      </c>
      <c r="Q39" s="321">
        <f t="shared" ca="1" si="15"/>
        <v>0</v>
      </c>
      <c r="R39" s="321">
        <f t="shared" ca="1" si="16"/>
        <v>1.9895039999999999</v>
      </c>
      <c r="S39" s="321">
        <v>0</v>
      </c>
      <c r="T39" s="321">
        <v>0</v>
      </c>
      <c r="U39" s="321">
        <v>0</v>
      </c>
      <c r="V39" s="321">
        <f ca="1">IF($G39="ManTech",(SUM($N39:$U39)*(VLOOKUP($L39,$L$9:$X$24,V$6,FALSE))),(IF(R39=0,((SUM(N39,#REF!))*(VLOOKUP($L39,$L$9:$X$24,V$6,FALSE))),(SUM($R39:$R39)*(VLOOKUP($L39,$L$9:$X$24,V$6,FALSE))))))</f>
        <v>0.17806060799999998</v>
      </c>
      <c r="W39" s="321">
        <f t="shared" ca="1" si="20"/>
        <v>71.24756460799999</v>
      </c>
      <c r="X39" s="321">
        <f t="shared" ca="1" si="11"/>
        <v>5.6998051686399993</v>
      </c>
      <c r="Y39" s="321">
        <f t="shared" ca="1" si="21"/>
        <v>76.95</v>
      </c>
      <c r="Z39" s="214">
        <f>VLOOKUP(D39,InputSheet!B180:O194,14,FALSE)</f>
        <v>2040</v>
      </c>
      <c r="AA39" s="336">
        <f t="shared" ca="1" si="12"/>
        <v>156978</v>
      </c>
      <c r="AB39" s="1036">
        <f t="shared" ca="1" si="22"/>
        <v>923.40000000000009</v>
      </c>
      <c r="AC39" s="323"/>
      <c r="AD39" s="323"/>
      <c r="AE39" s="323">
        <f t="shared" ca="1" si="23"/>
        <v>145345.03180031999</v>
      </c>
      <c r="AF39" s="323">
        <f t="shared" ca="1" si="24"/>
        <v>156978</v>
      </c>
      <c r="AG39" s="323">
        <f t="shared" ca="1" si="25"/>
        <v>11632.968199680006</v>
      </c>
      <c r="AH39" s="20">
        <f t="shared" ca="1" si="26"/>
        <v>0.08</v>
      </c>
      <c r="AI39" s="323"/>
      <c r="AJ39" s="323"/>
      <c r="AK39" s="323"/>
      <c r="AL39" s="323"/>
      <c r="AM39" s="323"/>
      <c r="AN39" s="323"/>
      <c r="AO39" s="323"/>
      <c r="AP39" s="323"/>
      <c r="AQ39" s="60"/>
      <c r="AR39" s="324"/>
      <c r="AS39" s="325"/>
      <c r="AV39" s="251" t="str">
        <f t="shared" ca="1" si="27"/>
        <v>1</v>
      </c>
      <c r="AW39" s="251" t="str">
        <f t="shared" ca="1" si="28"/>
        <v>1</v>
      </c>
    </row>
    <row r="40" spans="4:49">
      <c r="D40" s="8">
        <f t="shared" si="29"/>
        <v>9</v>
      </c>
      <c r="E40" s="319" t="str">
        <f t="shared" si="8"/>
        <v>Radio Technician</v>
      </c>
      <c r="F40" s="8"/>
      <c r="G40" s="363" t="str">
        <f>+InputSheet!E181</f>
        <v>Segovia, Inc.</v>
      </c>
      <c r="H40" s="8"/>
      <c r="I40" s="320">
        <f t="shared" si="9"/>
        <v>0</v>
      </c>
      <c r="J40" s="198" t="str">
        <f t="shared" si="13"/>
        <v>Segovia, Inc.90Govt_Sub</v>
      </c>
      <c r="K40" s="198"/>
      <c r="L40" s="363" t="s">
        <v>684</v>
      </c>
      <c r="M40" s="321">
        <f>IF(G40="ManTech",(VLOOKUP($D40,DL,6,FALSE)),(INDEX('Sub Rates'!$F$9:$IK$48,MATCH(($E40&amp;$L40),'Sub Rates'!$E$9:$E$48,0),MATCH(($E$8&amp;$G40),'Sub Rates'!$F$8:$IK$8,0))))</f>
        <v>60.583333333333336</v>
      </c>
      <c r="N40" s="321">
        <f t="shared" ca="1" si="10"/>
        <v>60.58</v>
      </c>
      <c r="O40" s="321">
        <f t="shared" ca="1" si="14"/>
        <v>0</v>
      </c>
      <c r="P40" s="321">
        <f t="shared" ca="1" si="14"/>
        <v>0</v>
      </c>
      <c r="Q40" s="321">
        <f t="shared" ca="1" si="15"/>
        <v>0</v>
      </c>
      <c r="R40" s="321">
        <f t="shared" ca="1" si="16"/>
        <v>1.7447039999999998</v>
      </c>
      <c r="S40" s="321">
        <v>0</v>
      </c>
      <c r="T40" s="321">
        <v>0</v>
      </c>
      <c r="U40" s="321">
        <v>0</v>
      </c>
      <c r="V40" s="321">
        <f ca="1">IF($G40="ManTech",(SUM($N40:$U40)*(VLOOKUP($L40,$L$9:$X$24,V$6,FALSE))),(IF(R40=0,((SUM(N40,#REF!))*(VLOOKUP($L40,$L$9:$X$24,V$6,FALSE))),(SUM($R40:$R40)*(VLOOKUP($L40,$L$9:$X$24,V$6,FALSE))))))</f>
        <v>0.15615100799999998</v>
      </c>
      <c r="W40" s="321">
        <f t="shared" ca="1" si="20"/>
        <v>62.480855007999999</v>
      </c>
      <c r="X40" s="321">
        <f t="shared" ca="1" si="11"/>
        <v>4.9984684006400002</v>
      </c>
      <c r="Y40" s="321">
        <f t="shared" ca="1" si="21"/>
        <v>67.48</v>
      </c>
      <c r="Z40" s="214">
        <f>VLOOKUP(D40,InputSheet!B181:O195,14,FALSE)</f>
        <v>2040</v>
      </c>
      <c r="AA40" s="336">
        <f t="shared" ca="1" si="12"/>
        <v>137659.20000000001</v>
      </c>
      <c r="AB40" s="1036">
        <f t="shared" ca="1" si="22"/>
        <v>809.76</v>
      </c>
      <c r="AC40" s="323"/>
      <c r="AD40" s="323"/>
      <c r="AE40" s="323">
        <f t="shared" ca="1" si="23"/>
        <v>127460.94421632</v>
      </c>
      <c r="AF40" s="323">
        <f t="shared" ca="1" si="24"/>
        <v>137659.20000000001</v>
      </c>
      <c r="AG40" s="323">
        <f t="shared" ca="1" si="25"/>
        <v>10198.255783680012</v>
      </c>
      <c r="AH40" s="20">
        <f t="shared" ca="1" si="26"/>
        <v>0.08</v>
      </c>
      <c r="AI40" s="323"/>
      <c r="AJ40" s="323"/>
      <c r="AK40" s="323"/>
      <c r="AL40" s="323"/>
      <c r="AM40" s="323"/>
      <c r="AN40" s="323"/>
      <c r="AO40" s="323"/>
      <c r="AP40" s="323"/>
      <c r="AQ40" s="60"/>
      <c r="AR40" s="324"/>
      <c r="AS40" s="325"/>
      <c r="AV40" s="251" t="str">
        <f t="shared" ca="1" si="27"/>
        <v>1</v>
      </c>
      <c r="AW40" s="251" t="str">
        <f t="shared" ca="1" si="28"/>
        <v>1</v>
      </c>
    </row>
    <row r="41" spans="4:49">
      <c r="D41" s="8">
        <f t="shared" si="29"/>
        <v>10</v>
      </c>
      <c r="E41" s="319" t="str">
        <f t="shared" si="8"/>
        <v>Radio Technician</v>
      </c>
      <c r="F41" s="8"/>
      <c r="G41" s="363" t="str">
        <f>+InputSheet!E182</f>
        <v>Segovia, Inc.</v>
      </c>
      <c r="H41" s="8"/>
      <c r="I41" s="320">
        <f t="shared" si="9"/>
        <v>0</v>
      </c>
      <c r="J41" s="198" t="str">
        <f t="shared" si="13"/>
        <v>Segovia, Inc.100Govt_Sub</v>
      </c>
      <c r="K41" s="198"/>
      <c r="L41" s="363" t="s">
        <v>684</v>
      </c>
      <c r="M41" s="321">
        <f>IF(G41="ManTech",(VLOOKUP($D41,DL,6,FALSE)),(INDEX('Sub Rates'!$F$9:$IK$48,MATCH(($E41&amp;$L41),'Sub Rates'!$E$9:$E$48,0),MATCH(($E$8&amp;$G41),'Sub Rates'!$F$8:$IK$8,0))))</f>
        <v>60.583333333333336</v>
      </c>
      <c r="N41" s="321">
        <f t="shared" ca="1" si="10"/>
        <v>60.58</v>
      </c>
      <c r="O41" s="321">
        <f t="shared" ca="1" si="14"/>
        <v>0</v>
      </c>
      <c r="P41" s="321">
        <f t="shared" ca="1" si="14"/>
        <v>0</v>
      </c>
      <c r="Q41" s="321">
        <f t="shared" ca="1" si="15"/>
        <v>0</v>
      </c>
      <c r="R41" s="321">
        <f t="shared" ca="1" si="16"/>
        <v>1.7447039999999998</v>
      </c>
      <c r="S41" s="321">
        <v>0</v>
      </c>
      <c r="T41" s="321">
        <v>0</v>
      </c>
      <c r="U41" s="321">
        <v>0</v>
      </c>
      <c r="V41" s="321">
        <f ca="1">IF($G41="ManTech",(SUM($N41:$U41)*(VLOOKUP($L41,$L$9:$X$24,V$6,FALSE))),(IF(R41=0,((SUM(N41,#REF!))*(VLOOKUP($L41,$L$9:$X$24,V$6,FALSE))),(SUM($R41:$R41)*(VLOOKUP($L41,$L$9:$X$24,V$6,FALSE))))))</f>
        <v>0.15615100799999998</v>
      </c>
      <c r="W41" s="321">
        <f t="shared" ca="1" si="20"/>
        <v>62.480855007999999</v>
      </c>
      <c r="X41" s="321">
        <f t="shared" ca="1" si="11"/>
        <v>4.9984684006400002</v>
      </c>
      <c r="Y41" s="321">
        <f t="shared" ca="1" si="21"/>
        <v>67.48</v>
      </c>
      <c r="Z41" s="214">
        <f>VLOOKUP(D41,InputSheet!B182:O196,14,FALSE)</f>
        <v>2040</v>
      </c>
      <c r="AA41" s="336">
        <f t="shared" ca="1" si="12"/>
        <v>137659.20000000001</v>
      </c>
      <c r="AB41" s="1036">
        <f t="shared" ca="1" si="22"/>
        <v>809.76</v>
      </c>
      <c r="AC41" s="323"/>
      <c r="AD41" s="323"/>
      <c r="AE41" s="323">
        <f t="shared" ca="1" si="23"/>
        <v>127460.94421632</v>
      </c>
      <c r="AF41" s="323">
        <f t="shared" ca="1" si="24"/>
        <v>137659.20000000001</v>
      </c>
      <c r="AG41" s="323">
        <f t="shared" ca="1" si="25"/>
        <v>10198.255783680012</v>
      </c>
      <c r="AH41" s="20">
        <f t="shared" ca="1" si="26"/>
        <v>0.08</v>
      </c>
      <c r="AI41" s="323"/>
      <c r="AJ41" s="323"/>
      <c r="AK41" s="323"/>
      <c r="AL41" s="323"/>
      <c r="AM41" s="323"/>
      <c r="AN41" s="323"/>
      <c r="AO41" s="323"/>
      <c r="AP41" s="323"/>
      <c r="AQ41" s="60"/>
      <c r="AR41" s="324"/>
      <c r="AS41" s="325"/>
      <c r="AV41" s="251" t="str">
        <f t="shared" ca="1" si="27"/>
        <v>1</v>
      </c>
      <c r="AW41" s="251" t="str">
        <f t="shared" ca="1" si="28"/>
        <v>1</v>
      </c>
    </row>
    <row r="42" spans="4:49">
      <c r="D42" s="8">
        <f t="shared" si="29"/>
        <v>11</v>
      </c>
      <c r="E42" s="319" t="str">
        <f t="shared" si="8"/>
        <v>Network Administrator</v>
      </c>
      <c r="F42" s="8"/>
      <c r="G42" s="363" t="str">
        <f>+InputSheet!E183</f>
        <v>ManTech</v>
      </c>
      <c r="H42" s="8"/>
      <c r="I42" s="320">
        <f t="shared" si="9"/>
        <v>0</v>
      </c>
      <c r="J42" s="198" t="str">
        <f t="shared" si="13"/>
        <v>ManTech110Govt</v>
      </c>
      <c r="K42" s="198"/>
      <c r="L42" s="363" t="s">
        <v>623</v>
      </c>
      <c r="M42" s="321">
        <f>IF(G42="ManTech",(VLOOKUP($D42,DL,6,FALSE)),(INDEX('Sub Rates'!$F$9:$IK$48,MATCH(($E42&amp;$L42),'Sub Rates'!$E$9:$E$48,0),MATCH(($E$8&amp;$G42),'Sub Rates'!$F$8:$IK$8,0))))</f>
        <v>27.5</v>
      </c>
      <c r="N42" s="321">
        <f t="shared" ca="1" si="10"/>
        <v>29.95</v>
      </c>
      <c r="O42" s="321">
        <f t="shared" ca="1" si="14"/>
        <v>10.4825</v>
      </c>
      <c r="P42" s="321">
        <f t="shared" ca="1" si="14"/>
        <v>10.4825</v>
      </c>
      <c r="Q42" s="321">
        <f t="shared" ca="1" si="15"/>
        <v>15.905846</v>
      </c>
      <c r="R42" s="321">
        <f t="shared" ca="1" si="16"/>
        <v>1.4901048658</v>
      </c>
      <c r="S42" s="321">
        <f t="shared" si="17"/>
        <v>2.4509803921568629</v>
      </c>
      <c r="T42" s="321">
        <f t="shared" si="18"/>
        <v>0.36784313725490203</v>
      </c>
      <c r="U42" s="321">
        <f t="shared" ca="1" si="19"/>
        <v>0.56904999999999994</v>
      </c>
      <c r="V42" s="321">
        <f ca="1">IF($G42="ManTech",(SUM($N42:$U42)*(VLOOKUP($L42,$L$9:$X$24,V$6,FALSE))),(IF(R42=0,((SUM(N42,#REF!))*(VLOOKUP($L42,$L$9:$X$24,V$6,FALSE))),(SUM($R42:$R42)*(VLOOKUP($L42,$L$9:$X$24,V$6,FALSE))))))</f>
        <v>6.4170447833714546</v>
      </c>
      <c r="W42" s="321">
        <f t="shared" ca="1" si="20"/>
        <v>78.115869178583239</v>
      </c>
      <c r="X42" s="321">
        <f t="shared" ca="1" si="11"/>
        <v>6.2492695342866593</v>
      </c>
      <c r="Y42" s="321">
        <f t="shared" ca="1" si="21"/>
        <v>84.37</v>
      </c>
      <c r="Z42" s="214">
        <f>VLOOKUP(D42,InputSheet!B183:O197,14,FALSE)</f>
        <v>2040</v>
      </c>
      <c r="AA42" s="336">
        <f t="shared" ca="1" si="12"/>
        <v>172114.80000000002</v>
      </c>
      <c r="AB42" s="1036">
        <f t="shared" ca="1" si="22"/>
        <v>1012.44</v>
      </c>
      <c r="AC42" s="323"/>
      <c r="AD42" s="323"/>
      <c r="AE42" s="323">
        <f t="shared" ca="1" si="23"/>
        <v>159356.37312430982</v>
      </c>
      <c r="AF42" s="323">
        <f t="shared" ca="1" si="24"/>
        <v>172114.80000000002</v>
      </c>
      <c r="AG42" s="323">
        <f t="shared" ca="1" si="25"/>
        <v>12758.426875690202</v>
      </c>
      <c r="AH42" s="20">
        <f t="shared" ca="1" si="26"/>
        <v>0.08</v>
      </c>
      <c r="AI42" s="323"/>
      <c r="AJ42" s="323"/>
      <c r="AK42" s="323"/>
      <c r="AL42" s="323"/>
      <c r="AM42" s="323"/>
      <c r="AN42" s="323"/>
      <c r="AO42" s="323"/>
      <c r="AP42" s="323"/>
      <c r="AQ42" s="60"/>
      <c r="AR42" s="324"/>
      <c r="AS42" s="325"/>
      <c r="AV42" s="251" t="str">
        <f t="shared" ca="1" si="27"/>
        <v>1</v>
      </c>
      <c r="AW42" s="251" t="str">
        <f t="shared" ca="1" si="28"/>
        <v>1</v>
      </c>
    </row>
    <row r="43" spans="4:49">
      <c r="D43" s="8">
        <f>D42+1</f>
        <v>12</v>
      </c>
      <c r="E43" s="319" t="str">
        <f t="shared" si="8"/>
        <v>System Administrator</v>
      </c>
      <c r="F43" s="8"/>
      <c r="G43" s="363" t="str">
        <f>+InputSheet!E184</f>
        <v>ManTech</v>
      </c>
      <c r="H43" s="8"/>
      <c r="I43" s="320">
        <f t="shared" si="9"/>
        <v>0</v>
      </c>
      <c r="J43" s="198" t="str">
        <f t="shared" si="13"/>
        <v>ManTech120Govt</v>
      </c>
      <c r="K43" s="198"/>
      <c r="L43" s="363" t="s">
        <v>623</v>
      </c>
      <c r="M43" s="321">
        <f>IF(G43="ManTech",(VLOOKUP($D43,DL,6,FALSE)),(INDEX('Sub Rates'!$F$9:$IK$48,MATCH(($E43&amp;$L43),'Sub Rates'!$E$9:$E$48,0),MATCH(($E$8&amp;$G43),'Sub Rates'!$F$8:$IK$8,0))))</f>
        <v>28</v>
      </c>
      <c r="N43" s="321">
        <f t="shared" ca="1" si="10"/>
        <v>30.49</v>
      </c>
      <c r="O43" s="321">
        <f t="shared" ca="1" si="14"/>
        <v>10.671499999999998</v>
      </c>
      <c r="P43" s="321">
        <f t="shared" ca="1" si="14"/>
        <v>10.671499999999998</v>
      </c>
      <c r="Q43" s="321">
        <f t="shared" ca="1" si="15"/>
        <v>16.192629199999999</v>
      </c>
      <c r="R43" s="321">
        <f t="shared" ca="1" si="16"/>
        <v>1.5169715311599996</v>
      </c>
      <c r="S43" s="321">
        <f t="shared" si="17"/>
        <v>2.4509803921568629</v>
      </c>
      <c r="T43" s="321">
        <f t="shared" si="18"/>
        <v>0.36784313725490203</v>
      </c>
      <c r="U43" s="321">
        <f t="shared" ca="1" si="19"/>
        <v>0.57930999999999999</v>
      </c>
      <c r="V43" s="321">
        <f ca="1">IF($G43="ManTech",(SUM($N43:$U43)*(VLOOKUP($L43,$L$9:$X$24,V$6,FALSE))),(IF(R43=0,((SUM(N43,#REF!))*(VLOOKUP($L43,$L$9:$X$24,V$6,FALSE))),(SUM($R43:$R43)*(VLOOKUP($L43,$L$9:$X$24,V$6,FALSE))))))</f>
        <v>6.5281957163211732</v>
      </c>
      <c r="W43" s="321">
        <f t="shared" ca="1" si="20"/>
        <v>79.468929976892952</v>
      </c>
      <c r="X43" s="321">
        <f t="shared" ca="1" si="11"/>
        <v>6.3575143981514364</v>
      </c>
      <c r="Y43" s="321">
        <f t="shared" ca="1" si="21"/>
        <v>85.83</v>
      </c>
      <c r="Z43" s="214">
        <f>VLOOKUP(D43,InputSheet!B184:O198,14,FALSE)</f>
        <v>2040</v>
      </c>
      <c r="AA43" s="336">
        <f t="shared" ca="1" si="12"/>
        <v>175093.19999999998</v>
      </c>
      <c r="AB43" s="1036">
        <f t="shared" ca="1" si="22"/>
        <v>1029.96</v>
      </c>
      <c r="AC43" s="323"/>
      <c r="AD43" s="323"/>
      <c r="AE43" s="323">
        <f t="shared" ca="1" si="23"/>
        <v>162116.61715286161</v>
      </c>
      <c r="AF43" s="323">
        <f t="shared" ca="1" si="24"/>
        <v>175093.19999999998</v>
      </c>
      <c r="AG43" s="323">
        <f t="shared" ca="1" si="25"/>
        <v>12976.582847138372</v>
      </c>
      <c r="AH43" s="20">
        <f t="shared" ca="1" si="26"/>
        <v>0.08</v>
      </c>
      <c r="AI43" s="323"/>
      <c r="AJ43" s="323"/>
      <c r="AK43" s="323"/>
      <c r="AL43" s="323"/>
      <c r="AM43" s="323"/>
      <c r="AN43" s="323"/>
      <c r="AO43" s="323"/>
      <c r="AP43" s="323"/>
      <c r="AQ43" s="60"/>
      <c r="AR43" s="324"/>
      <c r="AS43" s="325"/>
      <c r="AV43" s="251" t="str">
        <f t="shared" ca="1" si="27"/>
        <v>1</v>
      </c>
      <c r="AW43" s="251" t="str">
        <f t="shared" ca="1" si="28"/>
        <v>1</v>
      </c>
    </row>
    <row r="44" spans="4:49">
      <c r="D44" s="8">
        <f>D43+1</f>
        <v>13</v>
      </c>
      <c r="E44" s="319" t="str">
        <f t="shared" si="8"/>
        <v>Configuration Manager</v>
      </c>
      <c r="F44" s="8"/>
      <c r="G44" s="363" t="str">
        <f>+InputSheet!E185</f>
        <v>ManTech</v>
      </c>
      <c r="H44" s="8"/>
      <c r="I44" s="320">
        <f t="shared" si="9"/>
        <v>0</v>
      </c>
      <c r="J44" s="198" t="str">
        <f t="shared" si="13"/>
        <v>ManTech130Govt</v>
      </c>
      <c r="K44" s="198"/>
      <c r="L44" s="363" t="s">
        <v>623</v>
      </c>
      <c r="M44" s="321">
        <f>IF(G44="ManTech",(VLOOKUP($D44,DL,6,FALSE)),(INDEX('Sub Rates'!$F$9:$IK$48,MATCH(($E44&amp;$L44),'Sub Rates'!$E$9:$E$48,0),MATCH(($E$8&amp;$G44),'Sub Rates'!$F$8:$IK$8,0))))</f>
        <v>26</v>
      </c>
      <c r="N44" s="321">
        <f t="shared" ca="1" si="10"/>
        <v>28.32</v>
      </c>
      <c r="O44" s="321">
        <f t="shared" ca="1" si="14"/>
        <v>9.911999999999999</v>
      </c>
      <c r="P44" s="321">
        <f t="shared" ca="1" si="14"/>
        <v>9.911999999999999</v>
      </c>
      <c r="Q44" s="321">
        <f t="shared" ca="1" si="15"/>
        <v>15.040185599999999</v>
      </c>
      <c r="R44" s="321">
        <f t="shared" ca="1" si="16"/>
        <v>1.40900733888</v>
      </c>
      <c r="S44" s="321">
        <f t="shared" si="17"/>
        <v>2.4509803921568629</v>
      </c>
      <c r="T44" s="321">
        <f t="shared" si="18"/>
        <v>0.36784313725490203</v>
      </c>
      <c r="U44" s="321">
        <f t="shared" ca="1" si="19"/>
        <v>0.53808</v>
      </c>
      <c r="V44" s="321">
        <f ca="1">IF($G44="ManTech",(SUM($N44:$U44)*(VLOOKUP($L44,$L$9:$X$24,V$6,FALSE))),(IF(R44=0,((SUM(N44,#REF!))*(VLOOKUP($L44,$L$9:$X$24,V$6,FALSE))),(SUM($R44:$R44)*(VLOOKUP($L44,$L$9:$X$24,V$6,FALSE))))))</f>
        <v>6.0815336339121124</v>
      </c>
      <c r="W44" s="321">
        <f t="shared" ca="1" si="20"/>
        <v>74.031630102203877</v>
      </c>
      <c r="X44" s="321">
        <f t="shared" ca="1" si="11"/>
        <v>5.9225304081763106</v>
      </c>
      <c r="Y44" s="321">
        <f t="shared" ca="1" si="21"/>
        <v>79.95</v>
      </c>
      <c r="Z44" s="214">
        <f>VLOOKUP(D44,InputSheet!B185:O199,14,FALSE)</f>
        <v>2040</v>
      </c>
      <c r="AA44" s="336">
        <f t="shared" ca="1" si="12"/>
        <v>163098</v>
      </c>
      <c r="AB44" s="1036">
        <f t="shared" ca="1" si="22"/>
        <v>959.40000000000009</v>
      </c>
      <c r="AC44" s="323"/>
      <c r="AD44" s="323"/>
      <c r="AE44" s="323">
        <f t="shared" ca="1" si="23"/>
        <v>151024.52540849592</v>
      </c>
      <c r="AF44" s="323">
        <f t="shared" ca="1" si="24"/>
        <v>163098</v>
      </c>
      <c r="AG44" s="323">
        <f t="shared" ca="1" si="25"/>
        <v>12073.474591504084</v>
      </c>
      <c r="AH44" s="20">
        <f t="shared" ca="1" si="26"/>
        <v>0.08</v>
      </c>
      <c r="AI44" s="323"/>
      <c r="AJ44" s="323"/>
      <c r="AK44" s="323"/>
      <c r="AL44" s="323"/>
      <c r="AM44" s="323"/>
      <c r="AN44" s="323"/>
      <c r="AO44" s="323"/>
      <c r="AP44" s="323"/>
      <c r="AQ44" s="60"/>
      <c r="AR44" s="324"/>
      <c r="AS44" s="325"/>
      <c r="AV44" s="251" t="str">
        <f t="shared" ca="1" si="27"/>
        <v>1</v>
      </c>
      <c r="AW44" s="251" t="str">
        <f t="shared" ca="1" si="28"/>
        <v>1</v>
      </c>
    </row>
    <row r="45" spans="4:49">
      <c r="D45" s="8">
        <f>D44+1</f>
        <v>14</v>
      </c>
      <c r="E45" s="319" t="str">
        <f t="shared" si="8"/>
        <v>Hardware Technician</v>
      </c>
      <c r="F45" s="8"/>
      <c r="G45" s="363" t="str">
        <f>+InputSheet!E186</f>
        <v>ManTech</v>
      </c>
      <c r="H45" s="8"/>
      <c r="I45" s="320">
        <f t="shared" si="9"/>
        <v>0</v>
      </c>
      <c r="J45" s="198" t="str">
        <f t="shared" si="13"/>
        <v>ManTech140Govt</v>
      </c>
      <c r="K45" s="198"/>
      <c r="L45" s="363" t="s">
        <v>623</v>
      </c>
      <c r="M45" s="321">
        <f>IF(G45="ManTech",(VLOOKUP($D45,DL,6,FALSE)),(INDEX('Sub Rates'!$F$9:$IK$48,MATCH(($E45&amp;$L45),'Sub Rates'!$E$9:$E$48,0),MATCH(($E$8&amp;$G45),'Sub Rates'!$F$8:$IK$8,0))))</f>
        <v>26</v>
      </c>
      <c r="N45" s="321">
        <f t="shared" ca="1" si="10"/>
        <v>28.32</v>
      </c>
      <c r="O45" s="321">
        <f t="shared" ca="1" si="14"/>
        <v>9.911999999999999</v>
      </c>
      <c r="P45" s="321">
        <f t="shared" ca="1" si="14"/>
        <v>9.911999999999999</v>
      </c>
      <c r="Q45" s="321">
        <f t="shared" ca="1" si="15"/>
        <v>15.040185599999999</v>
      </c>
      <c r="R45" s="321">
        <f t="shared" ca="1" si="16"/>
        <v>1.40900733888</v>
      </c>
      <c r="S45" s="321">
        <f t="shared" si="17"/>
        <v>2.4509803921568629</v>
      </c>
      <c r="T45" s="321">
        <f t="shared" si="18"/>
        <v>0.36784313725490203</v>
      </c>
      <c r="U45" s="321">
        <f t="shared" ca="1" si="19"/>
        <v>0.53808</v>
      </c>
      <c r="V45" s="321">
        <f ca="1">IF($G45="ManTech",(SUM($N45:$U45)*(VLOOKUP($L45,$L$9:$X$24,V$6,FALSE))),(IF(R45=0,((SUM(N45,#REF!))*(VLOOKUP($L45,$L$9:$X$24,V$6,FALSE))),(SUM($R45:$R45)*(VLOOKUP($L45,$L$9:$X$24,V$6,FALSE))))))</f>
        <v>6.0815336339121124</v>
      </c>
      <c r="W45" s="321">
        <f t="shared" ca="1" si="20"/>
        <v>74.031630102203877</v>
      </c>
      <c r="X45" s="321">
        <f t="shared" ca="1" si="11"/>
        <v>5.9225304081763106</v>
      </c>
      <c r="Y45" s="321">
        <f t="shared" ca="1" si="21"/>
        <v>79.95</v>
      </c>
      <c r="Z45" s="214">
        <f>VLOOKUP(D45,InputSheet!B186:O200,14,FALSE)</f>
        <v>2040</v>
      </c>
      <c r="AA45" s="336">
        <f t="shared" ca="1" si="12"/>
        <v>163098</v>
      </c>
      <c r="AB45" s="1036">
        <f t="shared" ca="1" si="22"/>
        <v>959.40000000000009</v>
      </c>
      <c r="AC45" s="323"/>
      <c r="AD45" s="323"/>
      <c r="AE45" s="323">
        <f t="shared" ca="1" si="23"/>
        <v>151024.52540849592</v>
      </c>
      <c r="AF45" s="323">
        <f t="shared" ca="1" si="24"/>
        <v>163098</v>
      </c>
      <c r="AG45" s="323">
        <f t="shared" ca="1" si="25"/>
        <v>12073.474591504084</v>
      </c>
      <c r="AH45" s="20">
        <f t="shared" ca="1" si="26"/>
        <v>0.08</v>
      </c>
      <c r="AI45" s="323"/>
      <c r="AJ45" s="323"/>
      <c r="AK45" s="323"/>
      <c r="AL45" s="323"/>
      <c r="AM45" s="323"/>
      <c r="AN45" s="323"/>
      <c r="AO45" s="323"/>
      <c r="AP45" s="323"/>
      <c r="AQ45" s="60"/>
      <c r="AR45" s="324"/>
      <c r="AS45" s="325"/>
      <c r="AV45" s="251" t="str">
        <f t="shared" ca="1" si="27"/>
        <v>1</v>
      </c>
      <c r="AW45" s="251" t="str">
        <f t="shared" ca="1" si="28"/>
        <v>1</v>
      </c>
    </row>
    <row r="46" spans="4:49">
      <c r="D46" s="8">
        <f>D45+1</f>
        <v>15</v>
      </c>
      <c r="E46" s="319" t="str">
        <f t="shared" si="8"/>
        <v>Repair/Exchange Specialist</v>
      </c>
      <c r="F46" s="8"/>
      <c r="G46" s="363" t="str">
        <f>+InputSheet!E187</f>
        <v>ManTech</v>
      </c>
      <c r="H46" s="8"/>
      <c r="I46" s="320">
        <f t="shared" si="9"/>
        <v>0</v>
      </c>
      <c r="J46" s="198" t="str">
        <f t="shared" si="13"/>
        <v>ManTech150Govt</v>
      </c>
      <c r="K46" s="198"/>
      <c r="L46" s="363" t="s">
        <v>623</v>
      </c>
      <c r="M46" s="321">
        <f>IF(G46="ManTech",(VLOOKUP($D46,DL,6,FALSE)),(INDEX('Sub Rates'!$F$9:$IK$48,MATCH(($E46&amp;$L46),'Sub Rates'!$E$9:$E$48,0),MATCH(($E$8&amp;$G46),'Sub Rates'!$F$8:$IK$8,0))))</f>
        <v>25</v>
      </c>
      <c r="N46" s="321">
        <f t="shared" ca="1" si="10"/>
        <v>27.23</v>
      </c>
      <c r="O46" s="321">
        <f t="shared" ca="1" si="14"/>
        <v>9.5305</v>
      </c>
      <c r="P46" s="321">
        <f t="shared" ca="1" si="14"/>
        <v>9.5305</v>
      </c>
      <c r="Q46" s="321">
        <f t="shared" ca="1" si="15"/>
        <v>14.4613084</v>
      </c>
      <c r="R46" s="321">
        <f t="shared" ca="1" si="16"/>
        <v>1.3547764773200002</v>
      </c>
      <c r="S46" s="321">
        <f t="shared" si="17"/>
        <v>2.4509803921568629</v>
      </c>
      <c r="T46" s="321">
        <f t="shared" si="18"/>
        <v>0.36784313725490203</v>
      </c>
      <c r="U46" s="321">
        <f t="shared" ca="1" si="19"/>
        <v>0.51737</v>
      </c>
      <c r="V46" s="321">
        <f ca="1">IF($G46="ManTech",(SUM($N46:$U46)*(VLOOKUP($L46,$L$9:$X$24,V$6,FALSE))),(IF(R46=0,((SUM(N46,#REF!))*(VLOOKUP($L46,$L$9:$X$24,V$6,FALSE))),(SUM($R46:$R46)*(VLOOKUP($L46,$L$9:$X$24,V$6,FALSE))))))</f>
        <v>5.8571734174024925</v>
      </c>
      <c r="W46" s="321">
        <f t="shared" ca="1" si="20"/>
        <v>71.300451824134257</v>
      </c>
      <c r="X46" s="321">
        <f t="shared" ca="1" si="11"/>
        <v>5.7040361459307407</v>
      </c>
      <c r="Y46" s="321">
        <f t="shared" ca="1" si="21"/>
        <v>77</v>
      </c>
      <c r="Z46" s="214">
        <f>VLOOKUP(D46,InputSheet!B187:O201,14,FALSE)</f>
        <v>2040</v>
      </c>
      <c r="AA46" s="336">
        <f t="shared" ca="1" si="12"/>
        <v>157080</v>
      </c>
      <c r="AB46" s="1036">
        <f t="shared" ca="1" si="22"/>
        <v>924</v>
      </c>
      <c r="AC46" s="323"/>
      <c r="AD46" s="323"/>
      <c r="AE46" s="323">
        <f t="shared" ca="1" si="23"/>
        <v>145452.92172123387</v>
      </c>
      <c r="AF46" s="323">
        <f t="shared" ca="1" si="24"/>
        <v>157080</v>
      </c>
      <c r="AG46" s="323">
        <f t="shared" ca="1" si="25"/>
        <v>11627.07827876613</v>
      </c>
      <c r="AH46" s="20">
        <f t="shared" ca="1" si="26"/>
        <v>0.08</v>
      </c>
      <c r="AI46" s="323"/>
      <c r="AJ46" s="323"/>
      <c r="AK46" s="323"/>
      <c r="AL46" s="323"/>
      <c r="AM46" s="323"/>
      <c r="AN46" s="323"/>
      <c r="AO46" s="323"/>
      <c r="AP46" s="323"/>
      <c r="AQ46" s="60"/>
      <c r="AR46" s="324"/>
      <c r="AS46" s="325"/>
      <c r="AV46" s="251" t="str">
        <f t="shared" ca="1" si="27"/>
        <v>1</v>
      </c>
      <c r="AW46" s="251" t="str">
        <f t="shared" ca="1" si="28"/>
        <v>1</v>
      </c>
    </row>
    <row r="47" spans="4:49">
      <c r="E47" s="326"/>
      <c r="F47" s="327"/>
      <c r="G47" s="327"/>
      <c r="H47" s="327"/>
      <c r="I47" s="328"/>
      <c r="J47" s="329"/>
      <c r="K47" s="329"/>
      <c r="L47" s="364"/>
      <c r="M47" s="330"/>
      <c r="N47" s="330"/>
      <c r="O47" s="330"/>
      <c r="P47" s="330"/>
      <c r="Q47" s="330"/>
      <c r="R47" s="330"/>
      <c r="S47" s="330"/>
      <c r="T47" s="330"/>
      <c r="U47" s="330"/>
      <c r="V47" s="330"/>
      <c r="W47" s="330"/>
      <c r="X47" s="330"/>
      <c r="Y47" s="330"/>
      <c r="Z47" s="218"/>
      <c r="AA47" s="339"/>
      <c r="AB47" s="1037"/>
      <c r="AC47" s="332"/>
      <c r="AD47" s="332"/>
      <c r="AE47" s="332"/>
      <c r="AF47" s="332"/>
      <c r="AG47" s="332"/>
      <c r="AH47" s="332"/>
      <c r="AI47" s="332"/>
      <c r="AJ47" s="332"/>
      <c r="AK47" s="332"/>
      <c r="AL47" s="332"/>
      <c r="AM47" s="332"/>
      <c r="AN47" s="332"/>
      <c r="AO47" s="332"/>
      <c r="AP47" s="332"/>
      <c r="AQ47" s="332"/>
      <c r="AR47" s="333"/>
      <c r="AS47" s="325"/>
      <c r="AV47" s="251" t="str">
        <f t="shared" si="27"/>
        <v>1</v>
      </c>
      <c r="AW47" s="251" t="str">
        <f t="shared" si="28"/>
        <v>1</v>
      </c>
    </row>
    <row r="48" spans="4:49">
      <c r="E48" s="248"/>
      <c r="F48" s="8"/>
      <c r="G48" s="8"/>
      <c r="H48" s="8"/>
      <c r="I48" s="8"/>
      <c r="J48" s="8"/>
      <c r="K48" s="8"/>
      <c r="L48" s="8"/>
      <c r="M48" s="321"/>
      <c r="N48" s="321"/>
      <c r="O48" s="321"/>
      <c r="P48" s="321"/>
      <c r="Q48" s="321"/>
      <c r="R48" s="321"/>
      <c r="S48" s="321"/>
      <c r="T48" s="321"/>
      <c r="U48" s="321"/>
      <c r="V48" s="321"/>
      <c r="W48" s="321"/>
      <c r="X48" s="321"/>
      <c r="Y48" s="321"/>
      <c r="Z48" s="321"/>
      <c r="AA48" s="321"/>
      <c r="AB48" s="250"/>
      <c r="AC48" s="323"/>
      <c r="AD48" s="323"/>
      <c r="AE48" s="323"/>
      <c r="AF48" s="323"/>
      <c r="AG48" s="323"/>
      <c r="AH48" s="323"/>
      <c r="AI48" s="323"/>
      <c r="AJ48" s="323"/>
      <c r="AK48" s="323"/>
      <c r="AL48" s="323"/>
      <c r="AM48" s="323"/>
      <c r="AN48" s="323"/>
      <c r="AO48" s="323"/>
      <c r="AP48" s="323"/>
      <c r="AQ48" s="60"/>
      <c r="AR48" s="324"/>
      <c r="AS48" s="325"/>
      <c r="AV48" s="251" t="str">
        <f t="shared" si="27"/>
        <v>1</v>
      </c>
      <c r="AW48" s="251" t="str">
        <f t="shared" si="28"/>
        <v>1</v>
      </c>
    </row>
    <row r="49" spans="1:49">
      <c r="E49" s="248"/>
      <c r="F49" s="8"/>
      <c r="G49" s="8"/>
      <c r="H49" s="8"/>
      <c r="I49" s="8"/>
      <c r="J49" s="8"/>
      <c r="K49" s="8"/>
      <c r="L49" s="8"/>
      <c r="M49" s="8"/>
      <c r="N49" s="8"/>
      <c r="O49" s="8"/>
      <c r="P49" s="8"/>
      <c r="Q49" s="8"/>
      <c r="R49" s="8"/>
      <c r="S49" s="8"/>
      <c r="T49" s="8"/>
      <c r="U49" s="8"/>
      <c r="V49" s="8"/>
      <c r="W49" s="8"/>
      <c r="X49" s="8"/>
      <c r="Y49" s="313" t="s">
        <v>647</v>
      </c>
      <c r="Z49" s="334">
        <f>SUBTOTAL(9,Z$31:Z$48)</f>
        <v>30600</v>
      </c>
      <c r="AA49" s="1028">
        <f ca="1">SUBTOTAL(9,AA$31:AA$48)</f>
        <v>2457710.4</v>
      </c>
      <c r="AB49" s="250"/>
      <c r="AC49" s="323"/>
      <c r="AD49" s="323"/>
      <c r="AE49" s="323"/>
      <c r="AF49" s="323"/>
      <c r="AG49" s="323"/>
      <c r="AH49" s="323"/>
      <c r="AI49" s="323"/>
      <c r="AJ49" s="323"/>
      <c r="AK49" s="323"/>
      <c r="AL49" s="323"/>
      <c r="AM49" s="323"/>
      <c r="AN49" s="323"/>
      <c r="AO49" s="323"/>
      <c r="AP49" s="323"/>
      <c r="AQ49" s="60"/>
      <c r="AR49" s="324"/>
      <c r="AS49" s="325"/>
      <c r="AV49" s="251" t="str">
        <f t="shared" si="27"/>
        <v>1</v>
      </c>
      <c r="AW49" s="251" t="str">
        <f t="shared" ca="1" si="28"/>
        <v>1</v>
      </c>
    </row>
    <row r="50" spans="1:49" ht="13.5" thickBot="1">
      <c r="B50" s="8" t="s">
        <v>854</v>
      </c>
      <c r="E50" s="248"/>
      <c r="F50" s="8"/>
      <c r="G50" s="8"/>
      <c r="H50" s="8"/>
      <c r="I50" s="8"/>
      <c r="J50" s="8"/>
      <c r="K50" s="8"/>
      <c r="L50" s="8"/>
      <c r="M50" s="8"/>
      <c r="N50" s="8"/>
      <c r="O50" s="8"/>
      <c r="P50" s="8"/>
      <c r="Q50" s="8"/>
      <c r="R50" s="8"/>
      <c r="S50" s="8"/>
      <c r="T50" s="8"/>
      <c r="U50" s="8"/>
      <c r="V50" s="8"/>
      <c r="W50" s="8"/>
      <c r="X50" s="8"/>
      <c r="Y50" s="313"/>
      <c r="Z50" s="57"/>
      <c r="AA50" s="60"/>
      <c r="AB50" s="250"/>
      <c r="AN50" s="13"/>
      <c r="AO50" s="335"/>
      <c r="AV50" s="251" t="str">
        <f t="shared" si="27"/>
        <v>1</v>
      </c>
      <c r="AW50" s="251" t="str">
        <f t="shared" si="28"/>
        <v>1</v>
      </c>
    </row>
    <row r="51" spans="1:49" s="317" customFormat="1" ht="16.5" thickBot="1">
      <c r="B51" s="919">
        <v>1.4735</v>
      </c>
      <c r="E51" s="240" t="s">
        <v>737</v>
      </c>
      <c r="F51" s="202"/>
      <c r="G51" s="202"/>
      <c r="H51" s="203"/>
      <c r="I51" s="202"/>
      <c r="J51" s="201"/>
      <c r="K51" s="201"/>
      <c r="L51" s="202"/>
      <c r="M51" s="204"/>
      <c r="N51" s="204"/>
      <c r="O51" s="204"/>
      <c r="P51" s="204"/>
      <c r="Q51" s="204"/>
      <c r="R51" s="204"/>
      <c r="S51" s="204"/>
      <c r="T51" s="204"/>
      <c r="U51" s="204"/>
      <c r="V51" s="204"/>
      <c r="W51" s="204"/>
      <c r="X51" s="204"/>
      <c r="Y51" s="204"/>
      <c r="Z51" s="204"/>
      <c r="AA51" s="204"/>
      <c r="AB51" s="1038"/>
      <c r="AC51" s="206"/>
      <c r="AD51" s="206"/>
      <c r="AE51" s="206"/>
      <c r="AF51" s="206"/>
      <c r="AG51" s="206"/>
      <c r="AH51" s="206"/>
      <c r="AI51" s="206"/>
      <c r="AJ51" s="206"/>
      <c r="AK51" s="206"/>
      <c r="AL51" s="206"/>
      <c r="AM51" s="206"/>
      <c r="AN51" s="206"/>
      <c r="AO51" s="206"/>
      <c r="AP51" s="206"/>
      <c r="AQ51" s="206"/>
      <c r="AR51" s="206"/>
      <c r="AS51" s="318"/>
      <c r="AV51" s="251" t="str">
        <f t="shared" si="27"/>
        <v>1</v>
      </c>
      <c r="AW51" s="251" t="str">
        <f t="shared" si="28"/>
        <v>1</v>
      </c>
    </row>
    <row r="52" spans="1:49" s="317" customFormat="1" ht="15.75">
      <c r="B52" s="919"/>
      <c r="E52" s="1059" t="s">
        <v>939</v>
      </c>
      <c r="F52" s="1060"/>
      <c r="G52" s="1060"/>
      <c r="H52" s="1061"/>
      <c r="I52" s="1060"/>
      <c r="J52" s="1062"/>
      <c r="K52" s="1062"/>
      <c r="L52" s="1060"/>
      <c r="M52" s="1063"/>
      <c r="N52" s="1063"/>
      <c r="O52" s="1063"/>
      <c r="P52" s="1063"/>
      <c r="Q52" s="1063"/>
      <c r="R52" s="1063"/>
      <c r="S52" s="1063"/>
      <c r="T52" s="1063"/>
      <c r="U52" s="1063"/>
      <c r="V52" s="1063"/>
      <c r="W52" s="1063"/>
      <c r="X52" s="1063"/>
      <c r="Y52" s="1063"/>
      <c r="Z52" s="1063"/>
      <c r="AA52" s="1063"/>
      <c r="AB52" s="1064"/>
      <c r="AC52" s="1065"/>
      <c r="AD52" s="1065"/>
      <c r="AE52" s="1065"/>
      <c r="AF52" s="1065"/>
      <c r="AG52" s="1065"/>
      <c r="AH52" s="1065"/>
      <c r="AI52" s="1065"/>
      <c r="AJ52" s="1065"/>
      <c r="AK52" s="1065"/>
      <c r="AL52" s="1065"/>
      <c r="AM52" s="1065"/>
      <c r="AN52" s="1065"/>
      <c r="AO52" s="1065"/>
      <c r="AP52" s="1065"/>
      <c r="AQ52" s="1065"/>
      <c r="AR52" s="1065"/>
      <c r="AS52" s="318"/>
      <c r="AV52" s="251"/>
      <c r="AW52" s="251"/>
    </row>
    <row r="53" spans="1:49">
      <c r="A53" s="918">
        <v>275</v>
      </c>
      <c r="B53" s="57">
        <f>B51*A53</f>
        <v>405.21250000000003</v>
      </c>
      <c r="E53" s="832" t="s">
        <v>852</v>
      </c>
      <c r="F53" s="8"/>
      <c r="G53" s="8"/>
      <c r="H53" s="8"/>
      <c r="I53" s="8" t="s">
        <v>853</v>
      </c>
      <c r="J53" s="8"/>
      <c r="K53" s="8"/>
      <c r="L53" s="363" t="s">
        <v>617</v>
      </c>
      <c r="M53" s="336">
        <f>+B53</f>
        <v>405.21250000000003</v>
      </c>
      <c r="N53" s="336">
        <f ca="1">ROUND($M53*(VLOOKUP($L53,$L$9:$X$24,N$6,FALSE)),2)</f>
        <v>405.21</v>
      </c>
      <c r="O53" s="336">
        <f t="shared" ref="O53:Q54" ca="1" si="30">ROUND($N53*(VLOOKUP($L53,$L$9:$X$24,O$6,FALSE)),2)</f>
        <v>0</v>
      </c>
      <c r="P53" s="336">
        <f t="shared" ca="1" si="30"/>
        <v>0</v>
      </c>
      <c r="Q53" s="336">
        <f t="shared" ca="1" si="30"/>
        <v>0</v>
      </c>
      <c r="R53" s="336">
        <f ca="1">ROUND(($N53+$Q53)*(VLOOKUP($L53,$L$9:$X$24,R$6,FALSE)),2)</f>
        <v>0</v>
      </c>
      <c r="S53" s="336">
        <f t="shared" ref="S53:U54" ca="1" si="31">ROUND($N53*(VLOOKUP($L53,$L$9:$X$24,S$6,FALSE)),2)</f>
        <v>0</v>
      </c>
      <c r="T53" s="336">
        <f t="shared" ca="1" si="31"/>
        <v>0</v>
      </c>
      <c r="U53" s="336">
        <f t="shared" ca="1" si="31"/>
        <v>0</v>
      </c>
      <c r="V53" s="336">
        <f ca="1">IF($R53=0,ROUND(SUM($N53:$R53)*(VLOOKUP($L53,$L$9:$X$24,V$6,FALSE)),2),ROUND(SUM($R53:$R53)*(VLOOKUP($L53,$L$9:$X$24,V$6,FALSE)),2))</f>
        <v>36.270000000000003</v>
      </c>
      <c r="W53" s="336">
        <f ca="1">SUM(N53:V53)</f>
        <v>441.47999999999996</v>
      </c>
      <c r="X53" s="336">
        <f ca="1">ROUND(W53*(VLOOKUP($L53,$L$9:$X$24,X$6,FALSE)),2)</f>
        <v>35.32</v>
      </c>
      <c r="Y53" s="336">
        <f ca="1">SUM(W53:X53)</f>
        <v>476.79999999999995</v>
      </c>
      <c r="Z53" s="214">
        <v>1</v>
      </c>
      <c r="AA53" s="336">
        <f ca="1">$Y53*$Z53</f>
        <v>476.79999999999995</v>
      </c>
      <c r="AB53" s="250"/>
      <c r="AC53" s="337"/>
      <c r="AD53" s="337"/>
      <c r="AE53" s="323">
        <f ca="1">W53*Z53</f>
        <v>441.47999999999996</v>
      </c>
      <c r="AF53" s="323">
        <f ca="1">Y53*Z53</f>
        <v>476.79999999999995</v>
      </c>
      <c r="AG53" s="323">
        <f ca="1">AF53-AE53</f>
        <v>35.319999999999993</v>
      </c>
      <c r="AH53" s="20">
        <f ca="1">IF(AG53=0,0,ROUND(AG53/AE53,2))</f>
        <v>0.08</v>
      </c>
      <c r="AI53" s="337"/>
      <c r="AJ53" s="337"/>
      <c r="AK53" s="337"/>
      <c r="AL53" s="337"/>
      <c r="AM53" s="337"/>
      <c r="AN53" s="323"/>
      <c r="AO53" s="337"/>
      <c r="AP53" s="323"/>
      <c r="AQ53" s="60"/>
      <c r="AR53" s="324"/>
      <c r="AS53" s="325"/>
      <c r="AV53" s="251" t="str">
        <f t="shared" ca="1" si="27"/>
        <v>1</v>
      </c>
      <c r="AW53" s="251" t="str">
        <f t="shared" ca="1" si="28"/>
        <v>1</v>
      </c>
    </row>
    <row r="54" spans="1:49">
      <c r="A54" s="918"/>
      <c r="B54" s="57"/>
      <c r="E54" s="832" t="s">
        <v>917</v>
      </c>
      <c r="F54" s="8"/>
      <c r="G54" s="8"/>
      <c r="H54" s="8"/>
      <c r="I54" s="8"/>
      <c r="J54" s="8"/>
      <c r="K54" s="8"/>
      <c r="L54" s="363" t="s">
        <v>617</v>
      </c>
      <c r="M54" s="336">
        <f>'Travel - Year 1'!P18</f>
        <v>1048</v>
      </c>
      <c r="N54" s="336">
        <f ca="1">ROUND($M54*(VLOOKUP($L54,$L$9:$X$24,N$6,FALSE)),2)</f>
        <v>1048</v>
      </c>
      <c r="O54" s="336">
        <f t="shared" ca="1" si="30"/>
        <v>0</v>
      </c>
      <c r="P54" s="336">
        <f t="shared" ca="1" si="30"/>
        <v>0</v>
      </c>
      <c r="Q54" s="336">
        <f t="shared" ca="1" si="30"/>
        <v>0</v>
      </c>
      <c r="R54" s="336">
        <f ca="1">ROUND(($N54+$Q54)*(VLOOKUP($L54,$L$9:$X$24,R$6,FALSE)),2)</f>
        <v>0</v>
      </c>
      <c r="S54" s="336">
        <f t="shared" ca="1" si="31"/>
        <v>0</v>
      </c>
      <c r="T54" s="336">
        <f t="shared" ca="1" si="31"/>
        <v>0</v>
      </c>
      <c r="U54" s="336">
        <f t="shared" ca="1" si="31"/>
        <v>0</v>
      </c>
      <c r="V54" s="336">
        <f ca="1">IF($R54=0,ROUND(SUM($N54:$R54)*(VLOOKUP($L54,$L$9:$X$24,V$6,FALSE)),2),ROUND(SUM($R54:$R54)*(VLOOKUP($L54,$L$9:$X$24,V$6,FALSE)),2))</f>
        <v>93.8</v>
      </c>
      <c r="W54" s="336">
        <f ca="1">SUM(N54:V54)</f>
        <v>1141.8</v>
      </c>
      <c r="X54" s="336">
        <f ca="1">ROUND(W54*(VLOOKUP($L54,$L$9:$X$24,X$6,FALSE)),2)</f>
        <v>91.34</v>
      </c>
      <c r="Y54" s="336">
        <f ca="1">SUM(W54:X54)</f>
        <v>1233.1399999999999</v>
      </c>
      <c r="Z54" s="214">
        <v>1</v>
      </c>
      <c r="AA54" s="336">
        <f ca="1">$Y54*$Z54</f>
        <v>1233.1399999999999</v>
      </c>
      <c r="AB54" s="250"/>
      <c r="AC54" s="337"/>
      <c r="AD54" s="337"/>
      <c r="AE54" s="323">
        <f ca="1">W54*Z54</f>
        <v>1141.8</v>
      </c>
      <c r="AF54" s="323">
        <f ca="1">Y54*Z54</f>
        <v>1233.1399999999999</v>
      </c>
      <c r="AG54" s="323">
        <f ca="1">AF54-AE54</f>
        <v>91.339999999999918</v>
      </c>
      <c r="AH54" s="20">
        <f ca="1">IF(AG54=0,0,ROUND(AG54/AE54,2))</f>
        <v>0.08</v>
      </c>
      <c r="AI54" s="337"/>
      <c r="AJ54" s="337"/>
      <c r="AK54" s="337"/>
      <c r="AL54" s="337"/>
      <c r="AM54" s="337"/>
      <c r="AN54" s="323"/>
      <c r="AO54" s="337"/>
      <c r="AP54" s="323"/>
      <c r="AQ54" s="60"/>
      <c r="AR54" s="324"/>
      <c r="AS54" s="325"/>
      <c r="AV54" s="251" t="str">
        <f ca="1">IF((OR((Y54=""),(Y54&gt;0))),"1","0")</f>
        <v>1</v>
      </c>
      <c r="AW54" s="251" t="str">
        <f ca="1">IF((OR((AA54=""),(AA54&gt;0))),"1","0")</f>
        <v>1</v>
      </c>
    </row>
    <row r="55" spans="1:49">
      <c r="A55" s="918"/>
      <c r="B55" s="57"/>
      <c r="E55" s="832"/>
      <c r="F55" s="8"/>
      <c r="G55" s="8"/>
      <c r="H55" s="8"/>
      <c r="I55" s="8"/>
      <c r="J55" s="8"/>
      <c r="K55" s="8"/>
      <c r="L55" s="363"/>
      <c r="M55" s="336"/>
      <c r="N55" s="336"/>
      <c r="O55" s="336"/>
      <c r="P55" s="336"/>
      <c r="Q55" s="336"/>
      <c r="R55" s="336"/>
      <c r="S55" s="336"/>
      <c r="T55" s="336"/>
      <c r="U55" s="336"/>
      <c r="V55" s="336"/>
      <c r="W55" s="336"/>
      <c r="X55" s="336"/>
      <c r="Y55" s="336" t="s">
        <v>942</v>
      </c>
      <c r="Z55" s="214"/>
      <c r="AA55" s="336">
        <f ca="1">SUBTOTAL(9,AA53:AA54)</f>
        <v>1709.9399999999998</v>
      </c>
      <c r="AB55" s="250"/>
      <c r="AC55" s="337"/>
      <c r="AD55" s="337"/>
      <c r="AE55" s="323"/>
      <c r="AF55" s="323"/>
      <c r="AG55" s="323"/>
      <c r="AH55" s="20"/>
      <c r="AI55" s="337"/>
      <c r="AJ55" s="337"/>
      <c r="AK55" s="337"/>
      <c r="AL55" s="337"/>
      <c r="AM55" s="337"/>
      <c r="AN55" s="323"/>
      <c r="AO55" s="337"/>
      <c r="AP55" s="323"/>
      <c r="AQ55" s="60"/>
      <c r="AR55" s="324"/>
      <c r="AS55" s="325"/>
    </row>
    <row r="56" spans="1:49" ht="15.75">
      <c r="A56" s="918"/>
      <c r="B56" s="57"/>
      <c r="E56" s="1059" t="s">
        <v>940</v>
      </c>
      <c r="F56" s="1060"/>
      <c r="G56" s="1060"/>
      <c r="H56" s="1061"/>
      <c r="I56" s="1060"/>
      <c r="J56" s="1062"/>
      <c r="K56" s="1062"/>
      <c r="L56" s="1060"/>
      <c r="M56" s="1063"/>
      <c r="N56" s="1063"/>
      <c r="O56" s="1063"/>
      <c r="P56" s="1063"/>
      <c r="Q56" s="1063"/>
      <c r="R56" s="1063"/>
      <c r="S56" s="1063"/>
      <c r="T56" s="1063"/>
      <c r="U56" s="1063"/>
      <c r="V56" s="1063"/>
      <c r="W56" s="1063"/>
      <c r="X56" s="1063"/>
      <c r="Y56" s="1063"/>
      <c r="Z56" s="1063"/>
      <c r="AA56" s="1063"/>
      <c r="AB56" s="1064"/>
      <c r="AC56" s="337"/>
      <c r="AD56" s="337"/>
      <c r="AE56" s="323"/>
      <c r="AF56" s="323"/>
      <c r="AG56" s="323"/>
      <c r="AH56" s="20"/>
      <c r="AI56" s="337"/>
      <c r="AJ56" s="337"/>
      <c r="AK56" s="337"/>
      <c r="AL56" s="337"/>
      <c r="AM56" s="337"/>
      <c r="AN56" s="323"/>
      <c r="AO56" s="337"/>
      <c r="AP56" s="323"/>
      <c r="AQ56" s="60"/>
      <c r="AR56" s="324"/>
      <c r="AS56" s="325"/>
    </row>
    <row r="57" spans="1:49">
      <c r="A57" s="918"/>
      <c r="B57" s="57"/>
      <c r="E57" s="832" t="s">
        <v>915</v>
      </c>
      <c r="F57" s="8"/>
      <c r="G57" s="8"/>
      <c r="H57" s="8"/>
      <c r="I57" s="8"/>
      <c r="J57" s="8"/>
      <c r="K57" s="8"/>
      <c r="L57" s="363" t="s">
        <v>617</v>
      </c>
      <c r="M57" s="336">
        <f>'Travel - Year 1'!P16</f>
        <v>3011</v>
      </c>
      <c r="N57" s="336">
        <f ca="1">ROUND($M57*(VLOOKUP($L57,$L$9:$X$24,N$6,FALSE)),2)</f>
        <v>3011</v>
      </c>
      <c r="O57" s="336">
        <f t="shared" ref="O57:Q59" ca="1" si="32">ROUND($N57*(VLOOKUP($L57,$L$9:$X$24,O$6,FALSE)),2)</f>
        <v>0</v>
      </c>
      <c r="P57" s="336">
        <f t="shared" ca="1" si="32"/>
        <v>0</v>
      </c>
      <c r="Q57" s="336">
        <f t="shared" ca="1" si="32"/>
        <v>0</v>
      </c>
      <c r="R57" s="336">
        <f ca="1">ROUND(($N57+$Q57)*(VLOOKUP($L57,$L$9:$X$24,R$6,FALSE)),2)</f>
        <v>0</v>
      </c>
      <c r="S57" s="336">
        <f t="shared" ref="S57:U59" ca="1" si="33">ROUND($N57*(VLOOKUP($L57,$L$9:$X$24,S$6,FALSE)),2)</f>
        <v>0</v>
      </c>
      <c r="T57" s="336">
        <f t="shared" ca="1" si="33"/>
        <v>0</v>
      </c>
      <c r="U57" s="336">
        <f t="shared" ca="1" si="33"/>
        <v>0</v>
      </c>
      <c r="V57" s="336">
        <f ca="1">IF($R57=0,ROUND(SUM($N57:$R57)*(VLOOKUP($L57,$L$9:$X$24,V$6,FALSE)),2),ROUND(SUM($R57:$R57)*(VLOOKUP($L57,$L$9:$X$24,V$6,FALSE)),2))</f>
        <v>269.48</v>
      </c>
      <c r="W57" s="336">
        <f ca="1">SUM(N57:V57)</f>
        <v>3280.48</v>
      </c>
      <c r="X57" s="336">
        <f ca="1">ROUND(W57*(VLOOKUP($L57,$L$9:$X$24,X$6,FALSE)),2)</f>
        <v>262.44</v>
      </c>
      <c r="Y57" s="336">
        <f ca="1">SUM(W57:X57)</f>
        <v>3542.92</v>
      </c>
      <c r="Z57" s="214">
        <v>1</v>
      </c>
      <c r="AA57" s="336">
        <f ca="1">$Y57*$Z57</f>
        <v>3542.92</v>
      </c>
      <c r="AB57" s="250"/>
      <c r="AC57" s="337"/>
      <c r="AD57" s="337"/>
      <c r="AE57" s="323">
        <f ca="1">W57*Z57</f>
        <v>3280.48</v>
      </c>
      <c r="AF57" s="323">
        <f ca="1">Y57*Z57</f>
        <v>3542.92</v>
      </c>
      <c r="AG57" s="323">
        <f ca="1">AF57-AE57</f>
        <v>262.44000000000005</v>
      </c>
      <c r="AH57" s="20">
        <f ca="1">IF(AG57=0,0,ROUND(AG57/AE57,2))</f>
        <v>0.08</v>
      </c>
      <c r="AI57" s="337"/>
      <c r="AJ57" s="337"/>
      <c r="AK57" s="337"/>
      <c r="AL57" s="337"/>
      <c r="AM57" s="337"/>
      <c r="AN57" s="323"/>
      <c r="AO57" s="337"/>
      <c r="AP57" s="323"/>
      <c r="AQ57" s="60"/>
      <c r="AR57" s="324"/>
      <c r="AS57" s="325"/>
      <c r="AV57" s="251" t="str">
        <f ca="1">IF((OR((Y57=""),(Y57&gt;0))),"1","0")</f>
        <v>1</v>
      </c>
      <c r="AW57" s="251" t="str">
        <f ca="1">IF((OR((AA57=""),(AA57&gt;0))),"1","0")</f>
        <v>1</v>
      </c>
    </row>
    <row r="58" spans="1:49">
      <c r="A58" s="918"/>
      <c r="B58" s="57"/>
      <c r="E58" s="832" t="s">
        <v>916</v>
      </c>
      <c r="F58" s="8"/>
      <c r="G58" s="8"/>
      <c r="H58" s="8"/>
      <c r="I58" s="8"/>
      <c r="J58" s="8"/>
      <c r="K58" s="8"/>
      <c r="L58" s="363" t="s">
        <v>617</v>
      </c>
      <c r="M58" s="336">
        <f>'Travel - Year 1'!P17</f>
        <v>3078</v>
      </c>
      <c r="N58" s="336">
        <f ca="1">ROUND($M58*(VLOOKUP($L58,$L$9:$X$24,N$6,FALSE)),2)</f>
        <v>3078</v>
      </c>
      <c r="O58" s="336">
        <f t="shared" ca="1" si="32"/>
        <v>0</v>
      </c>
      <c r="P58" s="336">
        <f t="shared" ca="1" si="32"/>
        <v>0</v>
      </c>
      <c r="Q58" s="336">
        <f t="shared" ca="1" si="32"/>
        <v>0</v>
      </c>
      <c r="R58" s="336">
        <f ca="1">ROUND(($N58+$Q58)*(VLOOKUP($L58,$L$9:$X$24,R$6,FALSE)),2)</f>
        <v>0</v>
      </c>
      <c r="S58" s="336">
        <f t="shared" ca="1" si="33"/>
        <v>0</v>
      </c>
      <c r="T58" s="336">
        <f t="shared" ca="1" si="33"/>
        <v>0</v>
      </c>
      <c r="U58" s="336">
        <f t="shared" ca="1" si="33"/>
        <v>0</v>
      </c>
      <c r="V58" s="336">
        <f ca="1">IF($R58=0,ROUND(SUM($N58:$R58)*(VLOOKUP($L58,$L$9:$X$24,V$6,FALSE)),2),ROUND(SUM($R58:$R58)*(VLOOKUP($L58,$L$9:$X$24,V$6,FALSE)),2))</f>
        <v>275.48</v>
      </c>
      <c r="W58" s="336">
        <f ca="1">SUM(N58:V58)</f>
        <v>3353.48</v>
      </c>
      <c r="X58" s="336">
        <f ca="1">ROUND(W58*(VLOOKUP($L58,$L$9:$X$24,X$6,FALSE)),2)</f>
        <v>268.27999999999997</v>
      </c>
      <c r="Y58" s="336">
        <f ca="1">SUM(W58:X58)</f>
        <v>3621.76</v>
      </c>
      <c r="Z58" s="214">
        <v>1</v>
      </c>
      <c r="AA58" s="336">
        <f ca="1">$Y58*$Z58</f>
        <v>3621.76</v>
      </c>
      <c r="AB58" s="250"/>
      <c r="AC58" s="337"/>
      <c r="AD58" s="337"/>
      <c r="AE58" s="323">
        <f ca="1">W58*Z58</f>
        <v>3353.48</v>
      </c>
      <c r="AF58" s="323">
        <f ca="1">Y58*Z58</f>
        <v>3621.76</v>
      </c>
      <c r="AG58" s="323">
        <f ca="1">AF58-AE58</f>
        <v>268.2800000000002</v>
      </c>
      <c r="AH58" s="20">
        <f ca="1">IF(AG58=0,0,ROUND(AG58/AE58,2))</f>
        <v>0.08</v>
      </c>
      <c r="AI58" s="337"/>
      <c r="AJ58" s="337"/>
      <c r="AK58" s="337"/>
      <c r="AL58" s="337"/>
      <c r="AM58" s="337"/>
      <c r="AN58" s="323"/>
      <c r="AO58" s="337"/>
      <c r="AP58" s="323"/>
      <c r="AQ58" s="60"/>
      <c r="AR58" s="324"/>
      <c r="AS58" s="325"/>
      <c r="AV58" s="251" t="str">
        <f ca="1">IF((OR((Y58=""),(Y58&gt;0))),"1","0")</f>
        <v>1</v>
      </c>
      <c r="AW58" s="251" t="str">
        <f ca="1">IF((OR((AA58=""),(AA58&gt;0))),"1","0")</f>
        <v>1</v>
      </c>
    </row>
    <row r="59" spans="1:49">
      <c r="A59" s="918"/>
      <c r="B59" s="57"/>
      <c r="E59" s="832" t="s">
        <v>918</v>
      </c>
      <c r="F59" s="8"/>
      <c r="G59" s="8"/>
      <c r="H59" s="8"/>
      <c r="I59" s="8"/>
      <c r="J59" s="8"/>
      <c r="K59" s="8"/>
      <c r="L59" s="363" t="s">
        <v>617</v>
      </c>
      <c r="M59" s="336" t="e">
        <f>'Travel - Year 1'!#REF!</f>
        <v>#REF!</v>
      </c>
      <c r="N59" s="336" t="e">
        <f ca="1">ROUND($M59*(VLOOKUP($L59,$L$9:$X$24,N$6,FALSE)),2)</f>
        <v>#REF!</v>
      </c>
      <c r="O59" s="336" t="e">
        <f t="shared" ca="1" si="32"/>
        <v>#REF!</v>
      </c>
      <c r="P59" s="336" t="e">
        <f t="shared" ca="1" si="32"/>
        <v>#REF!</v>
      </c>
      <c r="Q59" s="336" t="e">
        <f t="shared" ca="1" si="32"/>
        <v>#REF!</v>
      </c>
      <c r="R59" s="336" t="e">
        <f ca="1">ROUND(($N59+$Q59)*(VLOOKUP($L59,$L$9:$X$24,R$6,FALSE)),2)</f>
        <v>#REF!</v>
      </c>
      <c r="S59" s="336" t="e">
        <f t="shared" ca="1" si="33"/>
        <v>#REF!</v>
      </c>
      <c r="T59" s="336" t="e">
        <f t="shared" ca="1" si="33"/>
        <v>#REF!</v>
      </c>
      <c r="U59" s="336" t="e">
        <f t="shared" ca="1" si="33"/>
        <v>#REF!</v>
      </c>
      <c r="V59" s="336" t="e">
        <f ca="1">IF($R59=0,ROUND(SUM($N59:$R59)*(VLOOKUP($L59,$L$9:$X$24,V$6,FALSE)),2),ROUND(SUM($R59:$R59)*(VLOOKUP($L59,$L$9:$X$24,V$6,FALSE)),2))</f>
        <v>#REF!</v>
      </c>
      <c r="W59" s="336" t="e">
        <f ca="1">SUM(N59:V59)</f>
        <v>#REF!</v>
      </c>
      <c r="X59" s="336" t="e">
        <f ca="1">ROUND(W59*(VLOOKUP($L59,$L$9:$X$24,X$6,FALSE)),2)</f>
        <v>#REF!</v>
      </c>
      <c r="Y59" s="336" t="e">
        <f ca="1">SUM(W59:X59)</f>
        <v>#REF!</v>
      </c>
      <c r="Z59" s="214">
        <v>1</v>
      </c>
      <c r="AA59" s="336" t="e">
        <f ca="1">$Y59*$Z59</f>
        <v>#REF!</v>
      </c>
      <c r="AB59" s="250"/>
      <c r="AC59" s="337"/>
      <c r="AD59" s="337"/>
      <c r="AE59" s="323" t="e">
        <f ca="1">W59*Z59</f>
        <v>#REF!</v>
      </c>
      <c r="AF59" s="323" t="e">
        <f ca="1">Y59*Z59</f>
        <v>#REF!</v>
      </c>
      <c r="AG59" s="323" t="e">
        <f ca="1">AF59-AE59</f>
        <v>#REF!</v>
      </c>
      <c r="AH59" s="20" t="e">
        <f ca="1">IF(AG59=0,0,ROUND(AG59/AE59,2))</f>
        <v>#REF!</v>
      </c>
      <c r="AI59" s="337"/>
      <c r="AJ59" s="337"/>
      <c r="AK59" s="337"/>
      <c r="AL59" s="337"/>
      <c r="AM59" s="337"/>
      <c r="AN59" s="323"/>
      <c r="AO59" s="337"/>
      <c r="AP59" s="323"/>
      <c r="AQ59" s="60"/>
      <c r="AR59" s="324"/>
      <c r="AS59" s="325"/>
      <c r="AV59" s="251" t="e">
        <f ca="1">IF((OR((Y59=""),(Y59&gt;0))),"1","0")</f>
        <v>#REF!</v>
      </c>
      <c r="AW59" s="251" t="e">
        <f ca="1">IF((OR((AA59=""),(AA59&gt;0))),"1","0")</f>
        <v>#REF!</v>
      </c>
    </row>
    <row r="60" spans="1:49">
      <c r="A60" s="918"/>
      <c r="B60" s="57"/>
      <c r="E60" s="832"/>
      <c r="F60" s="8"/>
      <c r="G60" s="8"/>
      <c r="H60" s="8"/>
      <c r="I60" s="8"/>
      <c r="J60" s="8"/>
      <c r="K60" s="8"/>
      <c r="L60" s="363"/>
      <c r="M60" s="336"/>
      <c r="N60" s="336"/>
      <c r="O60" s="336"/>
      <c r="P60" s="336"/>
      <c r="Q60" s="336"/>
      <c r="R60" s="336"/>
      <c r="S60" s="336"/>
      <c r="T60" s="336"/>
      <c r="U60" s="336"/>
      <c r="V60" s="336"/>
      <c r="W60" s="336"/>
      <c r="X60" s="336"/>
      <c r="Y60" s="336" t="s">
        <v>942</v>
      </c>
      <c r="Z60" s="214"/>
      <c r="AA60" s="336" t="e">
        <f ca="1">SUBTOTAL(9,AA57:AA59)</f>
        <v>#REF!</v>
      </c>
      <c r="AB60" s="250"/>
      <c r="AC60" s="337"/>
      <c r="AD60" s="337"/>
      <c r="AE60" s="323"/>
      <c r="AF60" s="323"/>
      <c r="AG60" s="323"/>
      <c r="AH60" s="20"/>
      <c r="AI60" s="337"/>
      <c r="AJ60" s="337"/>
      <c r="AK60" s="337"/>
      <c r="AL60" s="337"/>
      <c r="AM60" s="337"/>
      <c r="AN60" s="323"/>
      <c r="AO60" s="337"/>
      <c r="AP60" s="323"/>
      <c r="AQ60" s="60"/>
      <c r="AR60" s="324"/>
      <c r="AS60" s="325"/>
    </row>
    <row r="61" spans="1:49" ht="15.75">
      <c r="E61" s="1059" t="s">
        <v>941</v>
      </c>
      <c r="F61" s="1060"/>
      <c r="G61" s="1060"/>
      <c r="H61" s="1061"/>
      <c r="I61" s="1060"/>
      <c r="J61" s="1062"/>
      <c r="K61" s="1062"/>
      <c r="L61" s="1060"/>
      <c r="M61" s="1063"/>
      <c r="N61" s="1063"/>
      <c r="O61" s="1063"/>
      <c r="P61" s="1063"/>
      <c r="Q61" s="1063"/>
      <c r="R61" s="1063"/>
      <c r="S61" s="1063"/>
      <c r="T61" s="1063"/>
      <c r="U61" s="1063"/>
      <c r="V61" s="1063"/>
      <c r="W61" s="1063"/>
      <c r="X61" s="1063"/>
      <c r="Y61" s="1063"/>
      <c r="Z61" s="1063"/>
      <c r="AA61" s="1063"/>
      <c r="AB61" s="1064"/>
      <c r="AC61" s="337"/>
      <c r="AD61" s="337"/>
      <c r="AE61" s="323"/>
      <c r="AF61" s="323"/>
      <c r="AG61" s="323"/>
      <c r="AH61" s="20"/>
      <c r="AI61" s="337"/>
      <c r="AJ61" s="337"/>
      <c r="AK61" s="337"/>
      <c r="AL61" s="337"/>
      <c r="AM61" s="337"/>
      <c r="AN61" s="323"/>
      <c r="AO61" s="337"/>
      <c r="AP61" s="323"/>
      <c r="AQ61" s="60"/>
      <c r="AR61" s="324"/>
      <c r="AS61" s="325"/>
    </row>
    <row r="62" spans="1:49">
      <c r="E62" s="832" t="s">
        <v>912</v>
      </c>
      <c r="F62" s="8"/>
      <c r="G62" s="8"/>
      <c r="H62" s="8"/>
      <c r="I62" s="8"/>
      <c r="J62" s="8"/>
      <c r="K62" s="8"/>
      <c r="L62" s="363" t="s">
        <v>617</v>
      </c>
      <c r="M62" s="336">
        <f>'[6]Service Quote'!$E$23</f>
        <v>499.95</v>
      </c>
      <c r="N62" s="336">
        <f ca="1">ROUND($M62*(VLOOKUP($L62,$L$9:$X$24,N$6,FALSE)),2)</f>
        <v>499.95</v>
      </c>
      <c r="O62" s="336">
        <f t="shared" ref="O62:Q64" ca="1" si="34">ROUND($N62*(VLOOKUP($L62,$L$9:$X$24,O$6,FALSE)),2)</f>
        <v>0</v>
      </c>
      <c r="P62" s="336">
        <f t="shared" ca="1" si="34"/>
        <v>0</v>
      </c>
      <c r="Q62" s="336">
        <f t="shared" ca="1" si="34"/>
        <v>0</v>
      </c>
      <c r="R62" s="336">
        <f ca="1">ROUND(($N62+$Q62)*(VLOOKUP($L62,$L$9:$X$24,R$6,FALSE)),2)</f>
        <v>0</v>
      </c>
      <c r="S62" s="336">
        <f t="shared" ref="S62:U64" ca="1" si="35">ROUND($N62*(VLOOKUP($L62,$L$9:$X$24,S$6,FALSE)),2)</f>
        <v>0</v>
      </c>
      <c r="T62" s="336">
        <f t="shared" ca="1" si="35"/>
        <v>0</v>
      </c>
      <c r="U62" s="336">
        <f t="shared" ca="1" si="35"/>
        <v>0</v>
      </c>
      <c r="V62" s="336">
        <f ca="1">IF($R62=0,ROUND(SUM($N62:$R62)*(VLOOKUP($L62,$L$9:$X$24,V$6,FALSE)),2),ROUND(SUM($R62:$R62)*(VLOOKUP($L62,$L$9:$X$24,V$6,FALSE)),2))</f>
        <v>44.75</v>
      </c>
      <c r="W62" s="336">
        <f ca="1">SUM(N62:V62)</f>
        <v>544.70000000000005</v>
      </c>
      <c r="X62" s="336">
        <f ca="1">ROUND(W62*(VLOOKUP($L62,$L$9:$X$24,X$6,FALSE)),2)</f>
        <v>43.58</v>
      </c>
      <c r="Y62" s="336">
        <f ca="1">SUM(W62:X62)</f>
        <v>588.28000000000009</v>
      </c>
      <c r="Z62" s="214">
        <v>1</v>
      </c>
      <c r="AA62" s="336">
        <f ca="1">$Y62*$Z62</f>
        <v>588.28000000000009</v>
      </c>
      <c r="AB62" s="250"/>
      <c r="AC62" s="337"/>
      <c r="AD62" s="337"/>
      <c r="AE62" s="323">
        <f ca="1">W62*Z62</f>
        <v>544.70000000000005</v>
      </c>
      <c r="AF62" s="323">
        <f ca="1">Y62*Z62</f>
        <v>588.28000000000009</v>
      </c>
      <c r="AG62" s="323">
        <f ca="1">AF62-AE62</f>
        <v>43.580000000000041</v>
      </c>
      <c r="AH62" s="20">
        <f ca="1">IF(AG62=0,0,ROUND(AG62/AE62,2))</f>
        <v>0.08</v>
      </c>
      <c r="AI62" s="337"/>
      <c r="AJ62" s="337"/>
      <c r="AK62" s="337"/>
      <c r="AL62" s="337"/>
      <c r="AM62" s="337"/>
      <c r="AN62" s="323"/>
      <c r="AO62" s="337"/>
      <c r="AP62" s="323"/>
      <c r="AQ62" s="60"/>
      <c r="AR62" s="324"/>
      <c r="AS62" s="325"/>
      <c r="AV62" s="251" t="str">
        <f ca="1">IF((OR((Y62=""),(Y62&gt;0))),"1","0")</f>
        <v>1</v>
      </c>
      <c r="AW62" s="251" t="str">
        <f ca="1">IF((OR((AA62=""),(AA62&gt;0))),"1","0")</f>
        <v>1</v>
      </c>
    </row>
    <row r="63" spans="1:49">
      <c r="E63" s="832" t="s">
        <v>913</v>
      </c>
      <c r="F63" s="8"/>
      <c r="G63" s="8"/>
      <c r="H63" s="8"/>
      <c r="I63" s="8"/>
      <c r="J63" s="8"/>
      <c r="K63" s="8"/>
      <c r="L63" s="363" t="s">
        <v>617</v>
      </c>
      <c r="M63" s="336">
        <f>'[6]Service Quote'!$E$26</f>
        <v>359</v>
      </c>
      <c r="N63" s="336">
        <f ca="1">ROUND($M63*(VLOOKUP($L63,$L$9:$X$24,N$6,FALSE)),2)</f>
        <v>359</v>
      </c>
      <c r="O63" s="336">
        <f t="shared" ca="1" si="34"/>
        <v>0</v>
      </c>
      <c r="P63" s="336">
        <f t="shared" ca="1" si="34"/>
        <v>0</v>
      </c>
      <c r="Q63" s="336">
        <f t="shared" ca="1" si="34"/>
        <v>0</v>
      </c>
      <c r="R63" s="336">
        <f ca="1">ROUND(($N63+$Q63)*(VLOOKUP($L63,$L$9:$X$24,R$6,FALSE)),2)</f>
        <v>0</v>
      </c>
      <c r="S63" s="336">
        <f t="shared" ca="1" si="35"/>
        <v>0</v>
      </c>
      <c r="T63" s="336">
        <f t="shared" ca="1" si="35"/>
        <v>0</v>
      </c>
      <c r="U63" s="336">
        <f t="shared" ca="1" si="35"/>
        <v>0</v>
      </c>
      <c r="V63" s="336">
        <f ca="1">IF($R63=0,ROUND(SUM($N63:$R63)*(VLOOKUP($L63,$L$9:$X$24,V$6,FALSE)),2),ROUND(SUM($R63:$R63)*(VLOOKUP($L63,$L$9:$X$24,V$6,FALSE)),2))</f>
        <v>32.130000000000003</v>
      </c>
      <c r="W63" s="336">
        <f ca="1">SUM(N63:V63)</f>
        <v>391.13</v>
      </c>
      <c r="X63" s="336">
        <f ca="1">ROUND(W63*(VLOOKUP($L63,$L$9:$X$24,X$6,FALSE)),2)</f>
        <v>31.29</v>
      </c>
      <c r="Y63" s="336">
        <f ca="1">SUM(W63:X63)</f>
        <v>422.42</v>
      </c>
      <c r="Z63" s="214">
        <v>1</v>
      </c>
      <c r="AA63" s="336">
        <f ca="1">$Y63*$Z63</f>
        <v>422.42</v>
      </c>
      <c r="AB63" s="250"/>
      <c r="AC63" s="337"/>
      <c r="AD63" s="337"/>
      <c r="AE63" s="323">
        <f ca="1">W63*Z63</f>
        <v>391.13</v>
      </c>
      <c r="AF63" s="323">
        <f ca="1">Y63*Z63</f>
        <v>422.42</v>
      </c>
      <c r="AG63" s="323">
        <f ca="1">AF63-AE63</f>
        <v>31.29000000000002</v>
      </c>
      <c r="AH63" s="20">
        <f ca="1">IF(AG63=0,0,ROUND(AG63/AE63,2))</f>
        <v>0.08</v>
      </c>
      <c r="AI63" s="337"/>
      <c r="AJ63" s="337"/>
      <c r="AK63" s="337"/>
      <c r="AL63" s="337"/>
      <c r="AM63" s="337"/>
      <c r="AN63" s="323"/>
      <c r="AO63" s="337"/>
      <c r="AP63" s="323"/>
      <c r="AQ63" s="60"/>
      <c r="AR63" s="324"/>
      <c r="AS63" s="325"/>
      <c r="AV63" s="251" t="str">
        <f ca="1">IF((OR((Y63=""),(Y63&gt;0))),"1","0")</f>
        <v>1</v>
      </c>
      <c r="AW63" s="251" t="str">
        <f ca="1">IF((OR((AA63=""),(AA63&gt;0))),"1","0")</f>
        <v>1</v>
      </c>
    </row>
    <row r="64" spans="1:49">
      <c r="E64" s="832" t="s">
        <v>914</v>
      </c>
      <c r="F64" s="8"/>
      <c r="G64" s="8"/>
      <c r="H64" s="8"/>
      <c r="I64" s="8"/>
      <c r="J64" s="8"/>
      <c r="K64" s="8"/>
      <c r="L64" s="363" t="s">
        <v>617</v>
      </c>
      <c r="M64" s="336">
        <f>'[6]Service Quote'!$E$29</f>
        <v>199.95</v>
      </c>
      <c r="N64" s="336">
        <f ca="1">ROUND($M64*(VLOOKUP($L64,$L$9:$X$24,N$6,FALSE)),2)</f>
        <v>199.95</v>
      </c>
      <c r="O64" s="336">
        <f t="shared" ca="1" si="34"/>
        <v>0</v>
      </c>
      <c r="P64" s="336">
        <f t="shared" ca="1" si="34"/>
        <v>0</v>
      </c>
      <c r="Q64" s="336">
        <f t="shared" ca="1" si="34"/>
        <v>0</v>
      </c>
      <c r="R64" s="336">
        <f ca="1">ROUND(($N64+$Q64)*(VLOOKUP($L64,$L$9:$X$24,R$6,FALSE)),2)</f>
        <v>0</v>
      </c>
      <c r="S64" s="336">
        <f t="shared" ca="1" si="35"/>
        <v>0</v>
      </c>
      <c r="T64" s="336">
        <f t="shared" ca="1" si="35"/>
        <v>0</v>
      </c>
      <c r="U64" s="336">
        <f t="shared" ca="1" si="35"/>
        <v>0</v>
      </c>
      <c r="V64" s="336">
        <f ca="1">IF($R64=0,ROUND(SUM($N64:$R64)*(VLOOKUP($L64,$L$9:$X$24,V$6,FALSE)),2),ROUND(SUM($R64:$R64)*(VLOOKUP($L64,$L$9:$X$24,V$6,FALSE)),2))</f>
        <v>17.899999999999999</v>
      </c>
      <c r="W64" s="336">
        <f ca="1">SUM(N64:V64)</f>
        <v>217.85</v>
      </c>
      <c r="X64" s="336">
        <f ca="1">ROUND(W64*(VLOOKUP($L64,$L$9:$X$24,X$6,FALSE)),2)</f>
        <v>17.43</v>
      </c>
      <c r="Y64" s="336">
        <f ca="1">SUM(W64:X64)</f>
        <v>235.28</v>
      </c>
      <c r="Z64" s="214">
        <v>1</v>
      </c>
      <c r="AA64" s="336">
        <f ca="1">$Y64*$Z64</f>
        <v>235.28</v>
      </c>
      <c r="AB64" s="250"/>
      <c r="AC64" s="337"/>
      <c r="AD64" s="337"/>
      <c r="AE64" s="323">
        <f ca="1">W64*Z64</f>
        <v>217.85</v>
      </c>
      <c r="AF64" s="323">
        <f ca="1">Y64*Z64</f>
        <v>235.28</v>
      </c>
      <c r="AG64" s="323">
        <f ca="1">AF64-AE64</f>
        <v>17.430000000000007</v>
      </c>
      <c r="AH64" s="20">
        <f ca="1">IF(AG64=0,0,ROUND(AG64/AE64,2))</f>
        <v>0.08</v>
      </c>
      <c r="AI64" s="337"/>
      <c r="AJ64" s="337"/>
      <c r="AK64" s="337"/>
      <c r="AL64" s="337"/>
      <c r="AM64" s="337"/>
      <c r="AN64" s="323"/>
      <c r="AO64" s="337"/>
      <c r="AP64" s="323"/>
      <c r="AQ64" s="60"/>
      <c r="AR64" s="324"/>
      <c r="AS64" s="325"/>
    </row>
    <row r="65" spans="5:49">
      <c r="E65" s="832"/>
      <c r="F65" s="8"/>
      <c r="G65" s="8"/>
      <c r="H65" s="8"/>
      <c r="I65" s="8"/>
      <c r="J65" s="8"/>
      <c r="K65" s="8"/>
      <c r="L65" s="363"/>
      <c r="M65" s="336"/>
      <c r="N65" s="336"/>
      <c r="O65" s="336"/>
      <c r="P65" s="336"/>
      <c r="Q65" s="336"/>
      <c r="R65" s="336"/>
      <c r="S65" s="336"/>
      <c r="T65" s="336"/>
      <c r="U65" s="336"/>
      <c r="V65" s="336"/>
      <c r="W65" s="336"/>
      <c r="X65" s="336"/>
      <c r="Y65" s="336" t="s">
        <v>942</v>
      </c>
      <c r="Z65" s="214"/>
      <c r="AA65" s="336">
        <f ca="1">SUBTOTAL(9,AA62:AA64)</f>
        <v>1245.98</v>
      </c>
      <c r="AB65" s="250"/>
      <c r="AC65" s="337"/>
      <c r="AD65" s="337"/>
      <c r="AE65" s="323"/>
      <c r="AF65" s="323"/>
      <c r="AG65" s="323"/>
      <c r="AH65" s="20"/>
      <c r="AI65" s="337"/>
      <c r="AJ65" s="337"/>
      <c r="AK65" s="337"/>
      <c r="AL65" s="337"/>
      <c r="AM65" s="337"/>
      <c r="AN65" s="323"/>
      <c r="AO65" s="337"/>
      <c r="AP65" s="323"/>
      <c r="AQ65" s="60"/>
      <c r="AR65" s="324"/>
      <c r="AS65" s="325"/>
    </row>
    <row r="66" spans="5:49">
      <c r="E66" s="338"/>
      <c r="F66" s="327"/>
      <c r="G66" s="327"/>
      <c r="H66" s="327"/>
      <c r="I66" s="327"/>
      <c r="J66" s="327"/>
      <c r="K66" s="327"/>
      <c r="L66" s="327"/>
      <c r="M66" s="339"/>
      <c r="N66" s="339"/>
      <c r="O66" s="339"/>
      <c r="P66" s="339"/>
      <c r="Q66" s="339"/>
      <c r="R66" s="339"/>
      <c r="S66" s="339"/>
      <c r="T66" s="339"/>
      <c r="U66" s="339"/>
      <c r="V66" s="339"/>
      <c r="W66" s="339"/>
      <c r="X66" s="339"/>
      <c r="Y66" s="339"/>
      <c r="Z66" s="331"/>
      <c r="AA66" s="339"/>
      <c r="AB66" s="1037"/>
      <c r="AC66" s="339"/>
      <c r="AD66" s="339"/>
      <c r="AE66" s="339"/>
      <c r="AF66" s="339"/>
      <c r="AG66" s="339"/>
      <c r="AH66" s="339"/>
      <c r="AI66" s="339"/>
      <c r="AJ66" s="339"/>
      <c r="AK66" s="339"/>
      <c r="AL66" s="339"/>
      <c r="AM66" s="339"/>
      <c r="AN66" s="332"/>
      <c r="AO66" s="339"/>
      <c r="AP66" s="332"/>
      <c r="AQ66" s="332"/>
      <c r="AR66" s="333"/>
      <c r="AS66" s="325"/>
      <c r="AV66" s="251" t="str">
        <f t="shared" si="27"/>
        <v>1</v>
      </c>
      <c r="AW66" s="251" t="str">
        <f t="shared" si="28"/>
        <v>1</v>
      </c>
    </row>
    <row r="67" spans="5:49">
      <c r="E67" s="248"/>
      <c r="F67" s="8"/>
      <c r="G67" s="8"/>
      <c r="H67" s="8"/>
      <c r="I67" s="8"/>
      <c r="J67" s="8"/>
      <c r="K67" s="8"/>
      <c r="L67" s="8"/>
      <c r="M67" s="8"/>
      <c r="N67" s="8"/>
      <c r="O67" s="8"/>
      <c r="P67" s="8"/>
      <c r="Q67" s="8"/>
      <c r="R67" s="8"/>
      <c r="S67" s="8"/>
      <c r="T67" s="8"/>
      <c r="U67" s="8"/>
      <c r="V67" s="8"/>
      <c r="W67" s="8"/>
      <c r="X67" s="8"/>
      <c r="Y67" s="8"/>
      <c r="Z67" s="8"/>
      <c r="AA67" s="336"/>
      <c r="AB67" s="250"/>
      <c r="AV67" s="251" t="str">
        <f t="shared" si="27"/>
        <v>1</v>
      </c>
      <c r="AW67" s="251" t="str">
        <f t="shared" si="28"/>
        <v>1</v>
      </c>
    </row>
    <row r="68" spans="5:49">
      <c r="E68" s="248"/>
      <c r="F68" s="8"/>
      <c r="G68" s="8"/>
      <c r="H68" s="8"/>
      <c r="I68" s="8"/>
      <c r="J68" s="8"/>
      <c r="K68" s="8"/>
      <c r="L68" s="8"/>
      <c r="M68" s="8"/>
      <c r="N68" s="8"/>
      <c r="O68" s="8"/>
      <c r="P68" s="8"/>
      <c r="Q68" s="8"/>
      <c r="R68" s="8"/>
      <c r="S68" s="8"/>
      <c r="T68" s="8"/>
      <c r="U68" s="8"/>
      <c r="V68" s="8"/>
      <c r="W68" s="8"/>
      <c r="X68" s="8"/>
      <c r="Y68" s="313" t="s">
        <v>648</v>
      </c>
      <c r="Z68" s="322"/>
      <c r="AA68" s="1029" t="e">
        <f ca="1">SUBTOTAL(9,AA$51:AA$67)</f>
        <v>#REF!</v>
      </c>
      <c r="AB68" s="250"/>
      <c r="AC68" s="337"/>
      <c r="AD68" s="337"/>
      <c r="AE68" s="337" t="e">
        <f ca="1">SUM(AE32:AE64)</f>
        <v>#REF!</v>
      </c>
      <c r="AF68" s="337" t="e">
        <f ca="1">SUM(AF32:AF64)</f>
        <v>#REF!</v>
      </c>
      <c r="AG68" s="337" t="e">
        <f ca="1">SUM(AG32:AG64)</f>
        <v>#REF!</v>
      </c>
      <c r="AH68" s="20" t="e">
        <f ca="1">IF(AG68=0,0,ROUND(AG68/AE68,2))</f>
        <v>#REF!</v>
      </c>
      <c r="AI68" s="337"/>
      <c r="AJ68" s="337"/>
      <c r="AK68" s="337"/>
      <c r="AL68" s="337"/>
      <c r="AM68" s="337"/>
      <c r="AN68" s="337"/>
      <c r="AO68" s="337"/>
      <c r="AP68" s="337"/>
      <c r="AQ68" s="336"/>
      <c r="AR68" s="324"/>
      <c r="AS68" s="325"/>
      <c r="AV68" s="251" t="str">
        <f t="shared" si="27"/>
        <v>1</v>
      </c>
      <c r="AW68" s="251" t="e">
        <f t="shared" ca="1" si="28"/>
        <v>#REF!</v>
      </c>
    </row>
    <row r="69" spans="5:49">
      <c r="E69" s="248"/>
      <c r="F69" s="8"/>
      <c r="G69" s="8"/>
      <c r="H69" s="8"/>
      <c r="I69" s="8"/>
      <c r="J69" s="8"/>
      <c r="K69" s="8"/>
      <c r="L69" s="8"/>
      <c r="M69" s="8"/>
      <c r="N69" s="8"/>
      <c r="O69" s="8"/>
      <c r="P69" s="8"/>
      <c r="Q69" s="8"/>
      <c r="R69" s="8"/>
      <c r="S69" s="8"/>
      <c r="T69" s="8"/>
      <c r="U69" s="8"/>
      <c r="V69" s="8"/>
      <c r="W69" s="8"/>
      <c r="X69" s="8"/>
      <c r="Y69" s="8"/>
      <c r="Z69" s="8"/>
      <c r="AA69" s="8"/>
      <c r="AB69" s="250"/>
      <c r="AN69" s="13"/>
      <c r="AO69" s="335"/>
      <c r="AV69" s="251" t="str">
        <f t="shared" si="27"/>
        <v>1</v>
      </c>
      <c r="AW69" s="251" t="str">
        <f t="shared" si="28"/>
        <v>1</v>
      </c>
    </row>
    <row r="70" spans="5:49">
      <c r="E70" s="340"/>
      <c r="F70" s="307"/>
      <c r="G70" s="307"/>
      <c r="H70" s="307"/>
      <c r="I70" s="307"/>
      <c r="J70" s="307"/>
      <c r="K70" s="307"/>
      <c r="L70" s="307"/>
      <c r="M70" s="307"/>
      <c r="N70" s="307"/>
      <c r="O70" s="307"/>
      <c r="P70" s="307"/>
      <c r="Q70" s="307"/>
      <c r="R70" s="307"/>
      <c r="S70" s="307"/>
      <c r="T70" s="307"/>
      <c r="U70" s="307"/>
      <c r="V70" s="307"/>
      <c r="W70" s="307"/>
      <c r="X70" s="307"/>
      <c r="Y70" s="307"/>
      <c r="Z70" s="307"/>
      <c r="AA70" s="307"/>
      <c r="AB70" s="341"/>
      <c r="AC70" s="307"/>
      <c r="AD70" s="307"/>
      <c r="AE70" s="307"/>
      <c r="AF70" s="307"/>
      <c r="AG70" s="307"/>
      <c r="AH70" s="307"/>
      <c r="AI70" s="307"/>
      <c r="AJ70" s="307"/>
      <c r="AK70" s="307"/>
      <c r="AL70" s="307"/>
      <c r="AM70" s="307"/>
      <c r="AN70" s="307"/>
      <c r="AO70" s="307"/>
      <c r="AP70" s="307"/>
      <c r="AR70" s="307"/>
      <c r="AV70" s="251" t="str">
        <f t="shared" si="27"/>
        <v>1</v>
      </c>
      <c r="AW70" s="251" t="str">
        <f t="shared" si="28"/>
        <v>1</v>
      </c>
    </row>
    <row r="71" spans="5:49" ht="13.5" thickBot="1">
      <c r="E71" s="252"/>
      <c r="F71" s="254"/>
      <c r="G71" s="254"/>
      <c r="H71" s="254"/>
      <c r="I71" s="254"/>
      <c r="J71" s="254"/>
      <c r="K71" s="254"/>
      <c r="L71" s="254"/>
      <c r="M71" s="254"/>
      <c r="N71" s="254"/>
      <c r="O71" s="254"/>
      <c r="P71" s="254"/>
      <c r="Q71" s="254"/>
      <c r="R71" s="254"/>
      <c r="S71" s="254"/>
      <c r="T71" s="254"/>
      <c r="U71" s="254"/>
      <c r="V71" s="254"/>
      <c r="W71" s="254"/>
      <c r="X71" s="254"/>
      <c r="Y71" s="342" t="s">
        <v>649</v>
      </c>
      <c r="Z71" s="343">
        <f>Z49</f>
        <v>30600</v>
      </c>
      <c r="AA71" s="1030" t="e">
        <f ca="1">SUBTOTAL(9,AA$31:AA$70)</f>
        <v>#REF!</v>
      </c>
      <c r="AB71" s="258"/>
      <c r="AC71" s="323"/>
      <c r="AD71" s="323"/>
      <c r="AE71" s="323"/>
      <c r="AF71" s="323"/>
      <c r="AG71" s="323"/>
      <c r="AH71" s="323"/>
      <c r="AI71" s="323"/>
      <c r="AJ71" s="323"/>
      <c r="AK71" s="323"/>
      <c r="AL71" s="323"/>
      <c r="AM71" s="323"/>
      <c r="AN71" s="323"/>
      <c r="AO71" s="323"/>
      <c r="AP71" s="323"/>
      <c r="AQ71" s="60"/>
      <c r="AR71" s="324"/>
      <c r="AS71" s="325"/>
      <c r="AV71" s="251" t="str">
        <f t="shared" si="27"/>
        <v>1</v>
      </c>
      <c r="AW71" s="251" t="e">
        <f t="shared" ca="1" si="28"/>
        <v>#REF!</v>
      </c>
    </row>
    <row r="72" spans="5:49">
      <c r="AN72" s="344"/>
      <c r="AO72" s="345"/>
      <c r="AV72" s="251" t="str">
        <f t="shared" si="27"/>
        <v>1</v>
      </c>
      <c r="AW72" s="251" t="str">
        <f t="shared" si="28"/>
        <v>1</v>
      </c>
    </row>
    <row r="73" spans="5:49">
      <c r="AV73" s="251" t="str">
        <f t="shared" si="27"/>
        <v>1</v>
      </c>
      <c r="AW73" s="251" t="str">
        <f t="shared" si="28"/>
        <v>1</v>
      </c>
    </row>
    <row r="74" spans="5:49">
      <c r="O74" s="346"/>
      <c r="P74" s="346"/>
      <c r="R74" s="280" t="s">
        <v>633</v>
      </c>
      <c r="S74" s="346"/>
      <c r="T74" s="346"/>
      <c r="U74" s="346"/>
      <c r="V74" s="282" t="s">
        <v>61</v>
      </c>
      <c r="W74" s="281" t="s">
        <v>60</v>
      </c>
      <c r="X74" s="282" t="s">
        <v>63</v>
      </c>
      <c r="Y74" s="281" t="s">
        <v>59</v>
      </c>
      <c r="Z74" s="282" t="s">
        <v>602</v>
      </c>
      <c r="AA74" s="281" t="s">
        <v>638</v>
      </c>
      <c r="AV74" s="251" t="str">
        <f t="shared" si="27"/>
        <v>1</v>
      </c>
      <c r="AW74" s="251" t="str">
        <f t="shared" si="28"/>
        <v>1</v>
      </c>
    </row>
    <row r="75" spans="5:49">
      <c r="O75" s="8"/>
      <c r="P75" s="8"/>
      <c r="R75" s="347" t="s">
        <v>643</v>
      </c>
      <c r="S75" s="8"/>
      <c r="T75" s="8"/>
      <c r="U75" s="8"/>
      <c r="V75" s="348">
        <f>IF(Z75=0,0,(Z75/Z$96))</f>
        <v>0.73333333333333328</v>
      </c>
      <c r="W75" s="349">
        <f ca="1">IF(AA75=0,0,(AA75/AA$96))</f>
        <v>0.74921976161227133</v>
      </c>
      <c r="X75" s="350" t="s">
        <v>62</v>
      </c>
      <c r="Y75" s="269" t="s">
        <v>62</v>
      </c>
      <c r="Z75" s="351">
        <f t="shared" ref="Z75:AA95" si="36">SUMIF($G$31:$G$50,$R75,Z$31:Z$69)</f>
        <v>22440</v>
      </c>
      <c r="AA75" s="352">
        <f t="shared" ca="1" si="36"/>
        <v>1841365.2</v>
      </c>
      <c r="AB75" s="6" t="str">
        <f t="shared" ref="AB75:AB95" si="37">R75</f>
        <v>ManTech</v>
      </c>
      <c r="AC75" s="60"/>
      <c r="AD75" s="60"/>
      <c r="AE75" s="60"/>
      <c r="AF75" s="60"/>
      <c r="AG75" s="60"/>
      <c r="AH75" s="60"/>
      <c r="AI75" s="60"/>
      <c r="AJ75" s="60"/>
      <c r="AK75" s="60"/>
      <c r="AL75" s="60"/>
      <c r="AM75" s="60"/>
      <c r="AN75" s="60"/>
      <c r="AO75" s="60"/>
      <c r="AP75" s="60"/>
      <c r="AQ75" s="60"/>
      <c r="AR75" s="324"/>
      <c r="AS75" s="325"/>
      <c r="AV75" s="251" t="str">
        <f t="shared" si="27"/>
        <v>1</v>
      </c>
      <c r="AW75" s="251" t="str">
        <f t="shared" ca="1" si="28"/>
        <v>1</v>
      </c>
    </row>
    <row r="76" spans="5:49">
      <c r="M76" s="11"/>
      <c r="O76" s="8"/>
      <c r="P76" s="8"/>
      <c r="R76" s="347" t="str">
        <f>InputSheet!C149</f>
        <v>Segovia, Inc.</v>
      </c>
      <c r="S76" s="8"/>
      <c r="T76" s="8"/>
      <c r="U76" s="8"/>
      <c r="V76" s="348">
        <f t="shared" ref="V76:W95" si="38">IF(Z76=0,0,(Z76/Z$96))</f>
        <v>0.26666666666666666</v>
      </c>
      <c r="W76" s="349">
        <f t="shared" ca="1" si="38"/>
        <v>0.25078023838772867</v>
      </c>
      <c r="X76" s="348">
        <f>IF(Z76=0,0,(Z76/(Z$96-Z$75)))</f>
        <v>1</v>
      </c>
      <c r="Y76" s="353">
        <f ca="1">IF(AA76=0,0,(AA76/(AA$96-AA$75)))</f>
        <v>1</v>
      </c>
      <c r="Z76" s="351">
        <f t="shared" si="36"/>
        <v>8160</v>
      </c>
      <c r="AA76" s="352">
        <f t="shared" ca="1" si="36"/>
        <v>616345.19999999995</v>
      </c>
      <c r="AB76" s="6" t="str">
        <f t="shared" si="37"/>
        <v>Segovia, Inc.</v>
      </c>
      <c r="AC76" s="60"/>
      <c r="AD76" s="60"/>
      <c r="AE76" s="60"/>
      <c r="AF76" s="60"/>
      <c r="AG76" s="60"/>
      <c r="AH76" s="60"/>
      <c r="AI76" s="60"/>
      <c r="AJ76" s="60"/>
      <c r="AK76" s="60"/>
      <c r="AL76" s="60"/>
      <c r="AM76" s="60"/>
      <c r="AN76" s="60"/>
      <c r="AO76" s="60"/>
      <c r="AP76" s="60"/>
      <c r="AQ76" s="60"/>
      <c r="AR76" s="324"/>
      <c r="AS76" s="325"/>
      <c r="AV76" s="251" t="str">
        <f t="shared" ca="1" si="27"/>
        <v>1</v>
      </c>
      <c r="AW76" s="251" t="str">
        <f t="shared" ca="1" si="28"/>
        <v>1</v>
      </c>
    </row>
    <row r="77" spans="5:49">
      <c r="M77" s="11"/>
      <c r="O77" s="8"/>
      <c r="P77" s="8"/>
      <c r="R77" s="347" t="str">
        <f>InputSheet!C150</f>
        <v>Briggs and Sons</v>
      </c>
      <c r="S77" s="8"/>
      <c r="T77" s="8"/>
      <c r="U77" s="8"/>
      <c r="V77" s="348">
        <f t="shared" si="38"/>
        <v>0</v>
      </c>
      <c r="W77" s="349">
        <f t="shared" si="38"/>
        <v>0</v>
      </c>
      <c r="X77" s="348">
        <f t="shared" ref="X77:Y95" si="39">IF(Z77=0,0,(Z77/(Z$96-Z$75)))</f>
        <v>0</v>
      </c>
      <c r="Y77" s="353">
        <f t="shared" si="39"/>
        <v>0</v>
      </c>
      <c r="Z77" s="351">
        <f t="shared" si="36"/>
        <v>0</v>
      </c>
      <c r="AA77" s="352">
        <f t="shared" si="36"/>
        <v>0</v>
      </c>
      <c r="AB77" s="6" t="str">
        <f t="shared" si="37"/>
        <v>Briggs and Sons</v>
      </c>
      <c r="AC77" s="60"/>
      <c r="AD77" s="60"/>
      <c r="AE77" s="60"/>
      <c r="AF77" s="60"/>
      <c r="AG77" s="60"/>
      <c r="AH77" s="60"/>
      <c r="AI77" s="60"/>
      <c r="AJ77" s="60"/>
      <c r="AK77" s="60"/>
      <c r="AL77" s="60"/>
      <c r="AM77" s="60"/>
      <c r="AN77" s="60"/>
      <c r="AO77" s="60"/>
      <c r="AP77" s="60"/>
      <c r="AQ77" s="60"/>
      <c r="AR77" s="324"/>
      <c r="AS77" s="325"/>
      <c r="AV77" s="251" t="str">
        <f t="shared" si="27"/>
        <v>0</v>
      </c>
      <c r="AW77" s="251" t="str">
        <f t="shared" si="28"/>
        <v>0</v>
      </c>
    </row>
    <row r="78" spans="5:49">
      <c r="M78" s="11"/>
      <c r="O78" s="8"/>
      <c r="P78" s="8"/>
      <c r="R78" s="347" t="str">
        <f>InputSheet!C151</f>
        <v>Yvan</v>
      </c>
      <c r="S78" s="8"/>
      <c r="T78" s="8"/>
      <c r="U78" s="8"/>
      <c r="V78" s="348">
        <f t="shared" si="38"/>
        <v>0</v>
      </c>
      <c r="W78" s="349">
        <f t="shared" si="38"/>
        <v>0</v>
      </c>
      <c r="X78" s="348">
        <f t="shared" si="39"/>
        <v>0</v>
      </c>
      <c r="Y78" s="353">
        <f t="shared" si="39"/>
        <v>0</v>
      </c>
      <c r="Z78" s="351">
        <f t="shared" si="36"/>
        <v>0</v>
      </c>
      <c r="AA78" s="352">
        <f t="shared" si="36"/>
        <v>0</v>
      </c>
      <c r="AB78" s="6" t="str">
        <f t="shared" si="37"/>
        <v>Yvan</v>
      </c>
      <c r="AC78" s="60"/>
      <c r="AD78" s="60"/>
      <c r="AE78" s="60"/>
      <c r="AF78" s="60"/>
      <c r="AG78" s="60"/>
      <c r="AH78" s="60"/>
      <c r="AI78" s="60"/>
      <c r="AJ78" s="60"/>
      <c r="AK78" s="60"/>
      <c r="AL78" s="60"/>
      <c r="AM78" s="60"/>
      <c r="AN78" s="60"/>
      <c r="AO78" s="60"/>
      <c r="AP78" s="60"/>
      <c r="AQ78" s="60"/>
      <c r="AR78" s="324"/>
      <c r="AS78" s="325"/>
      <c r="AV78" s="251" t="str">
        <f t="shared" si="27"/>
        <v>0</v>
      </c>
      <c r="AW78" s="251" t="str">
        <f t="shared" si="28"/>
        <v>0</v>
      </c>
    </row>
    <row r="79" spans="5:49">
      <c r="O79" s="8"/>
      <c r="P79" s="8"/>
      <c r="R79" s="347" t="str">
        <f>InputSheet!C152</f>
        <v>Sub 4</v>
      </c>
      <c r="S79" s="8"/>
      <c r="T79" s="8"/>
      <c r="U79" s="8"/>
      <c r="V79" s="348">
        <f t="shared" si="38"/>
        <v>0</v>
      </c>
      <c r="W79" s="349">
        <f t="shared" si="38"/>
        <v>0</v>
      </c>
      <c r="X79" s="348">
        <f t="shared" si="39"/>
        <v>0</v>
      </c>
      <c r="Y79" s="353">
        <f t="shared" si="39"/>
        <v>0</v>
      </c>
      <c r="Z79" s="351">
        <f t="shared" si="36"/>
        <v>0</v>
      </c>
      <c r="AA79" s="352">
        <f t="shared" si="36"/>
        <v>0</v>
      </c>
      <c r="AB79" s="6" t="str">
        <f t="shared" si="37"/>
        <v>Sub 4</v>
      </c>
      <c r="AC79" s="60"/>
      <c r="AD79" s="60"/>
      <c r="AE79" s="60"/>
      <c r="AF79" s="60"/>
      <c r="AG79" s="60"/>
      <c r="AH79" s="60"/>
      <c r="AI79" s="60"/>
      <c r="AJ79" s="60"/>
      <c r="AK79" s="60"/>
      <c r="AL79" s="60"/>
      <c r="AM79" s="60"/>
      <c r="AN79" s="60"/>
      <c r="AO79" s="60"/>
      <c r="AP79" s="60"/>
      <c r="AQ79" s="60"/>
      <c r="AR79" s="324"/>
      <c r="AS79" s="325"/>
      <c r="AV79" s="251" t="str">
        <f t="shared" si="27"/>
        <v>0</v>
      </c>
      <c r="AW79" s="251" t="str">
        <f t="shared" si="28"/>
        <v>0</v>
      </c>
    </row>
    <row r="80" spans="5:49">
      <c r="O80" s="8"/>
      <c r="P80" s="8"/>
      <c r="R80" s="347" t="str">
        <f>InputSheet!C153</f>
        <v>Sub 5</v>
      </c>
      <c r="S80" s="8"/>
      <c r="T80" s="8"/>
      <c r="U80" s="8"/>
      <c r="V80" s="348">
        <f t="shared" si="38"/>
        <v>0</v>
      </c>
      <c r="W80" s="349">
        <f t="shared" si="38"/>
        <v>0</v>
      </c>
      <c r="X80" s="348">
        <f t="shared" si="39"/>
        <v>0</v>
      </c>
      <c r="Y80" s="353">
        <f t="shared" si="39"/>
        <v>0</v>
      </c>
      <c r="Z80" s="351">
        <f t="shared" si="36"/>
        <v>0</v>
      </c>
      <c r="AA80" s="352">
        <f t="shared" si="36"/>
        <v>0</v>
      </c>
      <c r="AB80" s="6" t="str">
        <f t="shared" si="37"/>
        <v>Sub 5</v>
      </c>
      <c r="AC80" s="60"/>
      <c r="AD80" s="60"/>
      <c r="AE80" s="60"/>
      <c r="AF80" s="60"/>
      <c r="AG80" s="60"/>
      <c r="AH80" s="60"/>
      <c r="AI80" s="60"/>
      <c r="AJ80" s="60"/>
      <c r="AK80" s="60"/>
      <c r="AL80" s="60"/>
      <c r="AM80" s="60"/>
      <c r="AN80" s="60"/>
      <c r="AO80" s="60"/>
      <c r="AP80" s="60"/>
      <c r="AQ80" s="60"/>
      <c r="AR80" s="324"/>
      <c r="AS80" s="325"/>
      <c r="AV80" s="251" t="str">
        <f t="shared" si="27"/>
        <v>0</v>
      </c>
      <c r="AW80" s="251" t="str">
        <f t="shared" si="28"/>
        <v>0</v>
      </c>
    </row>
    <row r="81" spans="15:49">
      <c r="O81" s="8"/>
      <c r="P81" s="8"/>
      <c r="R81" s="347" t="str">
        <f>InputSheet!C154</f>
        <v>Sub 6</v>
      </c>
      <c r="S81" s="8"/>
      <c r="T81" s="8"/>
      <c r="U81" s="8"/>
      <c r="V81" s="348">
        <f t="shared" si="38"/>
        <v>0</v>
      </c>
      <c r="W81" s="349">
        <f t="shared" si="38"/>
        <v>0</v>
      </c>
      <c r="X81" s="348">
        <f t="shared" si="39"/>
        <v>0</v>
      </c>
      <c r="Y81" s="353">
        <f t="shared" si="39"/>
        <v>0</v>
      </c>
      <c r="Z81" s="351">
        <f t="shared" si="36"/>
        <v>0</v>
      </c>
      <c r="AA81" s="352">
        <f t="shared" si="36"/>
        <v>0</v>
      </c>
      <c r="AB81" s="6" t="str">
        <f t="shared" si="37"/>
        <v>Sub 6</v>
      </c>
      <c r="AC81" s="60"/>
      <c r="AD81" s="60"/>
      <c r="AE81" s="60"/>
      <c r="AF81" s="60"/>
      <c r="AG81" s="60"/>
      <c r="AH81" s="60"/>
      <c r="AI81" s="60"/>
      <c r="AJ81" s="60"/>
      <c r="AK81" s="60"/>
      <c r="AL81" s="60"/>
      <c r="AM81" s="60"/>
      <c r="AN81" s="60"/>
      <c r="AO81" s="60"/>
      <c r="AP81" s="60"/>
      <c r="AQ81" s="60"/>
      <c r="AR81" s="324"/>
      <c r="AS81" s="325"/>
      <c r="AV81" s="251" t="str">
        <f t="shared" si="27"/>
        <v>0</v>
      </c>
      <c r="AW81" s="251" t="str">
        <f t="shared" si="28"/>
        <v>0</v>
      </c>
    </row>
    <row r="82" spans="15:49">
      <c r="O82" s="8"/>
      <c r="P82" s="8"/>
      <c r="R82" s="347" t="str">
        <f>InputSheet!C155</f>
        <v>Sub 7</v>
      </c>
      <c r="S82" s="8"/>
      <c r="T82" s="8"/>
      <c r="U82" s="8"/>
      <c r="V82" s="348">
        <f t="shared" si="38"/>
        <v>0</v>
      </c>
      <c r="W82" s="349">
        <f t="shared" si="38"/>
        <v>0</v>
      </c>
      <c r="X82" s="348">
        <f t="shared" si="39"/>
        <v>0</v>
      </c>
      <c r="Y82" s="353">
        <f t="shared" si="39"/>
        <v>0</v>
      </c>
      <c r="Z82" s="351">
        <f t="shared" si="36"/>
        <v>0</v>
      </c>
      <c r="AA82" s="352">
        <f t="shared" si="36"/>
        <v>0</v>
      </c>
      <c r="AB82" s="6" t="str">
        <f t="shared" si="37"/>
        <v>Sub 7</v>
      </c>
      <c r="AC82" s="60"/>
      <c r="AD82" s="60"/>
      <c r="AE82" s="60"/>
      <c r="AF82" s="60"/>
      <c r="AG82" s="60"/>
      <c r="AH82" s="60"/>
      <c r="AI82" s="60"/>
      <c r="AJ82" s="60"/>
      <c r="AK82" s="60"/>
      <c r="AL82" s="60"/>
      <c r="AM82" s="60"/>
      <c r="AN82" s="60"/>
      <c r="AO82" s="60"/>
      <c r="AP82" s="60"/>
      <c r="AQ82" s="60"/>
      <c r="AR82" s="324"/>
      <c r="AS82" s="325"/>
      <c r="AV82" s="251" t="str">
        <f t="shared" si="27"/>
        <v>0</v>
      </c>
      <c r="AW82" s="251" t="str">
        <f t="shared" si="28"/>
        <v>0</v>
      </c>
    </row>
    <row r="83" spans="15:49">
      <c r="O83" s="8"/>
      <c r="P83" s="8"/>
      <c r="R83" s="347" t="str">
        <f>InputSheet!C156</f>
        <v>Sub 8</v>
      </c>
      <c r="S83" s="8"/>
      <c r="T83" s="8"/>
      <c r="U83" s="8"/>
      <c r="V83" s="348">
        <f t="shared" si="38"/>
        <v>0</v>
      </c>
      <c r="W83" s="349">
        <f t="shared" si="38"/>
        <v>0</v>
      </c>
      <c r="X83" s="348">
        <f t="shared" si="39"/>
        <v>0</v>
      </c>
      <c r="Y83" s="353">
        <f t="shared" si="39"/>
        <v>0</v>
      </c>
      <c r="Z83" s="351">
        <f t="shared" si="36"/>
        <v>0</v>
      </c>
      <c r="AA83" s="352">
        <f t="shared" si="36"/>
        <v>0</v>
      </c>
      <c r="AB83" s="6" t="str">
        <f t="shared" si="37"/>
        <v>Sub 8</v>
      </c>
      <c r="AC83" s="60"/>
      <c r="AD83" s="60"/>
      <c r="AE83" s="60"/>
      <c r="AF83" s="60"/>
      <c r="AG83" s="60"/>
      <c r="AH83" s="60"/>
      <c r="AI83" s="60"/>
      <c r="AJ83" s="60"/>
      <c r="AK83" s="60"/>
      <c r="AL83" s="60"/>
      <c r="AM83" s="60"/>
      <c r="AN83" s="60"/>
      <c r="AO83" s="60"/>
      <c r="AP83" s="60"/>
      <c r="AQ83" s="60"/>
      <c r="AR83" s="324"/>
      <c r="AS83" s="325"/>
      <c r="AV83" s="251" t="str">
        <f t="shared" si="27"/>
        <v>0</v>
      </c>
      <c r="AW83" s="251" t="str">
        <f t="shared" si="28"/>
        <v>0</v>
      </c>
    </row>
    <row r="84" spans="15:49">
      <c r="O84" s="8"/>
      <c r="P84" s="8"/>
      <c r="R84" s="347" t="str">
        <f>InputSheet!C157</f>
        <v>Sub 9</v>
      </c>
      <c r="S84" s="8"/>
      <c r="T84" s="8"/>
      <c r="U84" s="8"/>
      <c r="V84" s="348">
        <f t="shared" si="38"/>
        <v>0</v>
      </c>
      <c r="W84" s="349">
        <f t="shared" si="38"/>
        <v>0</v>
      </c>
      <c r="X84" s="348">
        <f t="shared" si="39"/>
        <v>0</v>
      </c>
      <c r="Y84" s="353">
        <f t="shared" si="39"/>
        <v>0</v>
      </c>
      <c r="Z84" s="351">
        <f t="shared" si="36"/>
        <v>0</v>
      </c>
      <c r="AA84" s="352">
        <f t="shared" si="36"/>
        <v>0</v>
      </c>
      <c r="AB84" s="6" t="str">
        <f t="shared" si="37"/>
        <v>Sub 9</v>
      </c>
      <c r="AC84" s="60"/>
      <c r="AD84" s="60"/>
      <c r="AE84" s="60"/>
      <c r="AF84" s="60"/>
      <c r="AG84" s="60"/>
      <c r="AH84" s="60"/>
      <c r="AI84" s="60"/>
      <c r="AJ84" s="60"/>
      <c r="AK84" s="60"/>
      <c r="AL84" s="60"/>
      <c r="AM84" s="60"/>
      <c r="AN84" s="60"/>
      <c r="AO84" s="60"/>
      <c r="AP84" s="60"/>
      <c r="AQ84" s="60"/>
      <c r="AR84" s="324"/>
      <c r="AS84" s="325"/>
      <c r="AV84" s="251" t="str">
        <f t="shared" si="27"/>
        <v>0</v>
      </c>
      <c r="AW84" s="251" t="str">
        <f t="shared" si="28"/>
        <v>0</v>
      </c>
    </row>
    <row r="85" spans="15:49">
      <c r="O85" s="8"/>
      <c r="P85" s="8"/>
      <c r="R85" s="347" t="str">
        <f>InputSheet!C158</f>
        <v>Sub 10</v>
      </c>
      <c r="S85" s="8"/>
      <c r="T85" s="8"/>
      <c r="U85" s="8"/>
      <c r="V85" s="348">
        <f t="shared" si="38"/>
        <v>0</v>
      </c>
      <c r="W85" s="349">
        <f t="shared" si="38"/>
        <v>0</v>
      </c>
      <c r="X85" s="348">
        <f t="shared" si="39"/>
        <v>0</v>
      </c>
      <c r="Y85" s="353">
        <f t="shared" si="39"/>
        <v>0</v>
      </c>
      <c r="Z85" s="351">
        <f t="shared" si="36"/>
        <v>0</v>
      </c>
      <c r="AA85" s="352">
        <f t="shared" si="36"/>
        <v>0</v>
      </c>
      <c r="AB85" s="6" t="str">
        <f t="shared" si="37"/>
        <v>Sub 10</v>
      </c>
      <c r="AC85" s="60"/>
      <c r="AD85" s="60"/>
      <c r="AE85" s="60"/>
      <c r="AF85" s="60"/>
      <c r="AG85" s="60"/>
      <c r="AH85" s="60"/>
      <c r="AI85" s="60"/>
      <c r="AJ85" s="60"/>
      <c r="AK85" s="60"/>
      <c r="AL85" s="60"/>
      <c r="AM85" s="60"/>
      <c r="AN85" s="60"/>
      <c r="AO85" s="60"/>
      <c r="AP85" s="60"/>
      <c r="AQ85" s="60"/>
      <c r="AR85" s="324"/>
      <c r="AS85" s="325"/>
      <c r="AV85" s="251" t="str">
        <f t="shared" si="27"/>
        <v>0</v>
      </c>
      <c r="AW85" s="251" t="str">
        <f t="shared" si="28"/>
        <v>0</v>
      </c>
    </row>
    <row r="86" spans="15:49">
      <c r="O86" s="8"/>
      <c r="P86" s="8"/>
      <c r="R86" s="347" t="str">
        <f>InputSheet!C159</f>
        <v>Sub 11</v>
      </c>
      <c r="S86" s="8"/>
      <c r="T86" s="8"/>
      <c r="U86" s="8"/>
      <c r="V86" s="348">
        <f t="shared" si="38"/>
        <v>0</v>
      </c>
      <c r="W86" s="349">
        <f t="shared" si="38"/>
        <v>0</v>
      </c>
      <c r="X86" s="348">
        <f t="shared" si="39"/>
        <v>0</v>
      </c>
      <c r="Y86" s="353">
        <f t="shared" si="39"/>
        <v>0</v>
      </c>
      <c r="Z86" s="351">
        <f t="shared" si="36"/>
        <v>0</v>
      </c>
      <c r="AA86" s="352">
        <f t="shared" si="36"/>
        <v>0</v>
      </c>
      <c r="AB86" s="6" t="str">
        <f t="shared" si="37"/>
        <v>Sub 11</v>
      </c>
      <c r="AC86" s="60"/>
      <c r="AD86" s="60"/>
      <c r="AE86" s="60"/>
      <c r="AF86" s="60"/>
      <c r="AG86" s="60"/>
      <c r="AH86" s="60"/>
      <c r="AI86" s="60"/>
      <c r="AJ86" s="60"/>
      <c r="AK86" s="60"/>
      <c r="AL86" s="60"/>
      <c r="AM86" s="60"/>
      <c r="AN86" s="60"/>
      <c r="AO86" s="60"/>
      <c r="AP86" s="60"/>
      <c r="AQ86" s="60"/>
      <c r="AR86" s="324"/>
      <c r="AS86" s="325"/>
      <c r="AV86" s="251" t="str">
        <f t="shared" si="27"/>
        <v>0</v>
      </c>
      <c r="AW86" s="251" t="str">
        <f t="shared" si="28"/>
        <v>0</v>
      </c>
    </row>
    <row r="87" spans="15:49">
      <c r="O87" s="8"/>
      <c r="P87" s="8"/>
      <c r="R87" s="347" t="str">
        <f>InputSheet!C160</f>
        <v>Sub 12</v>
      </c>
      <c r="S87" s="8"/>
      <c r="T87" s="8"/>
      <c r="U87" s="8"/>
      <c r="V87" s="348">
        <f t="shared" si="38"/>
        <v>0</v>
      </c>
      <c r="W87" s="349">
        <f t="shared" si="38"/>
        <v>0</v>
      </c>
      <c r="X87" s="348">
        <f t="shared" si="39"/>
        <v>0</v>
      </c>
      <c r="Y87" s="353">
        <f t="shared" si="39"/>
        <v>0</v>
      </c>
      <c r="Z87" s="351">
        <f t="shared" si="36"/>
        <v>0</v>
      </c>
      <c r="AA87" s="352">
        <f t="shared" si="36"/>
        <v>0</v>
      </c>
      <c r="AB87" s="6" t="str">
        <f t="shared" si="37"/>
        <v>Sub 12</v>
      </c>
      <c r="AC87" s="60"/>
      <c r="AD87" s="60"/>
      <c r="AE87" s="60"/>
      <c r="AF87" s="60"/>
      <c r="AG87" s="60"/>
      <c r="AH87" s="60"/>
      <c r="AI87" s="60"/>
      <c r="AJ87" s="60"/>
      <c r="AK87" s="60"/>
      <c r="AL87" s="60"/>
      <c r="AM87" s="60"/>
      <c r="AN87" s="60"/>
      <c r="AO87" s="60"/>
      <c r="AP87" s="60"/>
      <c r="AQ87" s="60"/>
      <c r="AR87" s="324"/>
      <c r="AS87" s="325"/>
      <c r="AV87" s="251" t="str">
        <f t="shared" si="27"/>
        <v>0</v>
      </c>
      <c r="AW87" s="251" t="str">
        <f t="shared" si="28"/>
        <v>0</v>
      </c>
    </row>
    <row r="88" spans="15:49">
      <c r="O88" s="8"/>
      <c r="P88" s="8"/>
      <c r="R88" s="347" t="str">
        <f>InputSheet!C161</f>
        <v>Sub 13</v>
      </c>
      <c r="S88" s="8"/>
      <c r="T88" s="8"/>
      <c r="U88" s="8"/>
      <c r="V88" s="348">
        <f t="shared" si="38"/>
        <v>0</v>
      </c>
      <c r="W88" s="349">
        <f t="shared" si="38"/>
        <v>0</v>
      </c>
      <c r="X88" s="348">
        <f t="shared" si="39"/>
        <v>0</v>
      </c>
      <c r="Y88" s="353">
        <f t="shared" si="39"/>
        <v>0</v>
      </c>
      <c r="Z88" s="351">
        <f t="shared" si="36"/>
        <v>0</v>
      </c>
      <c r="AA88" s="352">
        <f t="shared" si="36"/>
        <v>0</v>
      </c>
      <c r="AB88" s="6" t="str">
        <f t="shared" si="37"/>
        <v>Sub 13</v>
      </c>
      <c r="AC88" s="60"/>
      <c r="AD88" s="60"/>
      <c r="AE88" s="60"/>
      <c r="AF88" s="60"/>
      <c r="AG88" s="60"/>
      <c r="AH88" s="60"/>
      <c r="AI88" s="60"/>
      <c r="AJ88" s="60"/>
      <c r="AK88" s="60"/>
      <c r="AL88" s="60"/>
      <c r="AM88" s="60"/>
      <c r="AN88" s="60"/>
      <c r="AO88" s="60"/>
      <c r="AP88" s="60"/>
      <c r="AQ88" s="60"/>
      <c r="AR88" s="324"/>
      <c r="AS88" s="325"/>
      <c r="AV88" s="251" t="str">
        <f t="shared" si="27"/>
        <v>0</v>
      </c>
      <c r="AW88" s="251" t="str">
        <f t="shared" si="28"/>
        <v>0</v>
      </c>
    </row>
    <row r="89" spans="15:49">
      <c r="O89" s="8"/>
      <c r="P89" s="8"/>
      <c r="R89" s="347" t="str">
        <f>InputSheet!C162</f>
        <v>Sub 14</v>
      </c>
      <c r="S89" s="8"/>
      <c r="T89" s="8"/>
      <c r="U89" s="8"/>
      <c r="V89" s="348">
        <f t="shared" si="38"/>
        <v>0</v>
      </c>
      <c r="W89" s="349">
        <f t="shared" si="38"/>
        <v>0</v>
      </c>
      <c r="X89" s="348">
        <f t="shared" si="39"/>
        <v>0</v>
      </c>
      <c r="Y89" s="353">
        <f t="shared" si="39"/>
        <v>0</v>
      </c>
      <c r="Z89" s="351">
        <f t="shared" si="36"/>
        <v>0</v>
      </c>
      <c r="AA89" s="352">
        <f t="shared" si="36"/>
        <v>0</v>
      </c>
      <c r="AB89" s="6" t="str">
        <f t="shared" si="37"/>
        <v>Sub 14</v>
      </c>
      <c r="AC89" s="60"/>
      <c r="AD89" s="60"/>
      <c r="AE89" s="60"/>
      <c r="AF89" s="60"/>
      <c r="AG89" s="60"/>
      <c r="AH89" s="60"/>
      <c r="AI89" s="60"/>
      <c r="AJ89" s="60"/>
      <c r="AK89" s="60"/>
      <c r="AL89" s="60"/>
      <c r="AM89" s="60"/>
      <c r="AN89" s="60"/>
      <c r="AO89" s="60"/>
      <c r="AP89" s="60"/>
      <c r="AQ89" s="60"/>
      <c r="AR89" s="324"/>
      <c r="AS89" s="325"/>
      <c r="AV89" s="251" t="str">
        <f t="shared" si="27"/>
        <v>0</v>
      </c>
      <c r="AW89" s="251" t="str">
        <f t="shared" si="28"/>
        <v>0</v>
      </c>
    </row>
    <row r="90" spans="15:49">
      <c r="O90" s="8"/>
      <c r="P90" s="8"/>
      <c r="R90" s="347" t="str">
        <f>InputSheet!C163</f>
        <v>Sub 15</v>
      </c>
      <c r="S90" s="8"/>
      <c r="T90" s="8"/>
      <c r="U90" s="8"/>
      <c r="V90" s="348">
        <f t="shared" si="38"/>
        <v>0</v>
      </c>
      <c r="W90" s="349">
        <f t="shared" si="38"/>
        <v>0</v>
      </c>
      <c r="X90" s="348">
        <f t="shared" si="39"/>
        <v>0</v>
      </c>
      <c r="Y90" s="353">
        <f t="shared" si="39"/>
        <v>0</v>
      </c>
      <c r="Z90" s="351">
        <f t="shared" si="36"/>
        <v>0</v>
      </c>
      <c r="AA90" s="352">
        <f t="shared" si="36"/>
        <v>0</v>
      </c>
      <c r="AB90" s="6" t="str">
        <f t="shared" si="37"/>
        <v>Sub 15</v>
      </c>
      <c r="AC90" s="60"/>
      <c r="AD90" s="60"/>
      <c r="AE90" s="60"/>
      <c r="AF90" s="60"/>
      <c r="AG90" s="60"/>
      <c r="AH90" s="60"/>
      <c r="AI90" s="60"/>
      <c r="AJ90" s="60"/>
      <c r="AK90" s="60"/>
      <c r="AL90" s="60"/>
      <c r="AM90" s="60"/>
      <c r="AN90" s="60"/>
      <c r="AO90" s="60"/>
      <c r="AP90" s="60"/>
      <c r="AQ90" s="60"/>
      <c r="AR90" s="324"/>
      <c r="AS90" s="325"/>
      <c r="AV90" s="251" t="str">
        <f t="shared" si="27"/>
        <v>0</v>
      </c>
      <c r="AW90" s="251" t="str">
        <f t="shared" si="28"/>
        <v>0</v>
      </c>
    </row>
    <row r="91" spans="15:49">
      <c r="O91" s="8"/>
      <c r="P91" s="8"/>
      <c r="R91" s="347" t="str">
        <f>InputSheet!C164</f>
        <v>Sub 16</v>
      </c>
      <c r="S91" s="8"/>
      <c r="T91" s="8"/>
      <c r="U91" s="8"/>
      <c r="V91" s="348">
        <f t="shared" si="38"/>
        <v>0</v>
      </c>
      <c r="W91" s="349">
        <f t="shared" si="38"/>
        <v>0</v>
      </c>
      <c r="X91" s="348">
        <f t="shared" si="39"/>
        <v>0</v>
      </c>
      <c r="Y91" s="353">
        <f t="shared" si="39"/>
        <v>0</v>
      </c>
      <c r="Z91" s="351">
        <f t="shared" si="36"/>
        <v>0</v>
      </c>
      <c r="AA91" s="352">
        <f t="shared" si="36"/>
        <v>0</v>
      </c>
      <c r="AB91" s="6" t="str">
        <f t="shared" si="37"/>
        <v>Sub 16</v>
      </c>
      <c r="AC91" s="60"/>
      <c r="AD91" s="60"/>
      <c r="AE91" s="60"/>
      <c r="AF91" s="60"/>
      <c r="AG91" s="60"/>
      <c r="AH91" s="60"/>
      <c r="AI91" s="60"/>
      <c r="AJ91" s="60"/>
      <c r="AK91" s="60"/>
      <c r="AL91" s="60"/>
      <c r="AM91" s="60"/>
      <c r="AN91" s="60"/>
      <c r="AO91" s="60"/>
      <c r="AP91" s="60"/>
      <c r="AQ91" s="60"/>
      <c r="AR91" s="324"/>
      <c r="AS91" s="325"/>
      <c r="AV91" s="251" t="str">
        <f t="shared" si="27"/>
        <v>0</v>
      </c>
      <c r="AW91" s="251" t="str">
        <f t="shared" si="28"/>
        <v>0</v>
      </c>
    </row>
    <row r="92" spans="15:49">
      <c r="O92" s="8"/>
      <c r="P92" s="8"/>
      <c r="R92" s="347" t="str">
        <f>InputSheet!C165</f>
        <v>Sub 17</v>
      </c>
      <c r="S92" s="8"/>
      <c r="T92" s="8"/>
      <c r="U92" s="8"/>
      <c r="V92" s="348">
        <f t="shared" si="38"/>
        <v>0</v>
      </c>
      <c r="W92" s="349">
        <f t="shared" si="38"/>
        <v>0</v>
      </c>
      <c r="X92" s="348">
        <f t="shared" si="39"/>
        <v>0</v>
      </c>
      <c r="Y92" s="353">
        <f t="shared" si="39"/>
        <v>0</v>
      </c>
      <c r="Z92" s="351">
        <f t="shared" si="36"/>
        <v>0</v>
      </c>
      <c r="AA92" s="352">
        <f t="shared" si="36"/>
        <v>0</v>
      </c>
      <c r="AB92" s="6" t="str">
        <f t="shared" si="37"/>
        <v>Sub 17</v>
      </c>
      <c r="AC92" s="60"/>
      <c r="AD92" s="60"/>
      <c r="AE92" s="60"/>
      <c r="AF92" s="60"/>
      <c r="AG92" s="60"/>
      <c r="AH92" s="60"/>
      <c r="AI92" s="60"/>
      <c r="AJ92" s="60"/>
      <c r="AK92" s="60"/>
      <c r="AL92" s="60"/>
      <c r="AM92" s="60"/>
      <c r="AN92" s="60"/>
      <c r="AO92" s="60"/>
      <c r="AP92" s="60"/>
      <c r="AQ92" s="60"/>
      <c r="AR92" s="324"/>
      <c r="AS92" s="325"/>
      <c r="AV92" s="251" t="str">
        <f t="shared" si="27"/>
        <v>0</v>
      </c>
      <c r="AW92" s="251" t="str">
        <f t="shared" si="28"/>
        <v>0</v>
      </c>
    </row>
    <row r="93" spans="15:49">
      <c r="O93" s="8"/>
      <c r="P93" s="8"/>
      <c r="R93" s="347" t="str">
        <f>InputSheet!C166</f>
        <v>Sub 18</v>
      </c>
      <c r="S93" s="8"/>
      <c r="T93" s="8"/>
      <c r="U93" s="8"/>
      <c r="V93" s="348">
        <f t="shared" si="38"/>
        <v>0</v>
      </c>
      <c r="W93" s="349">
        <f t="shared" si="38"/>
        <v>0</v>
      </c>
      <c r="X93" s="348">
        <f t="shared" si="39"/>
        <v>0</v>
      </c>
      <c r="Y93" s="353">
        <f t="shared" si="39"/>
        <v>0</v>
      </c>
      <c r="Z93" s="351">
        <f t="shared" si="36"/>
        <v>0</v>
      </c>
      <c r="AA93" s="352">
        <f t="shared" si="36"/>
        <v>0</v>
      </c>
      <c r="AB93" s="6" t="str">
        <f t="shared" si="37"/>
        <v>Sub 18</v>
      </c>
      <c r="AC93" s="60"/>
      <c r="AD93" s="60"/>
      <c r="AE93" s="60"/>
      <c r="AF93" s="60"/>
      <c r="AG93" s="60"/>
      <c r="AH93" s="60"/>
      <c r="AI93" s="60"/>
      <c r="AJ93" s="60"/>
      <c r="AK93" s="60"/>
      <c r="AL93" s="60"/>
      <c r="AM93" s="60"/>
      <c r="AN93" s="60"/>
      <c r="AO93" s="60"/>
      <c r="AP93" s="60"/>
      <c r="AQ93" s="60"/>
      <c r="AR93" s="324"/>
      <c r="AS93" s="325"/>
      <c r="AV93" s="251" t="str">
        <f t="shared" si="27"/>
        <v>0</v>
      </c>
      <c r="AW93" s="251" t="str">
        <f t="shared" si="28"/>
        <v>0</v>
      </c>
    </row>
    <row r="94" spans="15:49">
      <c r="O94" s="8"/>
      <c r="P94" s="8"/>
      <c r="R94" s="347" t="str">
        <f>InputSheet!C167</f>
        <v>Sub 19</v>
      </c>
      <c r="S94" s="8"/>
      <c r="T94" s="8"/>
      <c r="U94" s="8"/>
      <c r="V94" s="348">
        <f t="shared" si="38"/>
        <v>0</v>
      </c>
      <c r="W94" s="349">
        <f t="shared" si="38"/>
        <v>0</v>
      </c>
      <c r="X94" s="348">
        <f t="shared" si="39"/>
        <v>0</v>
      </c>
      <c r="Y94" s="353">
        <f t="shared" si="39"/>
        <v>0</v>
      </c>
      <c r="Z94" s="351">
        <f t="shared" si="36"/>
        <v>0</v>
      </c>
      <c r="AA94" s="352">
        <f t="shared" si="36"/>
        <v>0</v>
      </c>
      <c r="AB94" s="6" t="str">
        <f t="shared" si="37"/>
        <v>Sub 19</v>
      </c>
      <c r="AC94" s="60"/>
      <c r="AD94" s="60"/>
      <c r="AE94" s="60"/>
      <c r="AF94" s="60"/>
      <c r="AG94" s="60"/>
      <c r="AH94" s="60"/>
      <c r="AI94" s="60"/>
      <c r="AJ94" s="60"/>
      <c r="AK94" s="60"/>
      <c r="AL94" s="60"/>
      <c r="AM94" s="60"/>
      <c r="AN94" s="60"/>
      <c r="AO94" s="60"/>
      <c r="AP94" s="60"/>
      <c r="AQ94" s="60"/>
      <c r="AR94" s="324"/>
      <c r="AS94" s="325"/>
      <c r="AV94" s="251" t="str">
        <f t="shared" si="27"/>
        <v>0</v>
      </c>
      <c r="AW94" s="251" t="str">
        <f t="shared" si="28"/>
        <v>0</v>
      </c>
    </row>
    <row r="95" spans="15:49">
      <c r="O95" s="8"/>
      <c r="P95" s="8"/>
      <c r="R95" s="347" t="str">
        <f>InputSheet!C168</f>
        <v>Sub 20</v>
      </c>
      <c r="S95" s="8"/>
      <c r="T95" s="8"/>
      <c r="U95" s="8"/>
      <c r="V95" s="348">
        <f t="shared" si="38"/>
        <v>0</v>
      </c>
      <c r="W95" s="349">
        <f t="shared" si="38"/>
        <v>0</v>
      </c>
      <c r="X95" s="348">
        <f t="shared" si="39"/>
        <v>0</v>
      </c>
      <c r="Y95" s="353">
        <f t="shared" si="39"/>
        <v>0</v>
      </c>
      <c r="Z95" s="351">
        <f t="shared" si="36"/>
        <v>0</v>
      </c>
      <c r="AA95" s="352">
        <f t="shared" si="36"/>
        <v>0</v>
      </c>
      <c r="AB95" s="6" t="str">
        <f t="shared" si="37"/>
        <v>Sub 20</v>
      </c>
      <c r="AC95" s="60"/>
      <c r="AD95" s="60"/>
      <c r="AE95" s="60"/>
      <c r="AF95" s="60"/>
      <c r="AG95" s="60"/>
      <c r="AH95" s="60"/>
      <c r="AI95" s="60"/>
      <c r="AJ95" s="60"/>
      <c r="AK95" s="60"/>
      <c r="AL95" s="60"/>
      <c r="AM95" s="60"/>
      <c r="AN95" s="60"/>
      <c r="AO95" s="60"/>
      <c r="AP95" s="60"/>
      <c r="AQ95" s="60"/>
      <c r="AR95" s="324"/>
      <c r="AS95" s="325"/>
      <c r="AV95" s="251" t="str">
        <f t="shared" si="27"/>
        <v>0</v>
      </c>
      <c r="AW95" s="251" t="str">
        <f t="shared" si="28"/>
        <v>0</v>
      </c>
    </row>
    <row r="96" spans="15:49" ht="13.5" thickBot="1">
      <c r="O96" s="355"/>
      <c r="P96" s="355"/>
      <c r="R96" s="354" t="s">
        <v>650</v>
      </c>
      <c r="S96" s="355"/>
      <c r="T96" s="355"/>
      <c r="U96" s="355"/>
      <c r="V96" s="354"/>
      <c r="W96" s="356"/>
      <c r="X96" s="354"/>
      <c r="Y96" s="357"/>
      <c r="Z96" s="358">
        <f>SUM(Z75:Z95)</f>
        <v>30600</v>
      </c>
      <c r="AA96" s="359">
        <f ca="1">SUM(AA75:AA95)</f>
        <v>2457710.4</v>
      </c>
      <c r="AC96" s="360"/>
      <c r="AD96" s="360"/>
      <c r="AE96" s="360"/>
      <c r="AF96" s="360"/>
      <c r="AG96" s="360"/>
      <c r="AH96" s="360"/>
      <c r="AI96" s="360"/>
      <c r="AJ96" s="360"/>
      <c r="AK96" s="360"/>
      <c r="AL96" s="360"/>
      <c r="AM96" s="360"/>
      <c r="AN96" s="360"/>
      <c r="AO96" s="360"/>
      <c r="AP96" s="360"/>
      <c r="AQ96" s="60"/>
      <c r="AR96" s="324"/>
      <c r="AS96" s="325"/>
      <c r="AV96" s="251" t="str">
        <f t="shared" si="27"/>
        <v>1</v>
      </c>
      <c r="AW96" s="251" t="str">
        <f t="shared" ca="1" si="28"/>
        <v>1</v>
      </c>
    </row>
    <row r="97" spans="15:49" ht="13.5" thickTop="1">
      <c r="O97" s="327"/>
      <c r="P97" s="327"/>
      <c r="R97" s="361"/>
      <c r="S97" s="327"/>
      <c r="T97" s="327"/>
      <c r="U97" s="327"/>
      <c r="V97" s="327"/>
      <c r="W97" s="327"/>
      <c r="X97" s="327"/>
      <c r="Y97" s="327"/>
      <c r="Z97" s="327"/>
      <c r="AA97" s="362"/>
      <c r="AV97" s="251" t="str">
        <f t="shared" si="27"/>
        <v>1</v>
      </c>
      <c r="AW97" s="251" t="str">
        <f t="shared" si="28"/>
        <v>1</v>
      </c>
    </row>
  </sheetData>
  <autoFilter ref="AV29:AW29"/>
  <mergeCells count="1">
    <mergeCell ref="F2:L2"/>
  </mergeCells>
  <conditionalFormatting sqref="R24">
    <cfRule type="cellIs" dxfId="0" priority="1" stopIfTrue="1" operator="greaterThan">
      <formula>0</formula>
    </cfRule>
  </conditionalFormatting>
  <dataValidations count="2">
    <dataValidation type="list" allowBlank="1" showInputMessage="1" showErrorMessage="1" sqref="G32:G46">
      <formula1>$R$75:$R$95</formula1>
    </dataValidation>
    <dataValidation type="list" allowBlank="1" showInputMessage="1" showErrorMessage="1" sqref="L32:L46">
      <formula1>$L$9:$L$25</formula1>
    </dataValidation>
  </dataValidations>
  <printOptions horizontalCentered="1"/>
  <pageMargins left="1" right="1" top="0.5" bottom="0.5" header="0.5" footer="0.5"/>
  <pageSetup scale="35" fitToHeight="1000" orientation="landscape" r:id="rId1"/>
  <headerFooter alignWithMargins="0"/>
  <rowBreaks count="1" manualBreakCount="1">
    <brk id="72" min="3" max="25" man="1"/>
  </rowBreaks>
  <legacyDrawing r:id="rId2"/>
</worksheet>
</file>

<file path=xl/worksheets/sheet31.xml><?xml version="1.0" encoding="utf-8"?>
<worksheet xmlns="http://schemas.openxmlformats.org/spreadsheetml/2006/main" xmlns:r="http://schemas.openxmlformats.org/officeDocument/2006/relationships">
  <sheetPr>
    <pageSetUpPr fitToPage="1"/>
  </sheetPr>
  <dimension ref="B1:F30"/>
  <sheetViews>
    <sheetView workbookViewId="0">
      <selection activeCell="D6" sqref="D6"/>
    </sheetView>
  </sheetViews>
  <sheetFormatPr defaultRowHeight="12.75"/>
  <cols>
    <col min="1" max="1" width="3" style="1039" bestFit="1" customWidth="1"/>
    <col min="2" max="2" width="47.42578125" style="1039" bestFit="1" customWidth="1"/>
    <col min="3" max="3" width="13.28515625" style="1039" bestFit="1" customWidth="1"/>
    <col min="4" max="6" width="11.28515625" style="1039" bestFit="1" customWidth="1"/>
    <col min="7" max="16384" width="9.140625" style="1039"/>
  </cols>
  <sheetData>
    <row r="1" spans="2:6" ht="13.5" thickBot="1"/>
    <row r="2" spans="2:6" ht="13.5" thickBot="1">
      <c r="B2" s="1146"/>
      <c r="C2" s="1148" t="s">
        <v>992</v>
      </c>
      <c r="D2" s="1148" t="s">
        <v>906</v>
      </c>
      <c r="E2" s="1148" t="s">
        <v>909</v>
      </c>
      <c r="F2" s="1148" t="s">
        <v>910</v>
      </c>
    </row>
    <row r="3" spans="2:6">
      <c r="B3" s="1147" t="s">
        <v>937</v>
      </c>
      <c r="C3" s="1151">
        <v>3329452.8</v>
      </c>
      <c r="D3" s="1151">
        <v>1263657.5999999999</v>
      </c>
      <c r="E3" s="1151">
        <v>1293063.6000000001</v>
      </c>
      <c r="F3" s="1152">
        <v>772731.59999999986</v>
      </c>
    </row>
    <row r="4" spans="2:6">
      <c r="B4" s="1043" t="s">
        <v>938</v>
      </c>
      <c r="C4" s="1153">
        <v>8492107.2000000011</v>
      </c>
      <c r="D4" s="1153">
        <v>3229300.8000000003</v>
      </c>
      <c r="E4" s="1153">
        <v>3265666.8</v>
      </c>
      <c r="F4" s="1154">
        <v>1997139.6</v>
      </c>
    </row>
    <row r="5" spans="2:6">
      <c r="B5" s="1043"/>
      <c r="C5" s="1153"/>
      <c r="D5" s="1153"/>
      <c r="E5" s="1153"/>
      <c r="F5" s="1154"/>
    </row>
    <row r="6" spans="2:6">
      <c r="B6" s="1047" t="s">
        <v>943</v>
      </c>
      <c r="C6" s="1155">
        <v>11821560</v>
      </c>
      <c r="D6" s="1155">
        <v>4492958.4000000004</v>
      </c>
      <c r="E6" s="1155">
        <v>4558730.4000000004</v>
      </c>
      <c r="F6" s="1156">
        <v>2769871.2</v>
      </c>
    </row>
    <row r="7" spans="2:6">
      <c r="B7" s="1047"/>
      <c r="C7" s="1010"/>
      <c r="D7" s="1010"/>
      <c r="E7" s="1010"/>
      <c r="F7" s="1072"/>
    </row>
    <row r="8" spans="2:6" ht="38.25">
      <c r="B8" s="1135" t="s">
        <v>944</v>
      </c>
      <c r="C8" s="1157">
        <v>65885.040000000008</v>
      </c>
      <c r="D8" s="1136"/>
      <c r="E8" s="1136"/>
      <c r="F8" s="1137"/>
    </row>
    <row r="9" spans="2:6" ht="38.25">
      <c r="B9" s="1135" t="s">
        <v>940</v>
      </c>
      <c r="C9" s="1157">
        <v>109808.40000000001</v>
      </c>
      <c r="D9" s="1136"/>
      <c r="E9" s="1136"/>
      <c r="F9" s="1137"/>
    </row>
    <row r="10" spans="2:6">
      <c r="B10" s="1135"/>
      <c r="C10" s="1138"/>
      <c r="D10" s="1136"/>
      <c r="E10" s="1136"/>
      <c r="F10" s="1137"/>
    </row>
    <row r="11" spans="2:6" ht="25.5">
      <c r="B11" s="1139" t="s">
        <v>955</v>
      </c>
      <c r="C11" s="1149">
        <f>SUM(C6:C10)</f>
        <v>11997253.439999999</v>
      </c>
      <c r="D11" s="1149">
        <f>SUM(D6:D10)</f>
        <v>4492958.4000000004</v>
      </c>
      <c r="E11" s="1149">
        <f>SUM(E6:E10)</f>
        <v>4558730.4000000004</v>
      </c>
      <c r="F11" s="1150">
        <f>SUM(F6:F10)</f>
        <v>2769871.2</v>
      </c>
    </row>
    <row r="12" spans="2:6">
      <c r="B12" s="1135"/>
      <c r="C12" s="1138"/>
      <c r="D12" s="1136"/>
      <c r="E12" s="1136"/>
      <c r="F12" s="1137"/>
    </row>
    <row r="13" spans="2:6">
      <c r="B13" s="1140" t="s">
        <v>945</v>
      </c>
      <c r="C13" s="1157">
        <v>1298.3</v>
      </c>
      <c r="D13" s="1136"/>
      <c r="E13" s="1136"/>
      <c r="F13" s="1137"/>
    </row>
    <row r="14" spans="2:6">
      <c r="B14" s="1141"/>
      <c r="C14" s="1046"/>
      <c r="D14" s="1046"/>
      <c r="E14" s="1046"/>
      <c r="F14" s="1142"/>
    </row>
    <row r="15" spans="2:6">
      <c r="B15" s="1143" t="s">
        <v>954</v>
      </c>
      <c r="C15" s="1046"/>
      <c r="D15" s="1046"/>
      <c r="E15" s="1046"/>
      <c r="F15" s="1142"/>
    </row>
    <row r="16" spans="2:6">
      <c r="B16" s="1047" t="s">
        <v>925</v>
      </c>
      <c r="C16" s="1144">
        <v>0.12</v>
      </c>
      <c r="D16" s="1131"/>
      <c r="E16" s="1131"/>
      <c r="F16" s="1133"/>
    </row>
    <row r="17" spans="2:6">
      <c r="B17" s="1047" t="s">
        <v>926</v>
      </c>
      <c r="C17" s="1144">
        <v>0.12</v>
      </c>
      <c r="D17" s="1131"/>
      <c r="E17" s="1131"/>
      <c r="F17" s="1133"/>
    </row>
    <row r="18" spans="2:6">
      <c r="B18" s="1047" t="s">
        <v>931</v>
      </c>
      <c r="C18" s="1144">
        <v>0.12</v>
      </c>
      <c r="D18" s="1044"/>
      <c r="E18" s="1044"/>
      <c r="F18" s="1132"/>
    </row>
    <row r="19" spans="2:6">
      <c r="B19" s="1047"/>
      <c r="C19" s="1144"/>
      <c r="D19" s="1044"/>
      <c r="E19" s="1044"/>
      <c r="F19" s="1132"/>
    </row>
    <row r="20" spans="2:6" ht="13.5" thickBot="1">
      <c r="B20" s="1051" t="s">
        <v>750</v>
      </c>
      <c r="C20" s="1145">
        <v>0.12001697196616069</v>
      </c>
      <c r="D20" s="1107"/>
      <c r="E20" s="1107"/>
      <c r="F20" s="1134"/>
    </row>
    <row r="29" spans="2:6" ht="12.75" customHeight="1">
      <c r="C29" s="1197"/>
      <c r="D29" s="1197"/>
      <c r="E29" s="1197"/>
      <c r="F29" s="1197"/>
    </row>
    <row r="30" spans="2:6">
      <c r="C30" s="1197"/>
      <c r="D30" s="1197"/>
      <c r="E30" s="1197"/>
      <c r="F30" s="1197"/>
    </row>
  </sheetData>
  <mergeCells count="1">
    <mergeCell ref="C29:F30"/>
  </mergeCells>
  <pageMargins left="0.2" right="0.2" top="0.25" bottom="0.25" header="0.3" footer="0.3"/>
  <pageSetup paperSize="5" scale="63" orientation="landscape" r:id="rId1"/>
</worksheet>
</file>

<file path=xl/worksheets/sheet4.xml><?xml version="1.0" encoding="utf-8"?>
<worksheet xmlns="http://schemas.openxmlformats.org/spreadsheetml/2006/main" xmlns:r="http://schemas.openxmlformats.org/officeDocument/2006/relationships">
  <sheetPr codeName="Sheet1" enableFormatConditionsCalculation="0">
    <tabColor indexed="53"/>
  </sheetPr>
  <dimension ref="A1:AP274"/>
  <sheetViews>
    <sheetView showGridLines="0" topLeftCell="A42" zoomScale="85" zoomScaleNormal="85" zoomScaleSheetLayoutView="85" workbookViewId="0">
      <selection activeCell="I151" sqref="I151"/>
    </sheetView>
  </sheetViews>
  <sheetFormatPr defaultRowHeight="12.75" outlineLevelRow="2" outlineLevelCol="1"/>
  <cols>
    <col min="1" max="1" width="2.5703125" style="7" customWidth="1" outlineLevel="1"/>
    <col min="2" max="2" width="3.140625" style="143" customWidth="1"/>
    <col min="3" max="3" width="18.7109375" customWidth="1"/>
    <col min="4" max="4" width="12.85546875" customWidth="1"/>
    <col min="5" max="5" width="13.140625" customWidth="1"/>
    <col min="6" max="6" width="12.85546875" customWidth="1"/>
    <col min="7" max="7" width="15.85546875" customWidth="1"/>
    <col min="8" max="8" width="6" customWidth="1"/>
    <col min="9" max="9" width="11.140625" customWidth="1"/>
    <col min="10" max="12" width="10.140625" customWidth="1"/>
    <col min="13" max="13" width="9.28515625" bestFit="1" customWidth="1"/>
    <col min="14" max="14" width="8.140625" customWidth="1"/>
    <col min="15" max="15" width="11" customWidth="1"/>
    <col min="16" max="23" width="8.140625" hidden="1" customWidth="1" outlineLevel="1"/>
    <col min="24" max="24" width="7.7109375" hidden="1" customWidth="1" outlineLevel="1"/>
    <col min="25" max="25" width="13.42578125" bestFit="1" customWidth="1" collapsed="1"/>
    <col min="33" max="33" width="10.28515625" bestFit="1" customWidth="1"/>
    <col min="34" max="34" width="12.28515625" bestFit="1" customWidth="1"/>
    <col min="35" max="35" width="9.140625" style="140" customWidth="1"/>
  </cols>
  <sheetData>
    <row r="1" spans="1:42">
      <c r="A1" s="65"/>
      <c r="C1" t="s">
        <v>666</v>
      </c>
      <c r="D1" s="1089" t="s">
        <v>951</v>
      </c>
      <c r="E1" s="5"/>
      <c r="F1" s="2"/>
      <c r="G1" s="3"/>
      <c r="H1" s="3"/>
      <c r="I1" s="3"/>
      <c r="J1" s="4"/>
      <c r="K1" s="4"/>
      <c r="L1" s="4"/>
      <c r="M1" s="4"/>
      <c r="N1" s="4"/>
    </row>
    <row r="2" spans="1:42">
      <c r="A2" s="65"/>
      <c r="C2" t="s">
        <v>612</v>
      </c>
      <c r="D2" s="1089" t="s">
        <v>952</v>
      </c>
      <c r="E2" s="5"/>
      <c r="F2" s="2"/>
      <c r="G2" s="3"/>
      <c r="H2" s="3"/>
      <c r="I2" s="3"/>
      <c r="J2" s="6"/>
      <c r="K2" s="6"/>
      <c r="L2" s="6"/>
      <c r="M2" s="4"/>
      <c r="N2" s="4"/>
    </row>
    <row r="3" spans="1:42">
      <c r="A3" s="65"/>
      <c r="C3" t="s">
        <v>611</v>
      </c>
      <c r="D3" s="5" t="str">
        <f>HLOOKUP(E$10,$I$4:$V$5,2,FALSE)</f>
        <v>ManTech Telecommunications and Information Systems Corporation</v>
      </c>
      <c r="E3" s="5"/>
      <c r="F3" s="2"/>
      <c r="G3" s="847"/>
      <c r="H3" s="847"/>
      <c r="I3" s="733"/>
      <c r="J3" s="848"/>
      <c r="K3" s="733"/>
      <c r="L3" s="733"/>
      <c r="M3" s="733"/>
      <c r="N3" s="733"/>
      <c r="O3" s="737"/>
      <c r="P3" s="737"/>
      <c r="Q3" s="737"/>
      <c r="R3" s="737"/>
      <c r="S3" s="737"/>
      <c r="T3" s="737"/>
      <c r="U3" s="737"/>
      <c r="V3" s="737"/>
      <c r="W3" s="737"/>
      <c r="X3" s="737"/>
      <c r="Y3" s="737"/>
      <c r="Z3" s="737"/>
      <c r="AA3" s="737"/>
      <c r="AB3" s="737"/>
      <c r="AC3" s="737"/>
      <c r="AD3" s="737"/>
      <c r="AE3" s="737"/>
      <c r="AF3" s="737"/>
      <c r="AG3" s="737"/>
      <c r="AH3" s="737"/>
      <c r="AI3" s="849"/>
      <c r="AJ3" s="737"/>
      <c r="AK3" s="737"/>
      <c r="AL3" s="737"/>
      <c r="AM3" s="737"/>
      <c r="AN3" s="737"/>
    </row>
    <row r="4" spans="1:42">
      <c r="A4" s="65"/>
      <c r="C4" t="s">
        <v>610</v>
      </c>
      <c r="D4" s="1090" t="s">
        <v>953</v>
      </c>
      <c r="E4" s="1"/>
      <c r="F4" s="2"/>
      <c r="G4" s="889"/>
      <c r="H4" s="3"/>
      <c r="I4" s="200" t="s">
        <v>7</v>
      </c>
      <c r="J4" s="200" t="s">
        <v>11</v>
      </c>
      <c r="K4" s="200" t="s">
        <v>496</v>
      </c>
      <c r="L4" s="200" t="s">
        <v>796</v>
      </c>
      <c r="M4" s="200" t="s">
        <v>6</v>
      </c>
      <c r="N4" s="200" t="s">
        <v>10</v>
      </c>
      <c r="O4" s="200" t="s">
        <v>498</v>
      </c>
      <c r="P4" s="200" t="s">
        <v>8</v>
      </c>
      <c r="Q4" s="200" t="s">
        <v>730</v>
      </c>
      <c r="R4" s="200" t="s">
        <v>9</v>
      </c>
      <c r="S4" s="200" t="s">
        <v>786</v>
      </c>
      <c r="T4" s="852" t="s">
        <v>799</v>
      </c>
      <c r="U4" s="200" t="s">
        <v>847</v>
      </c>
      <c r="V4" s="890"/>
      <c r="W4" s="890"/>
      <c r="X4" s="890"/>
      <c r="Y4" s="890"/>
      <c r="Z4" s="890"/>
      <c r="AA4" s="890"/>
      <c r="AB4" s="852"/>
      <c r="AC4" s="852"/>
      <c r="AD4" s="852"/>
      <c r="AE4" s="852"/>
      <c r="AF4" s="852"/>
      <c r="AG4" s="852"/>
      <c r="AH4" s="852"/>
      <c r="AI4" s="853"/>
      <c r="AJ4" s="852"/>
      <c r="AK4" s="852"/>
      <c r="AL4" s="852"/>
      <c r="AM4" s="852"/>
      <c r="AN4" s="852"/>
      <c r="AO4" s="852"/>
      <c r="AP4" s="852"/>
    </row>
    <row r="5" spans="1:42" s="704" customFormat="1" ht="13.5" thickBot="1">
      <c r="A5" s="702"/>
      <c r="B5" s="703"/>
      <c r="C5" s="704" t="s">
        <v>613</v>
      </c>
      <c r="D5" s="705" t="s">
        <v>586</v>
      </c>
      <c r="E5" s="705"/>
      <c r="F5" s="706"/>
      <c r="G5" s="759"/>
      <c r="H5" s="759"/>
      <c r="I5" s="707" t="s">
        <v>731</v>
      </c>
      <c r="J5" s="707" t="s">
        <v>732</v>
      </c>
      <c r="K5" s="707" t="s">
        <v>798</v>
      </c>
      <c r="L5" s="707" t="s">
        <v>797</v>
      </c>
      <c r="M5" s="707" t="s">
        <v>733</v>
      </c>
      <c r="N5" s="707" t="str">
        <f>N4</f>
        <v>ATAC</v>
      </c>
      <c r="O5" s="707" t="s">
        <v>802</v>
      </c>
      <c r="P5" s="707" t="s">
        <v>734</v>
      </c>
      <c r="Q5" s="707" t="s">
        <v>735</v>
      </c>
      <c r="R5" s="707" t="s">
        <v>736</v>
      </c>
      <c r="S5" s="707" t="s">
        <v>787</v>
      </c>
      <c r="T5" s="854" t="s">
        <v>800</v>
      </c>
      <c r="U5" s="854" t="s">
        <v>848</v>
      </c>
      <c r="V5" s="891"/>
      <c r="W5" s="891"/>
      <c r="X5" s="891"/>
      <c r="Y5" s="891"/>
      <c r="Z5" s="891"/>
      <c r="AA5" s="891"/>
      <c r="AB5" s="854"/>
      <c r="AC5" s="854"/>
      <c r="AD5" s="854"/>
      <c r="AE5" s="854"/>
      <c r="AF5" s="854"/>
      <c r="AG5" s="854"/>
      <c r="AH5" s="854"/>
      <c r="AI5" s="855"/>
      <c r="AJ5" s="854"/>
      <c r="AK5" s="854"/>
      <c r="AL5" s="854"/>
      <c r="AM5" s="854"/>
      <c r="AN5" s="854"/>
      <c r="AO5" s="854"/>
      <c r="AP5" s="854"/>
    </row>
    <row r="6" spans="1:42" s="143" customFormat="1" ht="24" customHeight="1">
      <c r="A6" s="851"/>
      <c r="B6" s="143">
        <f>'Indirect Lookup'!C2</f>
        <v>0</v>
      </c>
      <c r="C6" s="143">
        <f>'Indirect Lookup'!D2</f>
        <v>0</v>
      </c>
      <c r="D6" s="143">
        <f>'Indirect Lookup'!E2</f>
        <v>0</v>
      </c>
      <c r="E6" s="143">
        <f>'Indirect Lookup'!F2</f>
        <v>0</v>
      </c>
      <c r="F6" s="143">
        <f>'Indirect Lookup'!G2</f>
        <v>0</v>
      </c>
      <c r="G6" s="143">
        <f>'Indirect Lookup'!H2</f>
        <v>0</v>
      </c>
      <c r="H6" s="143">
        <f>'Indirect Lookup'!I2</f>
        <v>0</v>
      </c>
      <c r="I6" s="143">
        <f>'Indirect Lookup'!J2</f>
        <v>0</v>
      </c>
      <c r="J6" s="143">
        <f>'Indirect Lookup'!K2</f>
        <v>0</v>
      </c>
      <c r="K6" s="143" t="str">
        <f>'Indirect Lookup'!L2</f>
        <v>IS</v>
      </c>
      <c r="L6" s="143" t="str">
        <f>'Indirect Lookup'!M2</f>
        <v>INTL</v>
      </c>
      <c r="M6" s="143">
        <f>'Indirect Lookup'!N2</f>
        <v>0</v>
      </c>
      <c r="N6" s="143">
        <f>'Indirect Lookup'!O2</f>
        <v>0</v>
      </c>
      <c r="O6" s="143">
        <f>'Indirect Lookup'!P2</f>
        <v>0</v>
      </c>
      <c r="P6" s="143">
        <f>'Indirect Lookup'!Q2</f>
        <v>0</v>
      </c>
      <c r="Q6" s="143">
        <f>'Indirect Lookup'!R2</f>
        <v>0</v>
      </c>
      <c r="R6" s="143">
        <f>'Indirect Lookup'!S2</f>
        <v>0</v>
      </c>
      <c r="S6" s="143">
        <f>'Indirect Lookup'!T2</f>
        <v>0</v>
      </c>
      <c r="T6" s="143">
        <f>'Indirect Lookup'!U2</f>
        <v>0</v>
      </c>
      <c r="U6" s="143">
        <f>'Indirect Lookup'!V2</f>
        <v>0</v>
      </c>
      <c r="V6" s="143">
        <f>'Indirect Lookup'!W2</f>
        <v>0</v>
      </c>
      <c r="W6" s="143">
        <f>'Indirect Lookup'!X2</f>
        <v>0</v>
      </c>
      <c r="X6" s="143">
        <f>'Indirect Lookup'!Y2</f>
        <v>0</v>
      </c>
      <c r="Y6" s="143">
        <f>'Indirect Lookup'!Z2</f>
        <v>0</v>
      </c>
      <c r="Z6" s="143">
        <f>'Indirect Lookup'!AA2</f>
        <v>0</v>
      </c>
      <c r="AA6" s="143">
        <f>'Indirect Lookup'!AB2</f>
        <v>0</v>
      </c>
      <c r="AB6" s="143">
        <f>'Indirect Lookup'!AC2</f>
        <v>0</v>
      </c>
      <c r="AC6" s="143">
        <f>'Indirect Lookup'!AD2</f>
        <v>0</v>
      </c>
      <c r="AD6" s="143">
        <f>'Indirect Lookup'!AE2</f>
        <v>0</v>
      </c>
      <c r="AH6" s="7"/>
      <c r="AI6" s="7"/>
      <c r="AJ6" s="7"/>
      <c r="AK6" s="7"/>
      <c r="AL6" s="7"/>
      <c r="AM6" s="7"/>
      <c r="AN6" s="7"/>
      <c r="AO6" s="7"/>
      <c r="AP6" s="852"/>
    </row>
    <row r="7" spans="1:42">
      <c r="A7" s="65"/>
      <c r="C7" s="8"/>
      <c r="D7" s="15" t="s">
        <v>20</v>
      </c>
      <c r="E7" s="99">
        <f>VLOOKUP(I40,'Esc Code'!$B$58:$C$92,2,FALSE)</f>
        <v>3.3000000000000002E-2</v>
      </c>
      <c r="F7" s="81"/>
      <c r="G7" s="10"/>
      <c r="H7" s="10"/>
      <c r="I7" s="737"/>
      <c r="J7" s="850"/>
      <c r="K7" s="850"/>
      <c r="L7" s="850"/>
      <c r="M7" s="850"/>
      <c r="N7" s="850"/>
      <c r="O7" s="850"/>
      <c r="P7" s="850"/>
      <c r="Q7" s="850"/>
      <c r="R7" s="850"/>
      <c r="S7" s="850"/>
      <c r="T7" s="850"/>
      <c r="U7" s="850"/>
      <c r="V7" s="850"/>
      <c r="W7" s="850"/>
      <c r="X7" s="850"/>
      <c r="Y7" s="850"/>
      <c r="Z7" s="737"/>
      <c r="AA7" s="737"/>
      <c r="AB7" s="737"/>
      <c r="AC7" s="737"/>
      <c r="AD7" s="737"/>
      <c r="AE7" s="737"/>
      <c r="AF7" s="737"/>
      <c r="AG7" s="737"/>
      <c r="AH7" s="737"/>
      <c r="AI7" s="849"/>
      <c r="AJ7" s="737"/>
      <c r="AK7" s="737"/>
      <c r="AL7" s="737"/>
      <c r="AM7" s="737"/>
      <c r="AN7" s="737"/>
    </row>
    <row r="8" spans="1:42">
      <c r="A8" s="65"/>
      <c r="B8" s="144"/>
      <c r="D8" s="15" t="s">
        <v>23</v>
      </c>
      <c r="E8" s="100" t="str">
        <f>VLOOKUP(E10,'Esc Code'!$D$45:$K$56,7,FALSE)</f>
        <v>Standard</v>
      </c>
      <c r="F8" s="47"/>
      <c r="T8" s="98"/>
      <c r="U8" s="98"/>
      <c r="V8" s="98"/>
      <c r="W8" s="98"/>
      <c r="X8" s="98"/>
      <c r="Y8" s="98"/>
    </row>
    <row r="9" spans="1:42">
      <c r="A9" s="65"/>
      <c r="B9" s="144"/>
      <c r="D9" s="15" t="s">
        <v>24</v>
      </c>
      <c r="E9" s="86">
        <v>40109</v>
      </c>
      <c r="F9" s="893"/>
      <c r="T9" s="98"/>
      <c r="U9" s="98"/>
      <c r="V9" s="98"/>
      <c r="W9" s="98"/>
      <c r="X9" s="98"/>
      <c r="Y9" s="98"/>
    </row>
    <row r="10" spans="1:42">
      <c r="A10" s="65"/>
      <c r="B10" s="144"/>
      <c r="D10" s="82" t="s">
        <v>21</v>
      </c>
      <c r="E10" s="83" t="s">
        <v>8</v>
      </c>
      <c r="F10" s="84" t="s">
        <v>22</v>
      </c>
      <c r="T10" s="98"/>
      <c r="U10" s="98"/>
      <c r="V10" s="98"/>
      <c r="W10" s="98"/>
      <c r="X10" s="98"/>
      <c r="Y10" s="98"/>
    </row>
    <row r="11" spans="1:42">
      <c r="A11" s="65"/>
      <c r="B11" s="144"/>
      <c r="D11" s="82"/>
      <c r="E11" s="84"/>
      <c r="F11" s="84"/>
      <c r="I11" s="102"/>
      <c r="Y11" s="98"/>
    </row>
    <row r="12" spans="1:42" hidden="1" outlineLevel="1">
      <c r="A12" s="65"/>
      <c r="B12" s="144"/>
      <c r="I12" s="56">
        <v>2008</v>
      </c>
      <c r="J12" s="85">
        <f t="shared" ref="J12:W12" si="0">+I12+1</f>
        <v>2009</v>
      </c>
      <c r="K12" s="85">
        <f t="shared" si="0"/>
        <v>2010</v>
      </c>
      <c r="L12" s="85">
        <f t="shared" si="0"/>
        <v>2011</v>
      </c>
      <c r="M12" s="85">
        <f t="shared" si="0"/>
        <v>2012</v>
      </c>
      <c r="N12" s="85">
        <f t="shared" si="0"/>
        <v>2013</v>
      </c>
      <c r="O12" s="85">
        <f t="shared" si="0"/>
        <v>2014</v>
      </c>
      <c r="P12" s="85">
        <f t="shared" si="0"/>
        <v>2015</v>
      </c>
      <c r="Q12" s="85">
        <f t="shared" si="0"/>
        <v>2016</v>
      </c>
      <c r="R12" s="85">
        <f t="shared" si="0"/>
        <v>2017</v>
      </c>
      <c r="S12" s="85">
        <f t="shared" si="0"/>
        <v>2018</v>
      </c>
      <c r="T12" s="85">
        <f t="shared" si="0"/>
        <v>2019</v>
      </c>
      <c r="U12" s="85">
        <f t="shared" si="0"/>
        <v>2020</v>
      </c>
      <c r="V12" s="85">
        <f t="shared" si="0"/>
        <v>2021</v>
      </c>
      <c r="W12" s="85">
        <f t="shared" si="0"/>
        <v>2022</v>
      </c>
      <c r="X12" s="85">
        <f>+W12+1</f>
        <v>2023</v>
      </c>
      <c r="Y12" s="98"/>
    </row>
    <row r="13" spans="1:42" hidden="1" outlineLevel="1">
      <c r="A13" s="65"/>
      <c r="B13" s="144"/>
      <c r="D13" s="15"/>
      <c r="E13" s="87"/>
      <c r="F13" s="87"/>
      <c r="I13" s="85">
        <f>VLOOKUP($E10,'Esc Code'!$D$45:$K$56,2,FALSE)</f>
        <v>4</v>
      </c>
      <c r="J13" s="85">
        <f>VLOOKUP($E10,'Esc Code'!$D$45:$K$56,2,FALSE)</f>
        <v>4</v>
      </c>
      <c r="K13" s="85">
        <f>VLOOKUP($E10,'Esc Code'!$D$45:$K$56,2,FALSE)</f>
        <v>4</v>
      </c>
      <c r="L13" s="85">
        <f>VLOOKUP($E10,'Esc Code'!$D$45:$K$56,2,FALSE)</f>
        <v>4</v>
      </c>
      <c r="M13" s="85">
        <f>VLOOKUP($E10,'Esc Code'!$D$45:$K$56,2,FALSE)</f>
        <v>4</v>
      </c>
      <c r="N13" s="85">
        <f>VLOOKUP($E10,'Esc Code'!$D$45:$K$56,2,FALSE)</f>
        <v>4</v>
      </c>
      <c r="O13" s="85">
        <f>VLOOKUP($E10,'Esc Code'!$D$45:$K$56,2,FALSE)</f>
        <v>4</v>
      </c>
      <c r="P13" s="85">
        <f>VLOOKUP($E10,'Esc Code'!$D$45:$K$56,2,FALSE)</f>
        <v>4</v>
      </c>
      <c r="Q13" s="85">
        <f>VLOOKUP($E10,'Esc Code'!$D$45:$K$56,2,FALSE)</f>
        <v>4</v>
      </c>
      <c r="R13" s="85">
        <f>VLOOKUP($E10,'Esc Code'!$D$45:$K$56,2,FALSE)</f>
        <v>4</v>
      </c>
      <c r="S13" s="85">
        <f>VLOOKUP($E10,'Esc Code'!$D$45:$K$56,2,FALSE)</f>
        <v>4</v>
      </c>
      <c r="T13" s="85">
        <f>VLOOKUP($E10,'Esc Code'!$D$45:$K$56,2,FALSE)</f>
        <v>4</v>
      </c>
      <c r="U13" s="85">
        <f>VLOOKUP($E10,'Esc Code'!$D$45:$K$56,2,FALSE)</f>
        <v>4</v>
      </c>
      <c r="V13" s="85">
        <f>VLOOKUP($E10,'Esc Code'!$D$45:$K$56,2,FALSE)</f>
        <v>4</v>
      </c>
      <c r="W13" s="85">
        <f>VLOOKUP($E10,'Esc Code'!$D$45:$K$56,2,FALSE)</f>
        <v>4</v>
      </c>
      <c r="X13" s="85">
        <f>VLOOKUP($E10,'Esc Code'!$D$45:$K$56,2,FALSE)</f>
        <v>4</v>
      </c>
      <c r="Y13" s="98"/>
    </row>
    <row r="14" spans="1:42" hidden="1" outlineLevel="1">
      <c r="A14" s="65"/>
      <c r="B14" s="144"/>
      <c r="D14" s="15"/>
      <c r="E14" s="87"/>
      <c r="F14" s="87"/>
      <c r="I14" s="85">
        <f>VLOOKUP($E10,'Esc Code'!$D$45:$K$56,3,FALSE)</f>
        <v>1</v>
      </c>
      <c r="J14" s="85">
        <f>VLOOKUP($E10,'Esc Code'!$D$45:$K$56,3,FALSE)</f>
        <v>1</v>
      </c>
      <c r="K14" s="85">
        <f>VLOOKUP($E10,'Esc Code'!$D$45:$K$56,3,FALSE)</f>
        <v>1</v>
      </c>
      <c r="L14" s="85">
        <f>VLOOKUP($E10,'Esc Code'!$D$45:$K$56,3,FALSE)</f>
        <v>1</v>
      </c>
      <c r="M14" s="85">
        <f>VLOOKUP($E10,'Esc Code'!$D$45:$K$56,3,FALSE)</f>
        <v>1</v>
      </c>
      <c r="N14" s="85">
        <f>VLOOKUP($E10,'Esc Code'!$D$45:$K$56,3,FALSE)</f>
        <v>1</v>
      </c>
      <c r="O14" s="85">
        <f>VLOOKUP($E10,'Esc Code'!$D$45:$K$56,3,FALSE)</f>
        <v>1</v>
      </c>
      <c r="P14" s="85">
        <f>VLOOKUP($E10,'Esc Code'!$D$45:$K$56,3,FALSE)</f>
        <v>1</v>
      </c>
      <c r="Q14" s="85">
        <f>VLOOKUP($E10,'Esc Code'!$D$45:$K$56,3,FALSE)</f>
        <v>1</v>
      </c>
      <c r="R14" s="85">
        <f>VLOOKUP($E10,'Esc Code'!$D$45:$K$56,3,FALSE)</f>
        <v>1</v>
      </c>
      <c r="S14" s="85">
        <f>VLOOKUP($E10,'Esc Code'!$D$45:$K$56,3,FALSE)</f>
        <v>1</v>
      </c>
      <c r="T14" s="85">
        <f>VLOOKUP($E10,'Esc Code'!$D$45:$K$56,3,FALSE)</f>
        <v>1</v>
      </c>
      <c r="U14" s="85">
        <f>VLOOKUP($E10,'Esc Code'!$D$45:$K$56,3,FALSE)</f>
        <v>1</v>
      </c>
      <c r="V14" s="85">
        <f>VLOOKUP($E10,'Esc Code'!$D$45:$K$56,3,FALSE)</f>
        <v>1</v>
      </c>
      <c r="W14" s="85">
        <f>VLOOKUP($E10,'Esc Code'!$D$45:$K$56,3,FALSE)</f>
        <v>1</v>
      </c>
      <c r="X14" s="85">
        <f>VLOOKUP($E10,'Esc Code'!$D$45:$K$56,3,FALSE)</f>
        <v>1</v>
      </c>
      <c r="Y14" s="98"/>
    </row>
    <row r="15" spans="1:42" hidden="1" outlineLevel="1">
      <c r="A15" s="65"/>
      <c r="B15" s="144"/>
      <c r="D15" s="15"/>
      <c r="E15" s="87"/>
      <c r="F15" s="87"/>
      <c r="I15" s="85">
        <f>IF(VLOOKUP($E10,'Esc Code'!$D$45:$K$56,6,FALSE)="Yes",I12+1,I12)</f>
        <v>2009</v>
      </c>
      <c r="J15" s="85">
        <f>IF(VLOOKUP($E10,'Esc Code'!$D$45:$K$56,6,FALSE)="Yes",J12+1,J12)</f>
        <v>2010</v>
      </c>
      <c r="K15" s="85">
        <f>IF(VLOOKUP($E10,'Esc Code'!$D$45:$K$56,6,FALSE)="Yes",K12+1,K12)</f>
        <v>2011</v>
      </c>
      <c r="L15" s="85">
        <f>IF(VLOOKUP($E10,'Esc Code'!$D$45:$K$56,6,FALSE)="Yes",L12+1,L12)</f>
        <v>2012</v>
      </c>
      <c r="M15" s="85">
        <f>IF(VLOOKUP($E10,'Esc Code'!$D$45:$K$56,6,FALSE)="Yes",M12+1,M12)</f>
        <v>2013</v>
      </c>
      <c r="N15" s="85">
        <f>IF(VLOOKUP($E10,'Esc Code'!$D$45:$K$56,6,FALSE)="Yes",N12+1,N12)</f>
        <v>2014</v>
      </c>
      <c r="O15" s="85">
        <f>IF(VLOOKUP($E10,'Esc Code'!$D$45:$K$56,6,FALSE)="Yes",O12+1,O12)</f>
        <v>2015</v>
      </c>
      <c r="P15" s="85">
        <f>IF(VLOOKUP($E10,'Esc Code'!$D$45:$K$56,6,FALSE)="Yes",P12+1,P12)</f>
        <v>2016</v>
      </c>
      <c r="Q15" s="85">
        <f>IF(VLOOKUP($E10,'Esc Code'!$D$45:$K$56,6,FALSE)="Yes",Q12+1,Q12)</f>
        <v>2017</v>
      </c>
      <c r="R15" s="85">
        <f>IF(VLOOKUP($E10,'Esc Code'!$D$45:$K$56,6,FALSE)="Yes",R12+1,R12)</f>
        <v>2018</v>
      </c>
      <c r="S15" s="85">
        <f>IF(VLOOKUP($E10,'Esc Code'!$D$45:$K$56,6,FALSE)="Yes",S12+1,S12)</f>
        <v>2019</v>
      </c>
      <c r="T15" s="85">
        <f>IF(VLOOKUP($E10,'Esc Code'!$D$45:$K$56,6,FALSE)="Yes",T12+1,T12)</f>
        <v>2020</v>
      </c>
      <c r="U15" s="85">
        <f>IF(VLOOKUP($E10,'Esc Code'!$D$45:$K$56,6,FALSE)="Yes",U12+1,U12)</f>
        <v>2021</v>
      </c>
      <c r="V15" s="85">
        <f>IF(VLOOKUP($E10,'Esc Code'!$D$45:$K$56,6,FALSE)="Yes",V12+1,V12)</f>
        <v>2022</v>
      </c>
      <c r="W15" s="85">
        <f>IF(VLOOKUP($E10,'Esc Code'!$D$45:$K$56,6,FALSE)="Yes",W12+1,W12)</f>
        <v>2023</v>
      </c>
      <c r="X15" s="85">
        <f>IF(VLOOKUP($E10,'Esc Code'!$D$45:$K$56,6,FALSE)="Yes",X12+1,X12)</f>
        <v>2024</v>
      </c>
      <c r="Y15" s="98"/>
    </row>
    <row r="16" spans="1:42" hidden="1" outlineLevel="1">
      <c r="A16" s="65"/>
      <c r="B16" s="144"/>
      <c r="D16" s="15"/>
      <c r="E16" s="87"/>
      <c r="F16" s="87"/>
      <c r="I16" s="85">
        <f>VLOOKUP($E10,'Esc Code'!$D$45:$K$56,4,FALSE)</f>
        <v>3</v>
      </c>
      <c r="J16" s="85">
        <f>VLOOKUP($E10,'Esc Code'!$D$45:$K$56,4,FALSE)</f>
        <v>3</v>
      </c>
      <c r="K16" s="85">
        <f>VLOOKUP($E10,'Esc Code'!$D$45:$K$56,4,FALSE)</f>
        <v>3</v>
      </c>
      <c r="L16" s="85">
        <f>VLOOKUP($E10,'Esc Code'!$D$45:$K$56,4,FALSE)</f>
        <v>3</v>
      </c>
      <c r="M16" s="85">
        <f>VLOOKUP($E10,'Esc Code'!$D$45:$K$56,4,FALSE)</f>
        <v>3</v>
      </c>
      <c r="N16" s="85">
        <f>VLOOKUP($E10,'Esc Code'!$D$45:$K$56,4,FALSE)</f>
        <v>3</v>
      </c>
      <c r="O16" s="85">
        <f>VLOOKUP($E10,'Esc Code'!$D$45:$K$56,4,FALSE)</f>
        <v>3</v>
      </c>
      <c r="P16" s="85">
        <f>VLOOKUP($E10,'Esc Code'!$D$45:$K$56,4,FALSE)</f>
        <v>3</v>
      </c>
      <c r="Q16" s="85">
        <f>VLOOKUP($E10,'Esc Code'!$D$45:$K$56,4,FALSE)</f>
        <v>3</v>
      </c>
      <c r="R16" s="85">
        <f>VLOOKUP($E10,'Esc Code'!$D$45:$K$56,4,FALSE)</f>
        <v>3</v>
      </c>
      <c r="S16" s="85">
        <f>VLOOKUP($E10,'Esc Code'!$D$45:$K$56,4,FALSE)</f>
        <v>3</v>
      </c>
      <c r="T16" s="85">
        <f>VLOOKUP($E10,'Esc Code'!$D$45:$K$56,4,FALSE)</f>
        <v>3</v>
      </c>
      <c r="U16" s="85">
        <f>VLOOKUP($E10,'Esc Code'!$D$45:$K$56,4,FALSE)</f>
        <v>3</v>
      </c>
      <c r="V16" s="85">
        <f>VLOOKUP($E10,'Esc Code'!$D$45:$K$56,4,FALSE)</f>
        <v>3</v>
      </c>
      <c r="W16" s="85">
        <f>VLOOKUP($E10,'Esc Code'!$D$45:$K$56,4,FALSE)</f>
        <v>3</v>
      </c>
      <c r="X16" s="85">
        <f>VLOOKUP($E10,'Esc Code'!$D$45:$K$56,4,FALSE)</f>
        <v>3</v>
      </c>
      <c r="Y16" s="98"/>
    </row>
    <row r="17" spans="1:25" hidden="1" outlineLevel="1">
      <c r="A17" s="65"/>
      <c r="B17" s="144"/>
      <c r="D17" s="15"/>
      <c r="E17" s="87"/>
      <c r="F17" s="87"/>
      <c r="I17" s="85">
        <f>VLOOKUP($E10,'Esc Code'!$D$45:$K$56,5,FALSE)</f>
        <v>31</v>
      </c>
      <c r="J17" s="85">
        <f>VLOOKUP($E10,'Esc Code'!$D$45:$K$56,5,FALSE)</f>
        <v>31</v>
      </c>
      <c r="K17" s="85">
        <f>VLOOKUP($E10,'Esc Code'!$D$45:$K$56,5,FALSE)</f>
        <v>31</v>
      </c>
      <c r="L17" s="85">
        <f>VLOOKUP($E10,'Esc Code'!$D$45:$K$56,5,FALSE)</f>
        <v>31</v>
      </c>
      <c r="M17" s="85">
        <f>VLOOKUP($E10,'Esc Code'!$D$45:$K$56,5,FALSE)</f>
        <v>31</v>
      </c>
      <c r="N17" s="85">
        <f>VLOOKUP($E10,'Esc Code'!$D$45:$K$56,5,FALSE)</f>
        <v>31</v>
      </c>
      <c r="O17" s="85">
        <f>VLOOKUP($E10,'Esc Code'!$D$45:$K$56,5,FALSE)</f>
        <v>31</v>
      </c>
      <c r="P17" s="85">
        <f>VLOOKUP($E10,'Esc Code'!$D$45:$K$56,5,FALSE)</f>
        <v>31</v>
      </c>
      <c r="Q17" s="85">
        <f>VLOOKUP($E10,'Esc Code'!$D$45:$K$56,5,FALSE)</f>
        <v>31</v>
      </c>
      <c r="R17" s="85">
        <f>VLOOKUP($E10,'Esc Code'!$D$45:$K$56,5,FALSE)</f>
        <v>31</v>
      </c>
      <c r="S17" s="85">
        <f>VLOOKUP($E10,'Esc Code'!$D$45:$K$56,5,FALSE)</f>
        <v>31</v>
      </c>
      <c r="T17" s="85">
        <f>VLOOKUP($E10,'Esc Code'!$D$45:$K$56,5,FALSE)</f>
        <v>31</v>
      </c>
      <c r="U17" s="85">
        <f>VLOOKUP($E10,'Esc Code'!$D$45:$K$56,5,FALSE)</f>
        <v>31</v>
      </c>
      <c r="V17" s="85">
        <f>VLOOKUP($E10,'Esc Code'!$D$45:$K$56,5,FALSE)</f>
        <v>31</v>
      </c>
      <c r="W17" s="85">
        <f>VLOOKUP($E10,'Esc Code'!$D$45:$K$56,5,FALSE)</f>
        <v>31</v>
      </c>
      <c r="X17" s="85">
        <f>VLOOKUP($E10,'Esc Code'!$D$45:$K$56,5,FALSE)</f>
        <v>31</v>
      </c>
      <c r="Y17" s="98"/>
    </row>
    <row r="18" spans="1:25" hidden="1" outlineLevel="1">
      <c r="A18" s="65"/>
      <c r="B18" s="144"/>
      <c r="D18" s="15"/>
      <c r="E18" s="103"/>
      <c r="F18" s="50"/>
      <c r="G18" s="14" t="s">
        <v>25</v>
      </c>
      <c r="I18" s="80">
        <f>IF(OR((I19=$E9),(I19&gt;$E9)),F9+1,0)</f>
        <v>0</v>
      </c>
      <c r="J18" s="80">
        <f t="shared" ref="J18:W18" si="1">IF(OR((J19=$E9),(J19&gt;$E9)),I18+1,0)</f>
        <v>0</v>
      </c>
      <c r="K18" s="80">
        <f t="shared" si="1"/>
        <v>1</v>
      </c>
      <c r="L18" s="80">
        <f t="shared" si="1"/>
        <v>2</v>
      </c>
      <c r="M18" s="80">
        <f t="shared" si="1"/>
        <v>3</v>
      </c>
      <c r="N18" s="80">
        <f t="shared" si="1"/>
        <v>4</v>
      </c>
      <c r="O18" s="80">
        <f t="shared" si="1"/>
        <v>5</v>
      </c>
      <c r="P18" s="80">
        <f t="shared" si="1"/>
        <v>6</v>
      </c>
      <c r="Q18" s="80">
        <f t="shared" si="1"/>
        <v>7</v>
      </c>
      <c r="R18" s="80">
        <f t="shared" si="1"/>
        <v>8</v>
      </c>
      <c r="S18" s="80">
        <f t="shared" si="1"/>
        <v>9</v>
      </c>
      <c r="T18" s="80">
        <f t="shared" si="1"/>
        <v>10</v>
      </c>
      <c r="U18" s="80">
        <f t="shared" si="1"/>
        <v>11</v>
      </c>
      <c r="V18" s="80">
        <f t="shared" si="1"/>
        <v>12</v>
      </c>
      <c r="W18" s="80">
        <f t="shared" si="1"/>
        <v>13</v>
      </c>
      <c r="X18" s="80">
        <f>IF(OR((X19=$E9),(X19&gt;$E9)),W18+1,0)</f>
        <v>14</v>
      </c>
      <c r="Y18" s="98"/>
    </row>
    <row r="19" spans="1:25" collapsed="1">
      <c r="A19" s="65"/>
      <c r="B19" s="144"/>
      <c r="D19" s="15" t="s">
        <v>26</v>
      </c>
      <c r="E19" s="104">
        <f>HLOOKUP(1,$G$18:$X$19,2,FALSE)</f>
        <v>40269</v>
      </c>
      <c r="F19" s="87"/>
      <c r="G19" s="88" t="s">
        <v>2</v>
      </c>
      <c r="I19" s="73">
        <f>VLOOKUP($E10&amp;$G19,'Esc Code'!$D$4:$X$44,2,FALSE)</f>
        <v>39539</v>
      </c>
      <c r="J19" s="73">
        <f>VLOOKUP($E10&amp;$G19,'Esc Code'!$D$4:$X$44,3,FALSE)</f>
        <v>39904</v>
      </c>
      <c r="K19" s="73">
        <f>VLOOKUP($E10&amp;$G19,'Esc Code'!$D$4:$X$44,4,FALSE)</f>
        <v>40269</v>
      </c>
      <c r="L19" s="73">
        <f>VLOOKUP($E10&amp;$G19,'Esc Code'!$D$4:$X$44,5,FALSE)</f>
        <v>40634</v>
      </c>
      <c r="M19" s="73">
        <f>VLOOKUP($E10&amp;$G19,'Esc Code'!$D$4:$X$44,6,FALSE)</f>
        <v>41000</v>
      </c>
      <c r="N19" s="73">
        <f>VLOOKUP($E10&amp;$G19,'Esc Code'!$D$4:$X$44,7,FALSE)</f>
        <v>41365</v>
      </c>
      <c r="O19" s="73">
        <f>VLOOKUP($E10&amp;$G19,'Esc Code'!$D$4:$X$44,8,FALSE)</f>
        <v>41730</v>
      </c>
      <c r="P19" s="73">
        <f>VLOOKUP($E10&amp;$G19,'Esc Code'!$D$4:$X$44,9,FALSE)</f>
        <v>42095</v>
      </c>
      <c r="Q19" s="73">
        <f>VLOOKUP($E10&amp;$G19,'Esc Code'!$D$4:$X$44,10,FALSE)</f>
        <v>42461</v>
      </c>
      <c r="R19" s="73">
        <f>VLOOKUP($E10&amp;$G19,'Esc Code'!$D$4:$X$44,11,FALSE)</f>
        <v>42826</v>
      </c>
      <c r="S19" s="73">
        <f>VLOOKUP($E10&amp;$G19,'Esc Code'!$D$4:$X$44,12,FALSE)</f>
        <v>43191</v>
      </c>
      <c r="T19" s="73">
        <f>VLOOKUP($E10&amp;$G19,'Esc Code'!$D$4:$X$44,13,FALSE)</f>
        <v>43556</v>
      </c>
      <c r="U19" s="73">
        <f>VLOOKUP($E10&amp;$G19,'Esc Code'!$D$4:$X$44,14,FALSE)</f>
        <v>43922</v>
      </c>
      <c r="V19" s="73">
        <f>VLOOKUP($E10&amp;$G19,'Esc Code'!$D$4:$X$44,15,FALSE)</f>
        <v>44287</v>
      </c>
      <c r="W19" s="73">
        <f>VLOOKUP($E10&amp;$G19,'Esc Code'!$D$4:$X$44,16,FALSE)</f>
        <v>44652</v>
      </c>
      <c r="X19" s="73">
        <f>VLOOKUP($E10&amp;$G19,'Esc Code'!$D$4:$X$44,16,FALSE)</f>
        <v>44652</v>
      </c>
      <c r="Y19" s="721"/>
    </row>
    <row r="20" spans="1:25">
      <c r="A20" s="65"/>
      <c r="B20" s="144"/>
      <c r="E20" s="7"/>
      <c r="G20" s="88" t="s">
        <v>3</v>
      </c>
      <c r="I20" s="73">
        <f>VLOOKUP($E10&amp;$G20,'Esc Code'!$D$4:$X$44,2,FALSE)</f>
        <v>39903</v>
      </c>
      <c r="J20" s="73">
        <f>VLOOKUP($E10&amp;$G20,'Esc Code'!$D$4:$X$44,3,FALSE)</f>
        <v>40268</v>
      </c>
      <c r="K20" s="73">
        <f>VLOOKUP($E10&amp;$G20,'Esc Code'!$D$4:$X$44,4,FALSE)</f>
        <v>40633</v>
      </c>
      <c r="L20" s="73">
        <f>VLOOKUP($E10&amp;$G20,'Esc Code'!$D$4:$X$44,5,FALSE)</f>
        <v>40999</v>
      </c>
      <c r="M20" s="73">
        <f>VLOOKUP($E10&amp;$G20,'Esc Code'!$D$4:$X$44,6,FALSE)</f>
        <v>41364</v>
      </c>
      <c r="N20" s="73">
        <f>VLOOKUP($E10&amp;$G20,'Esc Code'!$D$4:$X$44,7,FALSE)</f>
        <v>41729</v>
      </c>
      <c r="O20" s="73">
        <f>VLOOKUP($E10&amp;$G20,'Esc Code'!$D$4:$X$44,8,FALSE)</f>
        <v>42094</v>
      </c>
      <c r="P20" s="73">
        <f>VLOOKUP($E10&amp;$G20,'Esc Code'!$D$4:$X$44,9,FALSE)</f>
        <v>42460</v>
      </c>
      <c r="Q20" s="73">
        <f>VLOOKUP($E10&amp;$G20,'Esc Code'!$D$4:$X$44,10,FALSE)</f>
        <v>42825</v>
      </c>
      <c r="R20" s="73">
        <f>VLOOKUP($E10&amp;$G20,'Esc Code'!$D$4:$X$44,11,FALSE)</f>
        <v>43190</v>
      </c>
      <c r="S20" s="73">
        <f>VLOOKUP($E10&amp;$G20,'Esc Code'!$D$4:$X$44,12,FALSE)</f>
        <v>43555</v>
      </c>
      <c r="T20" s="73">
        <f>VLOOKUP($E10&amp;$G20,'Esc Code'!$D$4:$X$44,13,FALSE)</f>
        <v>43921</v>
      </c>
      <c r="U20" s="73">
        <f>VLOOKUP($E10&amp;$G20,'Esc Code'!$D$4:$X$44,14,FALSE)</f>
        <v>44286</v>
      </c>
      <c r="V20" s="73">
        <f>VLOOKUP($E10&amp;$G20,'Esc Code'!$D$4:$X$44,15,FALSE)</f>
        <v>44651</v>
      </c>
      <c r="W20" s="73">
        <f>VLOOKUP($E10&amp;$G20,'Esc Code'!$D$4:$X$44,16,FALSE)</f>
        <v>45016</v>
      </c>
      <c r="X20" s="73">
        <f>VLOOKUP($E10&amp;$G20,'Esc Code'!$D$4:$X$44,16,FALSE)</f>
        <v>45016</v>
      </c>
      <c r="Y20" s="721"/>
    </row>
    <row r="21" spans="1:25" ht="25.5">
      <c r="A21" s="65"/>
      <c r="B21" s="144"/>
      <c r="C21" s="89" t="s">
        <v>27</v>
      </c>
      <c r="D21" s="90" t="s">
        <v>587</v>
      </c>
      <c r="E21" s="90" t="s">
        <v>588</v>
      </c>
      <c r="F21" s="89" t="s">
        <v>28</v>
      </c>
      <c r="G21" s="90" t="s">
        <v>654</v>
      </c>
      <c r="H21" s="76"/>
      <c r="I21" s="91">
        <f t="shared" ref="I21:W21" si="2">IF(I19="n/a","",(1+$E7)^I18)</f>
        <v>1</v>
      </c>
      <c r="J21" s="91">
        <f t="shared" si="2"/>
        <v>1</v>
      </c>
      <c r="K21" s="91">
        <f t="shared" si="2"/>
        <v>1.0329999999999999</v>
      </c>
      <c r="L21" s="91">
        <f t="shared" si="2"/>
        <v>1.0670889999999997</v>
      </c>
      <c r="M21" s="91">
        <f t="shared" si="2"/>
        <v>1.1023029369999997</v>
      </c>
      <c r="N21" s="91">
        <f t="shared" si="2"/>
        <v>1.1386789339209995</v>
      </c>
      <c r="O21" s="91">
        <f t="shared" si="2"/>
        <v>1.1762553387403925</v>
      </c>
      <c r="P21" s="91">
        <f t="shared" si="2"/>
        <v>1.2150717649188252</v>
      </c>
      <c r="Q21" s="91">
        <f t="shared" si="2"/>
        <v>1.2551691331611463</v>
      </c>
      <c r="R21" s="91">
        <f t="shared" si="2"/>
        <v>1.2965897145554639</v>
      </c>
      <c r="S21" s="91">
        <f t="shared" si="2"/>
        <v>1.3393771751357941</v>
      </c>
      <c r="T21" s="91">
        <f t="shared" si="2"/>
        <v>1.383576621915275</v>
      </c>
      <c r="U21" s="91">
        <f t="shared" si="2"/>
        <v>1.4292346504384792</v>
      </c>
      <c r="V21" s="91">
        <f t="shared" si="2"/>
        <v>1.4763993939029487</v>
      </c>
      <c r="W21" s="91">
        <f t="shared" si="2"/>
        <v>1.5251205739017459</v>
      </c>
      <c r="X21" s="91">
        <f>IF(X19="n/a","",(1+$E7)^X18)</f>
        <v>1.5754495528405033</v>
      </c>
      <c r="Y21" s="721"/>
    </row>
    <row r="22" spans="1:25">
      <c r="A22" s="196" t="str">
        <f>C22&amp;I40</f>
        <v>Base YearIS</v>
      </c>
      <c r="B22" s="196"/>
      <c r="C22" s="92" t="s">
        <v>665</v>
      </c>
      <c r="D22" s="105">
        <v>40179</v>
      </c>
      <c r="E22" s="105">
        <f>D22+364</f>
        <v>40543</v>
      </c>
      <c r="F22" s="106" t="str">
        <f>IF(AND(($E8="MidPoint"),(ROUND(((D22-$E9)/30.41667),0)+ROUNDUP(((E22-D22)/30.41667/2),0)&gt;0)),ROUND(((D22-$E9)/30.41667),0)+ROUNDUP(((E22-D22)/30.41667/2),0),"DO NOT DELETE")</f>
        <v>DO NOT DELETE</v>
      </c>
      <c r="G22" s="93">
        <f>IF($E22-$D22&lt;0,"&lt;&lt; Check Dates",IF(AND(($E8="MidPoint"),(E22&lt;&gt;"")),((1+$E7)^(INT(F22/12)))*(((F22/12-INT(F22/12))*$E7)+1),IF(SUM($H22:$X22)=0,"",SUMPRODUCT($H21:$X21,$H22:$X22)/SUM($H22:$X22))))</f>
        <v>1.0247499999999998</v>
      </c>
      <c r="H22" s="94"/>
      <c r="I22" s="56" t="str">
        <f t="shared" ref="I22:X22" si="3">IF(OR((I21=""),($E22=""),(ROUND((MAX(0,(MIN($E22,DATE(I15,I16,I17))-MAX($D22,DATE(I12,I13,I14))+1)))/30.41667,0)=0)),"---",ROUND((MAX(0,(MIN($E22,DATE(I15,I16,I17))-MAX($D22,DATE(I12,I13,I14))+1)))/30.41667,0))</f>
        <v>---</v>
      </c>
      <c r="J22" s="56">
        <f>IF(OR((J21=""),($E22=""),(ROUND((MAX(0,(MIN($E22,DATE(J15,J16,J17))-MAX($D22,DATE(J12,J13,J14))+1)))/30.41667,0)=0)),"---",ROUND((MAX(0,(MIN($E22,DATE(J15,J16,J17))-MAX($D22,DATE(J12,J13,J14))+1)))/30.41667,0))</f>
        <v>3</v>
      </c>
      <c r="K22" s="56">
        <f t="shared" si="3"/>
        <v>9</v>
      </c>
      <c r="L22" s="56" t="str">
        <f t="shared" si="3"/>
        <v>---</v>
      </c>
      <c r="M22" s="56" t="str">
        <f t="shared" si="3"/>
        <v>---</v>
      </c>
      <c r="N22" s="56" t="str">
        <f t="shared" si="3"/>
        <v>---</v>
      </c>
      <c r="O22" s="56" t="str">
        <f t="shared" si="3"/>
        <v>---</v>
      </c>
      <c r="P22" s="56" t="str">
        <f t="shared" si="3"/>
        <v>---</v>
      </c>
      <c r="Q22" s="56" t="str">
        <f t="shared" si="3"/>
        <v>---</v>
      </c>
      <c r="R22" s="56" t="str">
        <f t="shared" si="3"/>
        <v>---</v>
      </c>
      <c r="S22" s="56" t="str">
        <f t="shared" si="3"/>
        <v>---</v>
      </c>
      <c r="T22" s="56" t="str">
        <f t="shared" si="3"/>
        <v>---</v>
      </c>
      <c r="U22" s="56" t="str">
        <f t="shared" si="3"/>
        <v>---</v>
      </c>
      <c r="V22" s="56" t="str">
        <f t="shared" si="3"/>
        <v>---</v>
      </c>
      <c r="W22" s="56" t="str">
        <f t="shared" si="3"/>
        <v>---</v>
      </c>
      <c r="X22" s="56" t="str">
        <f t="shared" si="3"/>
        <v>---</v>
      </c>
      <c r="Y22" s="721"/>
    </row>
    <row r="23" spans="1:25">
      <c r="A23" s="196" t="str">
        <f>C23&amp;I40</f>
        <v>Option Year 1IS</v>
      </c>
      <c r="B23" s="196"/>
      <c r="C23" s="92" t="s">
        <v>713</v>
      </c>
      <c r="D23" s="105">
        <f>E22+1</f>
        <v>40544</v>
      </c>
      <c r="E23" s="105">
        <f>D23+364</f>
        <v>40908</v>
      </c>
      <c r="F23" s="106" t="str">
        <f>IF(AND(($E8="MidPoint"),(ROUND(((D23-$E9)/30.41667),0)+ROUNDUP(((E23-D23)/30.41667/2),0)&gt;0)),ROUND(((D23-$E9)/30.41667),0)+ROUNDUP(((E23-D23)/30.41667/2),0),"DO NOT DELETE")</f>
        <v>DO NOT DELETE</v>
      </c>
      <c r="G23" s="93">
        <f>IF($E23-$D23&lt;0,"&lt;&lt; Check Dates",IF(AND(($E8="MidPoint"),(E23&lt;&gt;"")),((1+$E7)^(INT(F23/12)))*(((F23/12-INT(F23/12))*$E7)+1),IF(SUM($H23:$X23)=0,"",SUMPRODUCT($H21:$X21,$H23:$X23)/SUM($H23:$X23))))</f>
        <v>1.0585667499999998</v>
      </c>
      <c r="H23" s="94"/>
      <c r="I23" s="56" t="str">
        <f t="shared" ref="I23:W23" si="4">IF(OR((I21=""),($E23=""),(ROUND((MAX(0,(MIN($E23,DATE(I15,I16,I17))-MAX($D23,DATE(I12,I13,I14))+1)))/30.41667,0)=0)),"---",ROUND((MAX(0,(MIN($E23,DATE(I15,I16,I17))-MAX($D23,DATE(I12,I13,I14))+1)))/30.41667,0))</f>
        <v>---</v>
      </c>
      <c r="J23" s="56" t="str">
        <f t="shared" si="4"/>
        <v>---</v>
      </c>
      <c r="K23" s="56">
        <f t="shared" si="4"/>
        <v>3</v>
      </c>
      <c r="L23" s="56">
        <f t="shared" si="4"/>
        <v>9</v>
      </c>
      <c r="M23" s="56" t="str">
        <f t="shared" si="4"/>
        <v>---</v>
      </c>
      <c r="N23" s="56" t="str">
        <f t="shared" si="4"/>
        <v>---</v>
      </c>
      <c r="O23" s="56" t="str">
        <f t="shared" si="4"/>
        <v>---</v>
      </c>
      <c r="P23" s="56" t="str">
        <f t="shared" si="4"/>
        <v>---</v>
      </c>
      <c r="Q23" s="56" t="str">
        <f t="shared" si="4"/>
        <v>---</v>
      </c>
      <c r="R23" s="56" t="str">
        <f t="shared" si="4"/>
        <v>---</v>
      </c>
      <c r="S23" s="56" t="str">
        <f t="shared" si="4"/>
        <v>---</v>
      </c>
      <c r="T23" s="56" t="str">
        <f t="shared" si="4"/>
        <v>---</v>
      </c>
      <c r="U23" s="56" t="str">
        <f t="shared" si="4"/>
        <v>---</v>
      </c>
      <c r="V23" s="56" t="str">
        <f t="shared" si="4"/>
        <v>---</v>
      </c>
      <c r="W23" s="56" t="str">
        <f t="shared" si="4"/>
        <v>---</v>
      </c>
      <c r="X23" s="56" t="str">
        <f>IF(OR((X21=""),($E23=""),(ROUND((MAX(0,(MIN($E23,DATE(X15,X16,X17))-MAX($D23,DATE(X12,X13,X14))+1)))/30.41667,0)=0)),"---",ROUND((MAX(0,(MIN($E23,DATE(X15,X16,X17))-MAX($D23,DATE(X12,X13,X14))+1)))/30.41667,0))</f>
        <v>---</v>
      </c>
      <c r="Y23" s="721"/>
    </row>
    <row r="24" spans="1:25">
      <c r="A24" s="196" t="str">
        <f>C24&amp;I40</f>
        <v>Option Year 2IS</v>
      </c>
      <c r="B24" s="196"/>
      <c r="C24" s="92" t="s">
        <v>714</v>
      </c>
      <c r="D24" s="105">
        <f t="shared" ref="D24:D36" si="5">E23+1</f>
        <v>40909</v>
      </c>
      <c r="E24" s="105">
        <v>41152</v>
      </c>
      <c r="F24" s="106" t="str">
        <f>IF(AND(($E8="MidPoint"),(ROUND(((D24-$E9)/30.41667),0)+ROUNDUP(((E24-D24)/30.41667/2),0)&gt;0)),ROUND(((D24-$E9)/30.41667),0)+ROUNDUP(((E24-D24)/30.41667/2),0),"DO NOT DELETE")</f>
        <v>DO NOT DELETE</v>
      </c>
      <c r="G24" s="93">
        <f>IF($E24-$D24&lt;0,"&lt;&lt; Check Dates",IF(AND(($E8="MidPoint"),(E24&lt;&gt;"")),((1+$E7)^(INT(F24/12)))*(((F24/12-INT(F24/12))*$E7)+1),IF(SUM($H24:$X24)=0,"",SUMPRODUCT($H21:$X21,$H24:$X24)/SUM($H24:$X24))))</f>
        <v>1.0890977106249997</v>
      </c>
      <c r="H24" s="94"/>
      <c r="I24" s="56" t="str">
        <f t="shared" ref="I24:W24" si="6">IF(OR((I21=""),($E24=""),(ROUND((MAX(0,(MIN($E24,DATE(I15,I16,I17))-MAX($D24,DATE(I12,I13,I14))+1)))/30.41667,0)=0)),"---",ROUND((MAX(0,(MIN($E24,DATE(I15,I16,I17))-MAX($D24,DATE(I12,I13,I14))+1)))/30.41667,0))</f>
        <v>---</v>
      </c>
      <c r="J24" s="56" t="str">
        <f t="shared" si="6"/>
        <v>---</v>
      </c>
      <c r="K24" s="56" t="str">
        <f t="shared" si="6"/>
        <v>---</v>
      </c>
      <c r="L24" s="56">
        <f t="shared" si="6"/>
        <v>3</v>
      </c>
      <c r="M24" s="56">
        <f t="shared" si="6"/>
        <v>5</v>
      </c>
      <c r="N24" s="56" t="str">
        <f t="shared" si="6"/>
        <v>---</v>
      </c>
      <c r="O24" s="56" t="str">
        <f t="shared" si="6"/>
        <v>---</v>
      </c>
      <c r="P24" s="56" t="str">
        <f t="shared" si="6"/>
        <v>---</v>
      </c>
      <c r="Q24" s="56" t="str">
        <f t="shared" si="6"/>
        <v>---</v>
      </c>
      <c r="R24" s="56" t="str">
        <f t="shared" si="6"/>
        <v>---</v>
      </c>
      <c r="S24" s="56" t="str">
        <f t="shared" si="6"/>
        <v>---</v>
      </c>
      <c r="T24" s="56" t="str">
        <f t="shared" si="6"/>
        <v>---</v>
      </c>
      <c r="U24" s="56" t="str">
        <f t="shared" si="6"/>
        <v>---</v>
      </c>
      <c r="V24" s="56" t="str">
        <f t="shared" si="6"/>
        <v>---</v>
      </c>
      <c r="W24" s="56" t="str">
        <f t="shared" si="6"/>
        <v>---</v>
      </c>
      <c r="X24" s="56" t="str">
        <f>IF(OR((X21=""),($E24=""),(ROUND((MAX(0,(MIN($E24,DATE(X15,X16,X17))-MAX($D24,DATE(X12,X13,X14))+1)))/30.41667,0)=0)),"---",ROUND((MAX(0,(MIN($E24,DATE(X15,X16,X17))-MAX($D24,DATE(X12,X13,X14))+1)))/30.41667,0))</f>
        <v>---</v>
      </c>
      <c r="Y24" s="721"/>
    </row>
    <row r="25" spans="1:25">
      <c r="A25" s="196" t="str">
        <f>C25&amp;I40</f>
        <v>Training and ProcessingIS</v>
      </c>
      <c r="B25" s="196"/>
      <c r="C25" s="92" t="s">
        <v>987</v>
      </c>
      <c r="D25" s="105">
        <f>D22</f>
        <v>40179</v>
      </c>
      <c r="E25" s="105">
        <f>E24</f>
        <v>41152</v>
      </c>
      <c r="F25" s="106" t="str">
        <f>IF(AND(($E8="MidPoint"),(ROUND(((D25-$E9)/30.41667),0)+ROUNDUP(((E25-D25)/30.41667/2),0)&gt;0)),ROUND(((D25-$E9)/30.41667),0)+ROUNDUP(((E25-D25)/30.41667/2),0),"DO NOT DELETE")</f>
        <v>DO NOT DELETE</v>
      </c>
      <c r="G25" s="93">
        <f>IF($E25-$D25&lt;0,"&lt;&lt; Check Dates",IF(AND(($E8="MidPoint"),(E25&lt;&gt;"")),((1+$E7)^(INT(F25/12)))*(((F25/12-INT(F25/12))*$E7)+1),IF(SUM($H25:$X25)=0,"",SUMPRODUCT($H21:$X21,$H25:$X25)/SUM($H25:$X25))))</f>
        <v>1.0535182089062498</v>
      </c>
      <c r="H25" s="94"/>
      <c r="I25" s="56" t="str">
        <f t="shared" ref="I25:W25" si="7">IF(OR((I21=""),($E25=""),(ROUND((MAX(0,(MIN($E25,DATE(I15,I16,I17))-MAX($D25,DATE(I12,I13,I14))+1)))/30.41667,0)=0)),"---",ROUND((MAX(0,(MIN($E25,DATE(I15,I16,I17))-MAX($D25,DATE(I12,I13,I14))+1)))/30.41667,0))</f>
        <v>---</v>
      </c>
      <c r="J25" s="56">
        <f t="shared" si="7"/>
        <v>3</v>
      </c>
      <c r="K25" s="56">
        <f t="shared" si="7"/>
        <v>12</v>
      </c>
      <c r="L25" s="56">
        <f t="shared" si="7"/>
        <v>12</v>
      </c>
      <c r="M25" s="56">
        <f t="shared" si="7"/>
        <v>5</v>
      </c>
      <c r="N25" s="56" t="str">
        <f t="shared" si="7"/>
        <v>---</v>
      </c>
      <c r="O25" s="56" t="str">
        <f t="shared" si="7"/>
        <v>---</v>
      </c>
      <c r="P25" s="56" t="str">
        <f t="shared" si="7"/>
        <v>---</v>
      </c>
      <c r="Q25" s="56" t="str">
        <f t="shared" si="7"/>
        <v>---</v>
      </c>
      <c r="R25" s="56" t="str">
        <f t="shared" si="7"/>
        <v>---</v>
      </c>
      <c r="S25" s="56" t="str">
        <f t="shared" si="7"/>
        <v>---</v>
      </c>
      <c r="T25" s="56" t="str">
        <f t="shared" si="7"/>
        <v>---</v>
      </c>
      <c r="U25" s="56" t="str">
        <f t="shared" si="7"/>
        <v>---</v>
      </c>
      <c r="V25" s="56" t="str">
        <f t="shared" si="7"/>
        <v>---</v>
      </c>
      <c r="W25" s="56" t="str">
        <f t="shared" si="7"/>
        <v>---</v>
      </c>
      <c r="X25" s="56" t="str">
        <f>IF(OR((X21=""),($E25=""),(ROUND((MAX(0,(MIN($E25,DATE(X15,X16,X17))-MAX($D25,DATE(X12,X13,X14))+1)))/30.41667,0)=0)),"---",ROUND((MAX(0,(MIN($E25,DATE(X15,X16,X17))-MAX($D25,DATE(X12,X13,X14))+1)))/30.41667,0))</f>
        <v>---</v>
      </c>
      <c r="Y25" s="721"/>
    </row>
    <row r="26" spans="1:25">
      <c r="A26" s="196" t="str">
        <f>C26&amp;I40</f>
        <v>IS</v>
      </c>
      <c r="B26" s="196"/>
      <c r="C26" s="92"/>
      <c r="D26" s="105"/>
      <c r="E26" s="105"/>
      <c r="F26" s="106" t="str">
        <f>IF(AND(($E8="MidPoint"),(ROUND(((D26-$E9)/30.41667),0)+ROUNDUP(((E26-D26)/30.41667/2),0)&gt;0)),ROUND(((D26-$E9)/30.41667),0)+ROUNDUP(((E26-D26)/30.41667/2),0),"DO NOT DELETE")</f>
        <v>DO NOT DELETE</v>
      </c>
      <c r="G26" s="93" t="str">
        <f>IF($E26-$D26&lt;0,"&lt;&lt; Check Dates",IF(AND(($E8="MidPoint"),(E26&lt;&gt;"")),((1+$E7)^(INT(F26/12)))*(((F26/12-INT(F26/12))*$E7)+1),IF(SUM($H26:$X26)=0,"",SUMPRODUCT($H21:$X21,$H26:$X26)/SUM($H26:$X26))))</f>
        <v/>
      </c>
      <c r="H26" s="94"/>
      <c r="I26" s="56" t="str">
        <f t="shared" ref="I26:W26" si="8">IF(OR((I21=""),($E26=""),(ROUND((MAX(0,(MIN($E26,DATE(I15,I16,I17))-MAX($D26,DATE(I12,I13,I14))+1)))/30.41667,0)=0)),"---",ROUND((MAX(0,(MIN($E26,DATE(I15,I16,I17))-MAX($D26,DATE(I12,I13,I14))+1)))/30.41667,0))</f>
        <v>---</v>
      </c>
      <c r="J26" s="56" t="str">
        <f t="shared" si="8"/>
        <v>---</v>
      </c>
      <c r="K26" s="56" t="str">
        <f t="shared" si="8"/>
        <v>---</v>
      </c>
      <c r="L26" s="56" t="str">
        <f t="shared" si="8"/>
        <v>---</v>
      </c>
      <c r="M26" s="56" t="str">
        <f t="shared" si="8"/>
        <v>---</v>
      </c>
      <c r="N26" s="56" t="str">
        <f t="shared" si="8"/>
        <v>---</v>
      </c>
      <c r="O26" s="56" t="str">
        <f t="shared" si="8"/>
        <v>---</v>
      </c>
      <c r="P26" s="56" t="str">
        <f t="shared" si="8"/>
        <v>---</v>
      </c>
      <c r="Q26" s="56" t="str">
        <f t="shared" si="8"/>
        <v>---</v>
      </c>
      <c r="R26" s="56" t="str">
        <f t="shared" si="8"/>
        <v>---</v>
      </c>
      <c r="S26" s="56" t="str">
        <f t="shared" si="8"/>
        <v>---</v>
      </c>
      <c r="T26" s="56" t="str">
        <f t="shared" si="8"/>
        <v>---</v>
      </c>
      <c r="U26" s="56" t="str">
        <f t="shared" si="8"/>
        <v>---</v>
      </c>
      <c r="V26" s="56" t="str">
        <f t="shared" si="8"/>
        <v>---</v>
      </c>
      <c r="W26" s="56" t="str">
        <f t="shared" si="8"/>
        <v>---</v>
      </c>
      <c r="X26" s="56" t="str">
        <f>IF(OR((X21=""),($E26=""),(ROUND((MAX(0,(MIN($E26,DATE(X15,X16,X17))-MAX($D26,DATE(X12,X13,X14))+1)))/30.41667,0)=0)),"---",ROUND((MAX(0,(MIN($E26,DATE(X15,X16,X17))-MAX($D26,DATE(X12,X13,X14))+1)))/30.41667,0))</f>
        <v>---</v>
      </c>
      <c r="Y26" s="721"/>
    </row>
    <row r="27" spans="1:25" hidden="1" outlineLevel="1">
      <c r="A27" s="196" t="str">
        <f>C27&amp;I40</f>
        <v>Option Year 5IS</v>
      </c>
      <c r="B27" s="196"/>
      <c r="C27" s="92" t="s">
        <v>725</v>
      </c>
      <c r="D27" s="105">
        <f t="shared" si="5"/>
        <v>1</v>
      </c>
      <c r="E27" s="105">
        <f>D27+364</f>
        <v>365</v>
      </c>
      <c r="F27" s="106" t="str">
        <f>IF(AND(($E8="MidPoint"),(ROUND(((D27-$E9)/30.41667),0)+ROUNDUP(((E27-D27)/30.41667/2),0)&gt;0)),ROUND(((D27-$E9)/30.41667),0)+ROUNDUP(((E27-D27)/30.41667/2),0),"DO NOT DELETE")</f>
        <v>DO NOT DELETE</v>
      </c>
      <c r="G27" s="93" t="str">
        <f>IF($E27-$D27&lt;0,"&lt;&lt; Check Dates",IF(AND(($E8="MidPoint"),(E27&lt;&gt;"")),((1+$E7)^(INT(F27/12)))*(((F27/12-INT(F27/12))*$E7)+1),IF(SUM($H27:$X27)=0,"",SUMPRODUCT($H21:$X21,$H27:$X27)/SUM($H27:$X27))))</f>
        <v/>
      </c>
      <c r="H27" s="94"/>
      <c r="I27" s="56" t="str">
        <f t="shared" ref="I27:W27" si="9">IF(OR((I21=""),($E27=""),(ROUND((MAX(0,(MIN($E27,DATE(I15,I16,I17))-MAX($D27,DATE(I12,I13,I14))+1)))/30.41667,0)=0)),"---",ROUND((MAX(0,(MIN($E27,DATE(I15,I16,I17))-MAX($D27,DATE(I12,I13,I14))+1)))/30.41667,0))</f>
        <v>---</v>
      </c>
      <c r="J27" s="56" t="str">
        <f t="shared" si="9"/>
        <v>---</v>
      </c>
      <c r="K27" s="56" t="str">
        <f t="shared" si="9"/>
        <v>---</v>
      </c>
      <c r="L27" s="56" t="str">
        <f t="shared" si="9"/>
        <v>---</v>
      </c>
      <c r="M27" s="56" t="str">
        <f t="shared" si="9"/>
        <v>---</v>
      </c>
      <c r="N27" s="56" t="str">
        <f t="shared" si="9"/>
        <v>---</v>
      </c>
      <c r="O27" s="56" t="str">
        <f t="shared" si="9"/>
        <v>---</v>
      </c>
      <c r="P27" s="56" t="str">
        <f t="shared" si="9"/>
        <v>---</v>
      </c>
      <c r="Q27" s="56" t="str">
        <f t="shared" si="9"/>
        <v>---</v>
      </c>
      <c r="R27" s="56" t="str">
        <f t="shared" si="9"/>
        <v>---</v>
      </c>
      <c r="S27" s="56" t="str">
        <f t="shared" si="9"/>
        <v>---</v>
      </c>
      <c r="T27" s="56" t="str">
        <f t="shared" si="9"/>
        <v>---</v>
      </c>
      <c r="U27" s="56" t="str">
        <f t="shared" si="9"/>
        <v>---</v>
      </c>
      <c r="V27" s="56" t="str">
        <f t="shared" si="9"/>
        <v>---</v>
      </c>
      <c r="W27" s="56" t="str">
        <f t="shared" si="9"/>
        <v>---</v>
      </c>
      <c r="X27" s="56" t="str">
        <f>IF(OR((X21=""),($E27=""),(ROUND((MAX(0,(MIN($E27,DATE(X15,X16,X17))-MAX($D27,DATE(X12,X13,X14))+1)))/30.41667,0)=0)),"---",ROUND((MAX(0,(MIN($E27,DATE(X15,X16,X17))-MAX($D27,DATE(X12,X13,X14))+1)))/30.41667,0))</f>
        <v>---</v>
      </c>
      <c r="Y27" s="721"/>
    </row>
    <row r="28" spans="1:25" hidden="1" outlineLevel="1">
      <c r="A28" s="196" t="str">
        <f>C28&amp;I40</f>
        <v>Option Year 6IS</v>
      </c>
      <c r="B28" s="196"/>
      <c r="C28" s="92" t="s">
        <v>29</v>
      </c>
      <c r="D28" s="105">
        <f t="shared" si="5"/>
        <v>366</v>
      </c>
      <c r="E28" s="105">
        <f>D28+364</f>
        <v>730</v>
      </c>
      <c r="F28" s="106" t="str">
        <f>IF(AND(($E8="MidPoint"),(ROUND(((D28-$E9)/30.41667),0)+ROUNDUP(((E28-D28)/30.41667/2),0)&gt;0)),ROUND(((D28-$E9)/30.41667),0)+ROUNDUP(((E28-D28)/30.41667/2),0),"DO NOT DELETE")</f>
        <v>DO NOT DELETE</v>
      </c>
      <c r="G28" s="93" t="str">
        <f>IF($E28-$D28&lt;0,"&lt;&lt; Check Dates",IF(AND(($E8="MidPoint"),(E28&lt;&gt;"")),((1+$E7)^(INT(F28/12)))*(((F28/12-INT(F28/12))*$E7)+1),IF(SUM($H28:$X28)=0,"",SUMPRODUCT($H21:$X21,$H28:$X28)/SUM($H28:$X28))))</f>
        <v/>
      </c>
      <c r="H28" s="94"/>
      <c r="I28" s="56" t="str">
        <f t="shared" ref="I28:W28" si="10">IF(OR((I21=""),($E28=""),(ROUND((MAX(0,(MIN($E28,DATE(I15,I16,I17))-MAX($D28,DATE(I12,I13,I14))+1)))/30.41667,0)=0)),"---",ROUND((MAX(0,(MIN($E28,DATE(I15,I16,I17))-MAX($D28,DATE(I12,I13,I14))+1)))/30.41667,0))</f>
        <v>---</v>
      </c>
      <c r="J28" s="56" t="str">
        <f t="shared" si="10"/>
        <v>---</v>
      </c>
      <c r="K28" s="56" t="str">
        <f t="shared" si="10"/>
        <v>---</v>
      </c>
      <c r="L28" s="56" t="str">
        <f t="shared" si="10"/>
        <v>---</v>
      </c>
      <c r="M28" s="56" t="str">
        <f t="shared" si="10"/>
        <v>---</v>
      </c>
      <c r="N28" s="56" t="str">
        <f t="shared" si="10"/>
        <v>---</v>
      </c>
      <c r="O28" s="56" t="str">
        <f t="shared" si="10"/>
        <v>---</v>
      </c>
      <c r="P28" s="56" t="str">
        <f t="shared" si="10"/>
        <v>---</v>
      </c>
      <c r="Q28" s="56" t="str">
        <f t="shared" si="10"/>
        <v>---</v>
      </c>
      <c r="R28" s="56" t="str">
        <f t="shared" si="10"/>
        <v>---</v>
      </c>
      <c r="S28" s="56" t="str">
        <f t="shared" si="10"/>
        <v>---</v>
      </c>
      <c r="T28" s="56" t="str">
        <f t="shared" si="10"/>
        <v>---</v>
      </c>
      <c r="U28" s="56" t="str">
        <f t="shared" si="10"/>
        <v>---</v>
      </c>
      <c r="V28" s="56" t="str">
        <f t="shared" si="10"/>
        <v>---</v>
      </c>
      <c r="W28" s="56" t="str">
        <f t="shared" si="10"/>
        <v>---</v>
      </c>
      <c r="X28" s="56" t="str">
        <f>IF(OR((X21=""),($E28=""),(ROUND((MAX(0,(MIN($E28,DATE(X15,X16,X17))-MAX($D28,DATE(X12,X13,X14))+1)))/30.41667,0)=0)),"---",ROUND((MAX(0,(MIN($E28,DATE(X15,X16,X17))-MAX($D28,DATE(X12,X13,X14))+1)))/30.41667,0))</f>
        <v>---</v>
      </c>
      <c r="Y28" s="721"/>
    </row>
    <row r="29" spans="1:25" hidden="1" outlineLevel="1">
      <c r="A29" s="196" t="str">
        <f>C29&amp;I40</f>
        <v>Option Year 7IS</v>
      </c>
      <c r="B29" s="196"/>
      <c r="C29" s="92" t="s">
        <v>30</v>
      </c>
      <c r="D29" s="105">
        <f t="shared" si="5"/>
        <v>731</v>
      </c>
      <c r="E29" s="105">
        <f>D29+365</f>
        <v>1096</v>
      </c>
      <c r="F29" s="106" t="str">
        <f>IF(AND(($E8="MidPoint"),(ROUND(((D29-$E9)/30.41667),0)+ROUNDUP(((E29-D29)/30.41667/2),0)&gt;0)),ROUND(((D29-$E9)/30.41667),0)+ROUNDUP(((E29-D29)/30.41667/2),0),"DO NOT DELETE")</f>
        <v>DO NOT DELETE</v>
      </c>
      <c r="G29" s="93" t="str">
        <f>IF($E29-$D29&lt;0,"&lt;&lt; Check Dates",IF(AND(($E8="MidPoint"),(E29&lt;&gt;"")),((1+$E7)^(INT(F29/12)))*(((F29/12-INT(F29/12))*$E7)+1),IF(SUM($H29:$X29)=0,"",SUMPRODUCT($H21:$X21,$H29:$X29)/SUM($H29:$X29))))</f>
        <v/>
      </c>
      <c r="H29" s="94"/>
      <c r="I29" s="56" t="str">
        <f t="shared" ref="I29:W29" si="11">IF(OR((I21=""),($E29=""),(ROUND((MAX(0,(MIN($E29,DATE(I15,I16,I17))-MAX($D29,DATE(I12,I13,I14))+1)))/30.41667,0)=0)),"---",ROUND((MAX(0,(MIN($E29,DATE(I15,I16,I17))-MAX($D29,DATE(I12,I13,I14))+1)))/30.41667,0))</f>
        <v>---</v>
      </c>
      <c r="J29" s="56" t="str">
        <f t="shared" si="11"/>
        <v>---</v>
      </c>
      <c r="K29" s="56" t="str">
        <f t="shared" si="11"/>
        <v>---</v>
      </c>
      <c r="L29" s="56" t="str">
        <f t="shared" si="11"/>
        <v>---</v>
      </c>
      <c r="M29" s="56" t="str">
        <f t="shared" si="11"/>
        <v>---</v>
      </c>
      <c r="N29" s="56" t="str">
        <f t="shared" si="11"/>
        <v>---</v>
      </c>
      <c r="O29" s="56" t="str">
        <f t="shared" si="11"/>
        <v>---</v>
      </c>
      <c r="P29" s="56" t="str">
        <f t="shared" si="11"/>
        <v>---</v>
      </c>
      <c r="Q29" s="56" t="str">
        <f t="shared" si="11"/>
        <v>---</v>
      </c>
      <c r="R29" s="56" t="str">
        <f t="shared" si="11"/>
        <v>---</v>
      </c>
      <c r="S29" s="56" t="str">
        <f t="shared" si="11"/>
        <v>---</v>
      </c>
      <c r="T29" s="56" t="str">
        <f t="shared" si="11"/>
        <v>---</v>
      </c>
      <c r="U29" s="56" t="str">
        <f t="shared" si="11"/>
        <v>---</v>
      </c>
      <c r="V29" s="56" t="str">
        <f t="shared" si="11"/>
        <v>---</v>
      </c>
      <c r="W29" s="56" t="str">
        <f t="shared" si="11"/>
        <v>---</v>
      </c>
      <c r="X29" s="56" t="str">
        <f>IF(OR((X21=""),($E29=""),(ROUND((MAX(0,(MIN($E29,DATE(X15,X16,X17))-MAX($D29,DATE(X12,X13,X14))+1)))/30.41667,0)=0)),"---",ROUND((MAX(0,(MIN($E29,DATE(X15,X16,X17))-MAX($D29,DATE(X12,X13,X14))+1)))/30.41667,0))</f>
        <v>---</v>
      </c>
      <c r="Y29" s="721"/>
    </row>
    <row r="30" spans="1:25" hidden="1" outlineLevel="1">
      <c r="A30" s="196" t="str">
        <f>C30&amp;I40</f>
        <v>Option Year 8IS</v>
      </c>
      <c r="B30" s="196"/>
      <c r="C30" s="92" t="s">
        <v>31</v>
      </c>
      <c r="D30" s="105">
        <f t="shared" si="5"/>
        <v>1097</v>
      </c>
      <c r="E30" s="105">
        <f>D30+364</f>
        <v>1461</v>
      </c>
      <c r="F30" s="106" t="str">
        <f>IF(AND(($E8="MidPoint"),(ROUND(((D30-$E9)/30.41667),0)+ROUNDUP(((E30-D30)/30.41667/2),0)&gt;0)),ROUND(((D30-$E9)/30.41667),0)+ROUNDUP(((E30-D30)/30.41667/2),0),"DO NOT DELETE")</f>
        <v>DO NOT DELETE</v>
      </c>
      <c r="G30" s="93" t="str">
        <f>IF($E30-$D30&lt;0,"&lt;&lt; Check Dates",IF(AND(($E8="MidPoint"),(E30&lt;&gt;"")),((1+$E7)^(INT(F30/12)))*(((F30/12-INT(F30/12))*$E7)+1),IF(SUM($H30:$X30)=0,"",SUMPRODUCT($H21:$X21,$H30:$X30)/SUM($H30:$X30))))</f>
        <v/>
      </c>
      <c r="H30" s="94"/>
      <c r="I30" s="56" t="str">
        <f t="shared" ref="I30:W30" si="12">IF(OR((I21=""),($E30=""),(ROUND((MAX(0,(MIN($E30,DATE(I15,I16,I17))-MAX($D30,DATE(I12,I13,I14))+1)))/30.41667,0)=0)),"---",ROUND((MAX(0,(MIN($E30,DATE(I15,I16,I17))-MAX($D30,DATE(I12,I13,I14))+1)))/30.41667,0))</f>
        <v>---</v>
      </c>
      <c r="J30" s="56" t="str">
        <f t="shared" si="12"/>
        <v>---</v>
      </c>
      <c r="K30" s="56" t="str">
        <f t="shared" si="12"/>
        <v>---</v>
      </c>
      <c r="L30" s="56" t="str">
        <f t="shared" si="12"/>
        <v>---</v>
      </c>
      <c r="M30" s="56" t="str">
        <f t="shared" si="12"/>
        <v>---</v>
      </c>
      <c r="N30" s="56" t="str">
        <f t="shared" si="12"/>
        <v>---</v>
      </c>
      <c r="O30" s="56" t="str">
        <f t="shared" si="12"/>
        <v>---</v>
      </c>
      <c r="P30" s="56" t="str">
        <f t="shared" si="12"/>
        <v>---</v>
      </c>
      <c r="Q30" s="56" t="str">
        <f t="shared" si="12"/>
        <v>---</v>
      </c>
      <c r="R30" s="56" t="str">
        <f t="shared" si="12"/>
        <v>---</v>
      </c>
      <c r="S30" s="56" t="str">
        <f t="shared" si="12"/>
        <v>---</v>
      </c>
      <c r="T30" s="56" t="str">
        <f t="shared" si="12"/>
        <v>---</v>
      </c>
      <c r="U30" s="56" t="str">
        <f t="shared" si="12"/>
        <v>---</v>
      </c>
      <c r="V30" s="56" t="str">
        <f t="shared" si="12"/>
        <v>---</v>
      </c>
      <c r="W30" s="56" t="str">
        <f t="shared" si="12"/>
        <v>---</v>
      </c>
      <c r="X30" s="56" t="str">
        <f>IF(OR((X21=""),($E30=""),(ROUND((MAX(0,(MIN($E30,DATE(X15,X16,X17))-MAX($D30,DATE(X12,X13,X14))+1)))/30.41667,0)=0)),"---",ROUND((MAX(0,(MIN($E30,DATE(X15,X16,X17))-MAX($D30,DATE(X12,X13,X14))+1)))/30.41667,0))</f>
        <v>---</v>
      </c>
      <c r="Y30" s="721"/>
    </row>
    <row r="31" spans="1:25" hidden="1" outlineLevel="1">
      <c r="A31" s="196" t="str">
        <f>C31&amp;I40</f>
        <v>Option Year 9IS</v>
      </c>
      <c r="B31" s="196"/>
      <c r="C31" s="92" t="s">
        <v>32</v>
      </c>
      <c r="D31" s="105">
        <f t="shared" si="5"/>
        <v>1462</v>
      </c>
      <c r="E31" s="105">
        <f>D31+364</f>
        <v>1826</v>
      </c>
      <c r="F31" s="106" t="str">
        <f>IF(AND(($E8="MidPoint"),(ROUND(((D31-$E9)/30.41667),0)+ROUNDUP(((E31-D31)/30.41667/2),0)&gt;0)),ROUND(((D31-$E9)/30.41667),0)+ROUNDUP(((E31-D31)/30.41667/2),0),"DO NOT DELETE")</f>
        <v>DO NOT DELETE</v>
      </c>
      <c r="G31" s="93" t="str">
        <f>IF($E31-$D31&lt;0,"&lt;&lt; Check Dates",IF(AND(($E8="MidPoint"),(E31&lt;&gt;"")),((1+$E7)^(INT(F31/12)))*(((F31/12-INT(F31/12))*$E7)+1),IF(SUM($H31:$X31)=0,"",SUMPRODUCT($H21:$X21,$H31:$X31)/SUM($H31:$X31))))</f>
        <v/>
      </c>
      <c r="H31" s="94"/>
      <c r="I31" s="56" t="str">
        <f t="shared" ref="I31:W31" si="13">IF(OR((I21=""),($E31=""),(ROUND((MAX(0,(MIN($E31,DATE(I15,I16,I17))-MAX($D31,DATE(I12,I13,I14))+1)))/30.41667,0)=0)),"---",ROUND((MAX(0,(MIN($E31,DATE(I15,I16,I17))-MAX($D31,DATE(I12,I13,I14))+1)))/30.41667,0))</f>
        <v>---</v>
      </c>
      <c r="J31" s="56" t="str">
        <f t="shared" si="13"/>
        <v>---</v>
      </c>
      <c r="K31" s="56" t="str">
        <f t="shared" si="13"/>
        <v>---</v>
      </c>
      <c r="L31" s="56" t="str">
        <f t="shared" si="13"/>
        <v>---</v>
      </c>
      <c r="M31" s="56" t="str">
        <f t="shared" si="13"/>
        <v>---</v>
      </c>
      <c r="N31" s="56" t="str">
        <f t="shared" si="13"/>
        <v>---</v>
      </c>
      <c r="O31" s="56" t="str">
        <f t="shared" si="13"/>
        <v>---</v>
      </c>
      <c r="P31" s="56" t="str">
        <f t="shared" si="13"/>
        <v>---</v>
      </c>
      <c r="Q31" s="56" t="str">
        <f t="shared" si="13"/>
        <v>---</v>
      </c>
      <c r="R31" s="56" t="str">
        <f t="shared" si="13"/>
        <v>---</v>
      </c>
      <c r="S31" s="56" t="str">
        <f t="shared" si="13"/>
        <v>---</v>
      </c>
      <c r="T31" s="56" t="str">
        <f t="shared" si="13"/>
        <v>---</v>
      </c>
      <c r="U31" s="56" t="str">
        <f t="shared" si="13"/>
        <v>---</v>
      </c>
      <c r="V31" s="56" t="str">
        <f t="shared" si="13"/>
        <v>---</v>
      </c>
      <c r="W31" s="56" t="str">
        <f t="shared" si="13"/>
        <v>---</v>
      </c>
      <c r="X31" s="56" t="str">
        <f>IF(OR((X21=""),($E31=""),(ROUND((MAX(0,(MIN($E31,DATE(X15,X16,X17))-MAX($D31,DATE(X12,X13,X14))+1)))/30.41667,0)=0)),"---",ROUND((MAX(0,(MIN($E31,DATE(X15,X16,X17))-MAX($D31,DATE(X12,X13,X14))+1)))/30.41667,0))</f>
        <v>---</v>
      </c>
      <c r="Y31" s="721"/>
    </row>
    <row r="32" spans="1:25" hidden="1" outlineLevel="1">
      <c r="A32" s="196" t="str">
        <f>C32&amp;I40</f>
        <v>Option Year 10IS</v>
      </c>
      <c r="B32" s="196"/>
      <c r="C32" s="92" t="s">
        <v>33</v>
      </c>
      <c r="D32" s="105">
        <f t="shared" si="5"/>
        <v>1827</v>
      </c>
      <c r="E32" s="105">
        <f>D32+364</f>
        <v>2191</v>
      </c>
      <c r="F32" s="106" t="str">
        <f>IF(AND(($E8="MidPoint"),(ROUND(((D32-$E9)/30.41667),0)+ROUNDUP(((E32-D32)/30.41667/2),0)&gt;0)),ROUND(((D32-$E9)/30.41667),0)+ROUNDUP(((E32-D32)/30.41667/2),0),"DO NOT DELETE")</f>
        <v>DO NOT DELETE</v>
      </c>
      <c r="G32" s="93" t="str">
        <f>IF($E32-$D32&lt;0,"&lt;&lt; Check Dates",IF(AND(($E8="MidPoint"),(E32&lt;&gt;"")),((1+$E7)^(INT(F32/12)))*(((F32/12-INT(F32/12))*$E7)+1),IF(SUM($H32:$X32)=0,"",SUMPRODUCT($H21:$X21,$H32:$X32)/SUM($H32:$X32))))</f>
        <v/>
      </c>
      <c r="H32" s="94"/>
      <c r="I32" s="56" t="str">
        <f t="shared" ref="I32:W32" si="14">IF(OR((I21=""),($E32=""),(ROUND((MAX(0,(MIN($E32,DATE(I15,I16,I17))-MAX($D32,DATE(I12,I13,I14))+1)))/30.41667,0)=0)),"---",ROUND((MAX(0,(MIN($E32,DATE(I15,I16,I17))-MAX($D32,DATE(I12,I13,I14))+1)))/30.41667,0))</f>
        <v>---</v>
      </c>
      <c r="J32" s="56" t="str">
        <f t="shared" si="14"/>
        <v>---</v>
      </c>
      <c r="K32" s="56" t="str">
        <f t="shared" si="14"/>
        <v>---</v>
      </c>
      <c r="L32" s="56" t="str">
        <f t="shared" si="14"/>
        <v>---</v>
      </c>
      <c r="M32" s="56" t="str">
        <f t="shared" si="14"/>
        <v>---</v>
      </c>
      <c r="N32" s="56" t="str">
        <f t="shared" si="14"/>
        <v>---</v>
      </c>
      <c r="O32" s="56" t="str">
        <f t="shared" si="14"/>
        <v>---</v>
      </c>
      <c r="P32" s="56" t="str">
        <f t="shared" si="14"/>
        <v>---</v>
      </c>
      <c r="Q32" s="56" t="str">
        <f t="shared" si="14"/>
        <v>---</v>
      </c>
      <c r="R32" s="56" t="str">
        <f t="shared" si="14"/>
        <v>---</v>
      </c>
      <c r="S32" s="56" t="str">
        <f t="shared" si="14"/>
        <v>---</v>
      </c>
      <c r="T32" s="56" t="str">
        <f t="shared" si="14"/>
        <v>---</v>
      </c>
      <c r="U32" s="56" t="str">
        <f t="shared" si="14"/>
        <v>---</v>
      </c>
      <c r="V32" s="56" t="str">
        <f t="shared" si="14"/>
        <v>---</v>
      </c>
      <c r="W32" s="56" t="str">
        <f t="shared" si="14"/>
        <v>---</v>
      </c>
      <c r="X32" s="56" t="str">
        <f>IF(OR((X21=""),($E32=""),(ROUND((MAX(0,(MIN($E32,DATE(X15,X16,X17))-MAX($D32,DATE(X12,X13,X14))+1)))/30.41667,0)=0)),"---",ROUND((MAX(0,(MIN($E32,DATE(X15,X16,X17))-MAX($D32,DATE(X12,X13,X14))+1)))/30.41667,0))</f>
        <v>---</v>
      </c>
      <c r="Y32" s="721"/>
    </row>
    <row r="33" spans="1:35" hidden="1" outlineLevel="1">
      <c r="A33" s="196" t="str">
        <f>C33&amp;I40</f>
        <v>Option Year 11IS</v>
      </c>
      <c r="B33" s="196"/>
      <c r="C33" s="92" t="s">
        <v>34</v>
      </c>
      <c r="D33" s="105">
        <f t="shared" si="5"/>
        <v>2192</v>
      </c>
      <c r="E33" s="105">
        <f>D33+365</f>
        <v>2557</v>
      </c>
      <c r="F33" s="106" t="str">
        <f>IF(AND(($E8="MidPoint"),(ROUND(((D33-$E9)/30.41667),0)+ROUNDUP(((E33-D33)/30.41667/2),0)&gt;0)),ROUND(((D33-$E9)/30.41667),0)+ROUNDUP(((E33-D33)/30.41667/2),0),"DO NOT DELETE")</f>
        <v>DO NOT DELETE</v>
      </c>
      <c r="G33" s="93" t="str">
        <f>IF($E33-$D33&lt;0,"&lt;&lt; Check Dates",IF(AND(($E8="MidPoint"),(E33&lt;&gt;"")),((1+$E7)^(INT(F33/12)))*(((F33/12-INT(F33/12))*$E7)+1),IF(SUM($H33:$X33)=0,"",SUMPRODUCT($H21:$X21,$H33:$X33)/SUM($H33:$X33))))</f>
        <v/>
      </c>
      <c r="H33" s="94"/>
      <c r="I33" s="56" t="str">
        <f t="shared" ref="I33:W33" si="15">IF(OR((I21=""),($E33=""),(ROUND((MAX(0,(MIN($E33,DATE(I15,I16,I17))-MAX($D33,DATE(I12,I13,I14))+1)))/30.41667,0)=0)),"---",ROUND((MAX(0,(MIN($E33,DATE(I15,I16,I17))-MAX($D33,DATE(I12,I13,I14))+1)))/30.41667,0))</f>
        <v>---</v>
      </c>
      <c r="J33" s="56" t="str">
        <f t="shared" si="15"/>
        <v>---</v>
      </c>
      <c r="K33" s="56" t="str">
        <f t="shared" si="15"/>
        <v>---</v>
      </c>
      <c r="L33" s="56" t="str">
        <f t="shared" si="15"/>
        <v>---</v>
      </c>
      <c r="M33" s="56" t="str">
        <f t="shared" si="15"/>
        <v>---</v>
      </c>
      <c r="N33" s="56" t="str">
        <f t="shared" si="15"/>
        <v>---</v>
      </c>
      <c r="O33" s="56" t="str">
        <f t="shared" si="15"/>
        <v>---</v>
      </c>
      <c r="P33" s="56" t="str">
        <f t="shared" si="15"/>
        <v>---</v>
      </c>
      <c r="Q33" s="56" t="str">
        <f t="shared" si="15"/>
        <v>---</v>
      </c>
      <c r="R33" s="56" t="str">
        <f t="shared" si="15"/>
        <v>---</v>
      </c>
      <c r="S33" s="56" t="str">
        <f t="shared" si="15"/>
        <v>---</v>
      </c>
      <c r="T33" s="56" t="str">
        <f t="shared" si="15"/>
        <v>---</v>
      </c>
      <c r="U33" s="56" t="str">
        <f t="shared" si="15"/>
        <v>---</v>
      </c>
      <c r="V33" s="56" t="str">
        <f t="shared" si="15"/>
        <v>---</v>
      </c>
      <c r="W33" s="56" t="str">
        <f t="shared" si="15"/>
        <v>---</v>
      </c>
      <c r="X33" s="56" t="str">
        <f>IF(OR((X21=""),($E33=""),(ROUND((MAX(0,(MIN($E33,DATE(X15,X16,X17))-MAX($D33,DATE(X12,X13,X14))+1)))/30.41667,0)=0)),"---",ROUND((MAX(0,(MIN($E33,DATE(X15,X16,X17))-MAX($D33,DATE(X12,X13,X14))+1)))/30.41667,0))</f>
        <v>---</v>
      </c>
      <c r="Y33" s="721"/>
    </row>
    <row r="34" spans="1:35" hidden="1" outlineLevel="1">
      <c r="A34" s="196" t="str">
        <f>C34&amp;I40</f>
        <v>Option Year 12IS</v>
      </c>
      <c r="B34" s="196"/>
      <c r="C34" s="92" t="s">
        <v>35</v>
      </c>
      <c r="D34" s="105">
        <f t="shared" si="5"/>
        <v>2558</v>
      </c>
      <c r="E34" s="105">
        <f>D34+364</f>
        <v>2922</v>
      </c>
      <c r="F34" s="106" t="str">
        <f>IF(AND(($E8="MidPoint"),(ROUND(((D34-$E9)/30.41667),0)+ROUNDUP(((E34-D34)/30.41667/2),0)&gt;0)),ROUND(((D34-$E9)/30.41667),0)+ROUNDUP(((E34-D34)/30.41667/2),0),"DO NOT DELETE")</f>
        <v>DO NOT DELETE</v>
      </c>
      <c r="G34" s="93" t="str">
        <f>IF($E34-$D34&lt;0,"&lt;&lt; Check Dates",IF(AND(($E8="MidPoint"),(E34&lt;&gt;"")),((1+$E7)^(INT(F34/12)))*(((F34/12-INT(F34/12))*$E7)+1),IF(SUM($H34:$X34)=0,"",SUMPRODUCT($H21:$X21,$H34:$X34)/SUM($H34:$X34))))</f>
        <v/>
      </c>
      <c r="H34" s="94"/>
      <c r="I34" s="56" t="str">
        <f t="shared" ref="I34:W34" si="16">IF(OR((I21=""),($E34=""),(ROUND((MAX(0,(MIN($E34,DATE(I15,I16,I17))-MAX($D34,DATE(I12,I13,I14))+1)))/30.41667,0)=0)),"---",ROUND((MAX(0,(MIN($E34,DATE(I15,I16,I17))-MAX($D34,DATE(I12,I13,I14))+1)))/30.41667,0))</f>
        <v>---</v>
      </c>
      <c r="J34" s="56" t="str">
        <f t="shared" si="16"/>
        <v>---</v>
      </c>
      <c r="K34" s="56" t="str">
        <f t="shared" si="16"/>
        <v>---</v>
      </c>
      <c r="L34" s="56" t="str">
        <f t="shared" si="16"/>
        <v>---</v>
      </c>
      <c r="M34" s="56" t="str">
        <f t="shared" si="16"/>
        <v>---</v>
      </c>
      <c r="N34" s="56" t="str">
        <f t="shared" si="16"/>
        <v>---</v>
      </c>
      <c r="O34" s="56" t="str">
        <f t="shared" si="16"/>
        <v>---</v>
      </c>
      <c r="P34" s="56" t="str">
        <f t="shared" si="16"/>
        <v>---</v>
      </c>
      <c r="Q34" s="56" t="str">
        <f t="shared" si="16"/>
        <v>---</v>
      </c>
      <c r="R34" s="56" t="str">
        <f t="shared" si="16"/>
        <v>---</v>
      </c>
      <c r="S34" s="56" t="str">
        <f t="shared" si="16"/>
        <v>---</v>
      </c>
      <c r="T34" s="56" t="str">
        <f t="shared" si="16"/>
        <v>---</v>
      </c>
      <c r="U34" s="56" t="str">
        <f t="shared" si="16"/>
        <v>---</v>
      </c>
      <c r="V34" s="56" t="str">
        <f t="shared" si="16"/>
        <v>---</v>
      </c>
      <c r="W34" s="56" t="str">
        <f t="shared" si="16"/>
        <v>---</v>
      </c>
      <c r="X34" s="56" t="str">
        <f>IF(OR((X21=""),($E34=""),(ROUND((MAX(0,(MIN($E34,DATE(X15,X16,X17))-MAX($D34,DATE(X12,X13,X14))+1)))/30.41667,0)=0)),"---",ROUND((MAX(0,(MIN($E34,DATE(X15,X16,X17))-MAX($D34,DATE(X12,X13,X14))+1)))/30.41667,0))</f>
        <v>---</v>
      </c>
      <c r="Y34" s="721"/>
    </row>
    <row r="35" spans="1:35" hidden="1" outlineLevel="1">
      <c r="A35" s="196" t="str">
        <f>C35&amp;I40</f>
        <v>Option Year 13IS</v>
      </c>
      <c r="B35" s="196"/>
      <c r="C35" s="92" t="s">
        <v>36</v>
      </c>
      <c r="D35" s="105">
        <f t="shared" si="5"/>
        <v>2923</v>
      </c>
      <c r="E35" s="105">
        <f>D35+364</f>
        <v>3287</v>
      </c>
      <c r="F35" s="106" t="str">
        <f>IF(AND(($E8="MidPoint"),(ROUND(((D35-$E9)/30.41667),0)+ROUNDUP(((E35-D35)/30.41667/2),0)&gt;0)),ROUND(((D35-$E9)/30.41667),0)+ROUNDUP(((E35-D35)/30.41667/2),0),"DO NOT DELETE")</f>
        <v>DO NOT DELETE</v>
      </c>
      <c r="G35" s="93" t="str">
        <f>IF($E35-$D35&lt;0,"&lt;&lt; Check Dates",IF(AND(($E8="MidPoint"),(E35&lt;&gt;"")),((1+$E7)^(INT(F35/12)))*(((F35/12-INT(F35/12))*$E7)+1),IF(SUM($H35:$X35)=0,"",SUMPRODUCT($H21:$X21,$H35:$X35)/SUM($H35:$X35))))</f>
        <v/>
      </c>
      <c r="H35" s="94"/>
      <c r="I35" s="56" t="str">
        <f t="shared" ref="I35:W35" si="17">IF(OR((I21=""),($E35=""),(ROUND((MAX(0,(MIN($E35,DATE(I15,I16,I17))-MAX($D35,DATE(I12,I13,I14))+1)))/30.41667,0)=0)),"---",ROUND((MAX(0,(MIN($E35,DATE(I15,I16,I17))-MAX($D35,DATE(I12,I13,I14))+1)))/30.41667,0))</f>
        <v>---</v>
      </c>
      <c r="J35" s="56" t="str">
        <f t="shared" si="17"/>
        <v>---</v>
      </c>
      <c r="K35" s="56" t="str">
        <f t="shared" si="17"/>
        <v>---</v>
      </c>
      <c r="L35" s="56" t="str">
        <f t="shared" si="17"/>
        <v>---</v>
      </c>
      <c r="M35" s="56" t="str">
        <f t="shared" si="17"/>
        <v>---</v>
      </c>
      <c r="N35" s="56" t="str">
        <f t="shared" si="17"/>
        <v>---</v>
      </c>
      <c r="O35" s="56" t="str">
        <f t="shared" si="17"/>
        <v>---</v>
      </c>
      <c r="P35" s="56" t="str">
        <f t="shared" si="17"/>
        <v>---</v>
      </c>
      <c r="Q35" s="56" t="str">
        <f t="shared" si="17"/>
        <v>---</v>
      </c>
      <c r="R35" s="56" t="str">
        <f t="shared" si="17"/>
        <v>---</v>
      </c>
      <c r="S35" s="56" t="str">
        <f t="shared" si="17"/>
        <v>---</v>
      </c>
      <c r="T35" s="56" t="str">
        <f t="shared" si="17"/>
        <v>---</v>
      </c>
      <c r="U35" s="56" t="str">
        <f t="shared" si="17"/>
        <v>---</v>
      </c>
      <c r="V35" s="56" t="str">
        <f t="shared" si="17"/>
        <v>---</v>
      </c>
      <c r="W35" s="56" t="str">
        <f t="shared" si="17"/>
        <v>---</v>
      </c>
      <c r="X35" s="56" t="str">
        <f>IF(OR((X21=""),($E35=""),(ROUND((MAX(0,(MIN($E35,DATE(X15,X16,X17))-MAX($D35,DATE(X12,X13,X14))+1)))/30.41667,0)=0)),"---",ROUND((MAX(0,(MIN($E35,DATE(X15,X16,X17))-MAX($D35,DATE(X12,X13,X14))+1)))/30.41667,0))</f>
        <v>---</v>
      </c>
      <c r="Y35" s="721"/>
    </row>
    <row r="36" spans="1:35" hidden="1" outlineLevel="1">
      <c r="A36" s="196" t="str">
        <f>C36&amp;I40</f>
        <v>Option Year 14IS</v>
      </c>
      <c r="B36" s="196"/>
      <c r="C36" s="92" t="s">
        <v>37</v>
      </c>
      <c r="D36" s="105">
        <f t="shared" si="5"/>
        <v>3288</v>
      </c>
      <c r="E36" s="105">
        <f>D36+364</f>
        <v>3652</v>
      </c>
      <c r="F36" s="106" t="str">
        <f>IF(AND(($E8="MidPoint"),(ROUND(((D36-$E9)/30.41667),0)+ROUNDUP(((E36-D36)/30.41667/2),0)&gt;0)),ROUND(((D36-$E9)/30.41667),0)+ROUNDUP(((E36-D36)/30.41667/2),0),"DO NOT DELETE")</f>
        <v>DO NOT DELETE</v>
      </c>
      <c r="G36" s="93" t="str">
        <f>IF($E36-$D36&lt;0,"&lt;&lt; Check Dates",IF(AND(($E8="MidPoint"),(E36&lt;&gt;"")),((1+$E7)^(INT(F36/12)))*(((F36/12-INT(F36/12))*$E7)+1),IF(SUM($H36:$X36)=0,"",SUMPRODUCT($H21:$X21,$H36:$X36)/SUM($H36:$X36))))</f>
        <v/>
      </c>
      <c r="H36" s="94"/>
      <c r="I36" s="56" t="str">
        <f t="shared" ref="I36:W36" si="18">IF(OR((I21=""),($E36=""),(ROUND((MAX(0,(MIN($E36,DATE(I15,I16,I17))-MAX($D36,DATE(I12,I13,I14))+1)))/30.41667,0)=0)),"---",ROUND((MAX(0,(MIN($E36,DATE(I15,I16,I17))-MAX($D36,DATE(I12,I13,I14))+1)))/30.41667,0))</f>
        <v>---</v>
      </c>
      <c r="J36" s="56" t="str">
        <f t="shared" si="18"/>
        <v>---</v>
      </c>
      <c r="K36" s="56" t="str">
        <f t="shared" si="18"/>
        <v>---</v>
      </c>
      <c r="L36" s="56" t="str">
        <f t="shared" si="18"/>
        <v>---</v>
      </c>
      <c r="M36" s="56" t="str">
        <f t="shared" si="18"/>
        <v>---</v>
      </c>
      <c r="N36" s="56" t="str">
        <f t="shared" si="18"/>
        <v>---</v>
      </c>
      <c r="O36" s="56" t="str">
        <f t="shared" si="18"/>
        <v>---</v>
      </c>
      <c r="P36" s="56" t="str">
        <f t="shared" si="18"/>
        <v>---</v>
      </c>
      <c r="Q36" s="56" t="str">
        <f t="shared" si="18"/>
        <v>---</v>
      </c>
      <c r="R36" s="56" t="str">
        <f t="shared" si="18"/>
        <v>---</v>
      </c>
      <c r="S36" s="56" t="str">
        <f t="shared" si="18"/>
        <v>---</v>
      </c>
      <c r="T36" s="56" t="str">
        <f t="shared" si="18"/>
        <v>---</v>
      </c>
      <c r="U36" s="56" t="str">
        <f t="shared" si="18"/>
        <v>---</v>
      </c>
      <c r="V36" s="56" t="str">
        <f t="shared" si="18"/>
        <v>---</v>
      </c>
      <c r="W36" s="56" t="str">
        <f t="shared" si="18"/>
        <v>---</v>
      </c>
      <c r="X36" s="56" t="str">
        <f>IF(OR((X21=""),($E36=""),(ROUND((MAX(0,(MIN($E36,DATE(X15,X16,X17))-MAX($D36,DATE(X12,X13,X14))+1)))/30.41667,0)=0)),"---",ROUND((MAX(0,(MIN($E36,DATE(X15,X16,X17))-MAX($D36,DATE(X12,X13,X14))+1)))/30.41667,0))</f>
        <v>---</v>
      </c>
      <c r="Y36" s="721"/>
    </row>
    <row r="37" spans="1:35" collapsed="1">
      <c r="A37" s="196"/>
      <c r="B37" s="196"/>
      <c r="C37" s="27"/>
      <c r="D37" s="96"/>
      <c r="E37" s="96"/>
      <c r="F37" s="10"/>
      <c r="G37" s="95"/>
      <c r="H37" s="97"/>
      <c r="I37" s="97"/>
      <c r="J37" s="97"/>
      <c r="K37" s="97"/>
      <c r="L37" s="97"/>
      <c r="M37" s="97"/>
      <c r="N37" s="97"/>
      <c r="O37" s="97"/>
      <c r="P37" s="97"/>
      <c r="Q37" s="97"/>
      <c r="R37" s="97"/>
      <c r="S37" s="98"/>
      <c r="T37" s="98"/>
      <c r="U37" s="98"/>
      <c r="V37" s="98"/>
      <c r="W37" s="98"/>
      <c r="X37" s="98"/>
      <c r="Y37" s="98"/>
    </row>
    <row r="38" spans="1:35">
      <c r="A38" s="196"/>
      <c r="B38" s="197"/>
      <c r="D38" s="6"/>
      <c r="E38" s="6"/>
      <c r="F38" s="6"/>
      <c r="G38" s="6"/>
      <c r="H38" s="97"/>
      <c r="I38" s="6"/>
      <c r="J38" s="6"/>
      <c r="K38" s="6"/>
      <c r="L38" s="6"/>
      <c r="M38" s="4"/>
      <c r="N38" s="4"/>
    </row>
    <row r="39" spans="1:35">
      <c r="A39" s="196"/>
      <c r="B39" s="197"/>
      <c r="C39" s="1192" t="s">
        <v>673</v>
      </c>
      <c r="D39" s="1193"/>
      <c r="F39" s="15" t="s">
        <v>590</v>
      </c>
      <c r="G39" s="6" t="s">
        <v>591</v>
      </c>
      <c r="H39" s="97"/>
      <c r="I39" s="863">
        <f>I12</f>
        <v>2008</v>
      </c>
      <c r="J39" s="818">
        <f t="shared" ref="J39:W39" si="19">I39+1</f>
        <v>2009</v>
      </c>
      <c r="K39" s="818">
        <f t="shared" si="19"/>
        <v>2010</v>
      </c>
      <c r="L39" s="818">
        <f t="shared" si="19"/>
        <v>2011</v>
      </c>
      <c r="M39" s="50">
        <f t="shared" si="19"/>
        <v>2012</v>
      </c>
      <c r="N39" s="50">
        <f t="shared" si="19"/>
        <v>2013</v>
      </c>
      <c r="O39" s="12">
        <f t="shared" si="19"/>
        <v>2014</v>
      </c>
      <c r="P39" s="12">
        <f t="shared" si="19"/>
        <v>2015</v>
      </c>
      <c r="Q39" s="12">
        <f t="shared" si="19"/>
        <v>2016</v>
      </c>
      <c r="R39" s="12">
        <f t="shared" si="19"/>
        <v>2017</v>
      </c>
      <c r="S39" s="12">
        <f t="shared" si="19"/>
        <v>2018</v>
      </c>
      <c r="T39" s="12">
        <f t="shared" si="19"/>
        <v>2019</v>
      </c>
      <c r="U39" s="12">
        <f t="shared" si="19"/>
        <v>2020</v>
      </c>
      <c r="V39" s="12">
        <f t="shared" si="19"/>
        <v>2021</v>
      </c>
      <c r="W39" s="12">
        <f t="shared" si="19"/>
        <v>2022</v>
      </c>
      <c r="X39" s="12">
        <f>W39+1</f>
        <v>2023</v>
      </c>
    </row>
    <row r="40" spans="1:35" ht="25.5" customHeight="1">
      <c r="A40" s="196"/>
      <c r="B40" s="197"/>
      <c r="C40" s="41" t="s">
        <v>629</v>
      </c>
      <c r="D40" s="41" t="s">
        <v>630</v>
      </c>
      <c r="F40" s="15" t="s">
        <v>592</v>
      </c>
      <c r="G40" s="6" t="s">
        <v>593</v>
      </c>
      <c r="H40" s="97"/>
      <c r="I40" s="40" t="s">
        <v>845</v>
      </c>
      <c r="J40" s="816" t="str">
        <f>IF(I40="NEW","Enter new indirect rates by overwriting the formulas below.  Also, rename new Cost Center","")</f>
        <v/>
      </c>
      <c r="K40" s="817"/>
      <c r="L40" s="817"/>
      <c r="M40" s="817"/>
      <c r="N40" s="16"/>
      <c r="O40" s="17"/>
      <c r="P40" s="17"/>
      <c r="Q40" s="17"/>
      <c r="R40" s="17"/>
      <c r="S40" s="17"/>
      <c r="T40" s="17"/>
      <c r="U40" s="17"/>
      <c r="V40" s="17"/>
      <c r="W40" s="17"/>
      <c r="X40" s="18"/>
      <c r="Y40" s="819"/>
      <c r="AI40" s="141"/>
    </row>
    <row r="41" spans="1:35">
      <c r="A41" s="196" t="str">
        <f t="shared" ref="A41:A48" si="20">I$40&amp;$G41</f>
        <v>ISPRB</v>
      </c>
      <c r="B41" s="196"/>
      <c r="C41" s="31" t="s">
        <v>621</v>
      </c>
      <c r="D41" s="31" t="s">
        <v>639</v>
      </c>
      <c r="F41" s="15"/>
      <c r="G41" s="13" t="s">
        <v>621</v>
      </c>
      <c r="H41" s="97"/>
      <c r="I41" s="130">
        <f>IF((ISERROR(INDEX(CCRates,MATCH((I$39&amp;$G41),YrBurden,0),MATCH($I40,CostCtr,0)))),0,(INDEX(CCRates,MATCH((I$39&amp;$G41),YrBurden,0),MATCH($I40,CostCtr,0))))</f>
        <v>0</v>
      </c>
      <c r="J41" s="130">
        <f>IF((ISERROR(INDEX(CCRates,MATCH((J$39&amp;$G41),YrBurden,0),MATCH($I40,CostCtr,0)))),0,(INDEX(CCRates,MATCH((J$39&amp;$G41),YrBurden,0),MATCH($I40,CostCtr,0))))</f>
        <v>0.31240000000000001</v>
      </c>
      <c r="K41" s="130">
        <f t="shared" ref="K41:Q41" si="21">IF((ISERROR(INDEX(CCRates,MATCH((K$39&amp;$G41),YrBurden,0),MATCH($I40,CostCtr,0)))),0,(INDEX(CCRates,MATCH((K$39&amp;$G41),YrBurden,0),MATCH($I40,CostCtr,0))))</f>
        <v>0.31240000000000001</v>
      </c>
      <c r="L41" s="130">
        <f t="shared" si="21"/>
        <v>0.31240000000000001</v>
      </c>
      <c r="M41" s="130">
        <f t="shared" si="21"/>
        <v>0.31240000000000001</v>
      </c>
      <c r="N41" s="130">
        <f t="shared" si="21"/>
        <v>0.31240000000000001</v>
      </c>
      <c r="O41" s="130">
        <f t="shared" si="21"/>
        <v>0.31240000000000001</v>
      </c>
      <c r="P41" s="130">
        <f t="shared" si="21"/>
        <v>0.31240000000000001</v>
      </c>
      <c r="Q41" s="130">
        <f t="shared" si="21"/>
        <v>0.31240000000000001</v>
      </c>
      <c r="R41" s="131">
        <f>Q41</f>
        <v>0.31240000000000001</v>
      </c>
      <c r="S41" s="131">
        <f t="shared" ref="S41:W45" si="22">R41</f>
        <v>0.31240000000000001</v>
      </c>
      <c r="T41" s="131">
        <f t="shared" si="22"/>
        <v>0.31240000000000001</v>
      </c>
      <c r="U41" s="131">
        <f t="shared" si="22"/>
        <v>0.31240000000000001</v>
      </c>
      <c r="V41" s="131">
        <f t="shared" si="22"/>
        <v>0.31240000000000001</v>
      </c>
      <c r="W41" s="131">
        <f t="shared" si="22"/>
        <v>0.31240000000000001</v>
      </c>
      <c r="X41" s="131">
        <f>W41</f>
        <v>0.31240000000000001</v>
      </c>
      <c r="Y41" s="722"/>
      <c r="AI41" s="141"/>
    </row>
    <row r="42" spans="1:35">
      <c r="A42" s="196" t="str">
        <f t="shared" si="20"/>
        <v>ISOverhead - Offsite</v>
      </c>
      <c r="B42" s="196"/>
      <c r="C42" s="32" t="s">
        <v>637</v>
      </c>
      <c r="D42" s="32" t="s">
        <v>622</v>
      </c>
      <c r="F42" s="15"/>
      <c r="G42" s="13" t="s">
        <v>594</v>
      </c>
      <c r="H42" s="97"/>
      <c r="I42" s="130">
        <f>IF((ISERROR(INDEX(CCRates,MATCH((I$39&amp;$G42),YrBurden,0),MATCH($I40,CostCtr,0)))),0,(INDEX(CCRates,MATCH((I$39&amp;$G42),YrBurden,0),MATCH($I40,CostCtr,0))))</f>
        <v>0</v>
      </c>
      <c r="J42" s="130">
        <f t="shared" ref="J42:Q42" si="23">IF((ISERROR(INDEX(CCRates,MATCH((J$39&amp;$G42),YrBurden,0),MATCH($I40,CostCtr,0)))),0,(INDEX(CCRates,MATCH((J$39&amp;$G42),YrBurden,0),MATCH($I40,CostCtr,0))))</f>
        <v>0.1988</v>
      </c>
      <c r="K42" s="130">
        <f t="shared" si="23"/>
        <v>0.1988</v>
      </c>
      <c r="L42" s="130">
        <f t="shared" si="23"/>
        <v>0.1988</v>
      </c>
      <c r="M42" s="130">
        <f t="shared" si="23"/>
        <v>0.1988</v>
      </c>
      <c r="N42" s="130">
        <f t="shared" si="23"/>
        <v>0.1988</v>
      </c>
      <c r="O42" s="130">
        <f t="shared" si="23"/>
        <v>0.1988</v>
      </c>
      <c r="P42" s="130">
        <f t="shared" si="23"/>
        <v>0.1988</v>
      </c>
      <c r="Q42" s="130">
        <f t="shared" si="23"/>
        <v>0.1988</v>
      </c>
      <c r="R42" s="131">
        <f>Q42</f>
        <v>0.1988</v>
      </c>
      <c r="S42" s="131">
        <f t="shared" si="22"/>
        <v>0.1988</v>
      </c>
      <c r="T42" s="131">
        <f t="shared" si="22"/>
        <v>0.1988</v>
      </c>
      <c r="U42" s="131">
        <f t="shared" si="22"/>
        <v>0.1988</v>
      </c>
      <c r="V42" s="131">
        <f t="shared" si="22"/>
        <v>0.1988</v>
      </c>
      <c r="W42" s="131">
        <f t="shared" si="22"/>
        <v>0.1988</v>
      </c>
      <c r="X42" s="131">
        <f>W42</f>
        <v>0.1988</v>
      </c>
      <c r="Y42" s="820"/>
      <c r="AI42" s="141"/>
    </row>
    <row r="43" spans="1:35">
      <c r="A43" s="196" t="str">
        <f t="shared" si="20"/>
        <v>ISOverhead - Onsite</v>
      </c>
      <c r="B43" s="196"/>
      <c r="C43" s="32" t="s">
        <v>637</v>
      </c>
      <c r="D43" s="32" t="s">
        <v>623</v>
      </c>
      <c r="F43" s="15"/>
      <c r="G43" s="13" t="s">
        <v>595</v>
      </c>
      <c r="H43" s="97"/>
      <c r="I43" s="130">
        <f>IF((ISERROR(INDEX(CCRates,MATCH((I$39&amp;$G43),YrBurden,0),MATCH($I40,CostCtr,0)))),0,(INDEX(CCRates,MATCH((I$39&amp;$G43),YrBurden,0),MATCH($I40,CostCtr,0))))</f>
        <v>0</v>
      </c>
      <c r="J43" s="130">
        <f t="shared" ref="J43:Q43" si="24">IF((ISERROR(INDEX(CCRates,MATCH((J$39&amp;$G43),YrBurden,0),MATCH($I40,CostCtr,0)))),0,(INDEX(CCRates,MATCH((J$39&amp;$G43),YrBurden,0),MATCH($I40,CostCtr,0))))</f>
        <v>2.23E-2</v>
      </c>
      <c r="K43" s="130">
        <f t="shared" si="24"/>
        <v>2.23E-2</v>
      </c>
      <c r="L43" s="130">
        <f t="shared" si="24"/>
        <v>2.23E-2</v>
      </c>
      <c r="M43" s="130">
        <f t="shared" si="24"/>
        <v>2.23E-2</v>
      </c>
      <c r="N43" s="130">
        <f t="shared" si="24"/>
        <v>2.23E-2</v>
      </c>
      <c r="O43" s="130">
        <f t="shared" si="24"/>
        <v>2.23E-2</v>
      </c>
      <c r="P43" s="130">
        <f t="shared" si="24"/>
        <v>2.23E-2</v>
      </c>
      <c r="Q43" s="130">
        <f t="shared" si="24"/>
        <v>2.23E-2</v>
      </c>
      <c r="R43" s="131">
        <f>Q43</f>
        <v>2.23E-2</v>
      </c>
      <c r="S43" s="131">
        <f t="shared" si="22"/>
        <v>2.23E-2</v>
      </c>
      <c r="T43" s="131">
        <f t="shared" si="22"/>
        <v>2.23E-2</v>
      </c>
      <c r="U43" s="131">
        <f t="shared" si="22"/>
        <v>2.23E-2</v>
      </c>
      <c r="V43" s="131">
        <f t="shared" si="22"/>
        <v>2.23E-2</v>
      </c>
      <c r="W43" s="131">
        <f t="shared" si="22"/>
        <v>2.23E-2</v>
      </c>
      <c r="X43" s="131">
        <f>W43</f>
        <v>2.23E-2</v>
      </c>
      <c r="Y43" s="722"/>
      <c r="AI43" s="141"/>
    </row>
    <row r="44" spans="1:35">
      <c r="A44" s="196" t="str">
        <f t="shared" si="20"/>
        <v>ISMaterial Handling</v>
      </c>
      <c r="B44" s="196"/>
      <c r="C44" s="32" t="s">
        <v>626</v>
      </c>
      <c r="D44" s="32" t="s">
        <v>639</v>
      </c>
      <c r="F44" s="15"/>
      <c r="G44" s="13" t="s">
        <v>596</v>
      </c>
      <c r="H44" s="97"/>
      <c r="I44" s="130">
        <f>IF((ISERROR(INDEX(CCRates,MATCH((I$39&amp;$G44),YrBurden,0),MATCH($I40,CostCtr,0)))),0,(INDEX(CCRates,MATCH((I$39&amp;$G44),YrBurden,0),MATCH($I40,CostCtr,0))))</f>
        <v>0</v>
      </c>
      <c r="J44" s="130">
        <f t="shared" ref="J44:Q44" si="25">IF((ISERROR(INDEX(CCRates,MATCH((J$39&amp;$G44),YrBurden,0),MATCH($I40,CostCtr,0)))),0,(INDEX(CCRates,MATCH((J$39&amp;$G44),YrBurden,0),MATCH($I40,CostCtr,0))))</f>
        <v>3.1699999999999999E-2</v>
      </c>
      <c r="K44" s="130">
        <f t="shared" si="25"/>
        <v>3.0700000000000002E-2</v>
      </c>
      <c r="L44" s="130">
        <f t="shared" si="25"/>
        <v>2.9700000000000001E-2</v>
      </c>
      <c r="M44" s="130">
        <f t="shared" si="25"/>
        <v>2.8799999999999999E-2</v>
      </c>
      <c r="N44" s="130">
        <f t="shared" si="25"/>
        <v>2.8000000000000001E-2</v>
      </c>
      <c r="O44" s="130">
        <f t="shared" si="25"/>
        <v>2.8000000000000001E-2</v>
      </c>
      <c r="P44" s="130">
        <f t="shared" si="25"/>
        <v>2.8000000000000001E-2</v>
      </c>
      <c r="Q44" s="130">
        <f t="shared" si="25"/>
        <v>2.8000000000000001E-2</v>
      </c>
      <c r="R44" s="131">
        <f>Q44</f>
        <v>2.8000000000000001E-2</v>
      </c>
      <c r="S44" s="131">
        <f t="shared" si="22"/>
        <v>2.8000000000000001E-2</v>
      </c>
      <c r="T44" s="131">
        <f t="shared" si="22"/>
        <v>2.8000000000000001E-2</v>
      </c>
      <c r="U44" s="131">
        <f t="shared" si="22"/>
        <v>2.8000000000000001E-2</v>
      </c>
      <c r="V44" s="131">
        <f t="shared" si="22"/>
        <v>2.8000000000000001E-2</v>
      </c>
      <c r="W44" s="131">
        <f t="shared" si="22"/>
        <v>2.8000000000000001E-2</v>
      </c>
      <c r="X44" s="131">
        <f>W44</f>
        <v>2.8000000000000001E-2</v>
      </c>
      <c r="Y44" s="722"/>
      <c r="AI44" s="141"/>
    </row>
    <row r="45" spans="1:35">
      <c r="A45" s="196" t="str">
        <f t="shared" si="20"/>
        <v>ISG&amp;A</v>
      </c>
      <c r="B45" s="196"/>
      <c r="C45" s="32" t="s">
        <v>597</v>
      </c>
      <c r="D45" s="32" t="s">
        <v>639</v>
      </c>
      <c r="F45" s="15"/>
      <c r="G45" s="13" t="s">
        <v>597</v>
      </c>
      <c r="H45" s="97"/>
      <c r="I45" s="130">
        <f>IF((ISERROR(INDEX(CCRates,MATCH((I$39&amp;$G45),YrBurden,0),MATCH($I40,CostCtr,0)))),0,(INDEX(CCRates,MATCH((I$39&amp;$G45),YrBurden,0),MATCH($I40,CostCtr,0))))</f>
        <v>0</v>
      </c>
      <c r="J45" s="130">
        <f t="shared" ref="J45:Q45" si="26">IF((ISERROR(INDEX(CCRates,MATCH((J$39&amp;$G45),YrBurden,0),MATCH($I40,CostCtr,0)))),0,(INDEX(CCRates,MATCH((J$39&amp;$G45),YrBurden,0),MATCH($I40,CostCtr,0))))</f>
        <v>9.7500000000000003E-2</v>
      </c>
      <c r="K45" s="130">
        <f t="shared" si="26"/>
        <v>9.4700000000000006E-2</v>
      </c>
      <c r="L45" s="130">
        <f t="shared" si="26"/>
        <v>9.1999999999999998E-2</v>
      </c>
      <c r="M45" s="130">
        <f t="shared" si="26"/>
        <v>8.9499999999999996E-2</v>
      </c>
      <c r="N45" s="130">
        <f t="shared" si="26"/>
        <v>8.7099999999999997E-2</v>
      </c>
      <c r="O45" s="130">
        <f t="shared" si="26"/>
        <v>8.7099999999999997E-2</v>
      </c>
      <c r="P45" s="130">
        <f t="shared" si="26"/>
        <v>8.7099999999999997E-2</v>
      </c>
      <c r="Q45" s="130">
        <f t="shared" si="26"/>
        <v>8.7099999999999997E-2</v>
      </c>
      <c r="R45" s="131">
        <f>Q45</f>
        <v>8.7099999999999997E-2</v>
      </c>
      <c r="S45" s="131">
        <f t="shared" si="22"/>
        <v>8.7099999999999997E-2</v>
      </c>
      <c r="T45" s="131">
        <f t="shared" si="22"/>
        <v>8.7099999999999997E-2</v>
      </c>
      <c r="U45" s="131">
        <f t="shared" si="22"/>
        <v>8.7099999999999997E-2</v>
      </c>
      <c r="V45" s="131">
        <f t="shared" si="22"/>
        <v>8.7099999999999997E-2</v>
      </c>
      <c r="W45" s="131">
        <f t="shared" si="22"/>
        <v>8.7099999999999997E-2</v>
      </c>
      <c r="X45" s="131">
        <f>W45</f>
        <v>8.7099999999999997E-2</v>
      </c>
      <c r="Y45" s="820"/>
      <c r="AI45" s="141"/>
    </row>
    <row r="46" spans="1:35">
      <c r="A46" s="196" t="str">
        <f t="shared" si="20"/>
        <v>ISTBD1</v>
      </c>
      <c r="B46" s="196"/>
      <c r="C46" s="32" t="s">
        <v>49</v>
      </c>
      <c r="D46" s="32" t="s">
        <v>639</v>
      </c>
      <c r="F46" s="15"/>
      <c r="G46" s="13" t="s">
        <v>49</v>
      </c>
      <c r="H46" s="97"/>
      <c r="I46" s="130">
        <f t="shared" ref="I46:J48" si="27">H46</f>
        <v>0</v>
      </c>
      <c r="J46" s="130">
        <f t="shared" si="27"/>
        <v>0</v>
      </c>
      <c r="K46" s="130">
        <f t="shared" ref="K46:M48" si="28">+J46</f>
        <v>0</v>
      </c>
      <c r="L46" s="130">
        <f t="shared" si="28"/>
        <v>0</v>
      </c>
      <c r="M46" s="132">
        <f t="shared" si="28"/>
        <v>0</v>
      </c>
      <c r="N46" s="132">
        <f t="shared" ref="N46:W46" si="29">+M46</f>
        <v>0</v>
      </c>
      <c r="O46" s="131">
        <f t="shared" si="29"/>
        <v>0</v>
      </c>
      <c r="P46" s="131">
        <f t="shared" si="29"/>
        <v>0</v>
      </c>
      <c r="Q46" s="131">
        <f t="shared" si="29"/>
        <v>0</v>
      </c>
      <c r="R46" s="131">
        <f>+Q46</f>
        <v>0</v>
      </c>
      <c r="S46" s="131">
        <f t="shared" si="29"/>
        <v>0</v>
      </c>
      <c r="T46" s="131">
        <f t="shared" si="29"/>
        <v>0</v>
      </c>
      <c r="U46" s="131">
        <f t="shared" si="29"/>
        <v>0</v>
      </c>
      <c r="V46" s="131">
        <f t="shared" si="29"/>
        <v>0</v>
      </c>
      <c r="W46" s="131">
        <f t="shared" si="29"/>
        <v>0</v>
      </c>
      <c r="X46" s="131">
        <f>+W46</f>
        <v>0</v>
      </c>
      <c r="Y46" s="722"/>
      <c r="AI46" s="141"/>
    </row>
    <row r="47" spans="1:35">
      <c r="A47" s="196" t="str">
        <f t="shared" si="20"/>
        <v>ISTBD2</v>
      </c>
      <c r="B47" s="196"/>
      <c r="C47" s="32" t="s">
        <v>50</v>
      </c>
      <c r="D47" s="32" t="s">
        <v>639</v>
      </c>
      <c r="F47" s="15"/>
      <c r="G47" s="13" t="s">
        <v>50</v>
      </c>
      <c r="H47" s="97"/>
      <c r="I47" s="130">
        <f t="shared" si="27"/>
        <v>0</v>
      </c>
      <c r="J47" s="130">
        <f t="shared" si="27"/>
        <v>0</v>
      </c>
      <c r="K47" s="130">
        <f t="shared" si="28"/>
        <v>0</v>
      </c>
      <c r="L47" s="130">
        <f t="shared" si="28"/>
        <v>0</v>
      </c>
      <c r="M47" s="132">
        <f t="shared" si="28"/>
        <v>0</v>
      </c>
      <c r="N47" s="132">
        <f t="shared" ref="N47:W47" si="30">+M47</f>
        <v>0</v>
      </c>
      <c r="O47" s="131">
        <f t="shared" si="30"/>
        <v>0</v>
      </c>
      <c r="P47" s="131">
        <f t="shared" si="30"/>
        <v>0</v>
      </c>
      <c r="Q47" s="131">
        <f t="shared" si="30"/>
        <v>0</v>
      </c>
      <c r="R47" s="131">
        <f>+Q47</f>
        <v>0</v>
      </c>
      <c r="S47" s="131">
        <f t="shared" si="30"/>
        <v>0</v>
      </c>
      <c r="T47" s="131">
        <f t="shared" si="30"/>
        <v>0</v>
      </c>
      <c r="U47" s="131">
        <f t="shared" si="30"/>
        <v>0</v>
      </c>
      <c r="V47" s="131">
        <f t="shared" si="30"/>
        <v>0</v>
      </c>
      <c r="W47" s="131">
        <f t="shared" si="30"/>
        <v>0</v>
      </c>
      <c r="X47" s="131">
        <f>+W47</f>
        <v>0</v>
      </c>
      <c r="Y47" s="722"/>
      <c r="AI47" s="141"/>
    </row>
    <row r="48" spans="1:35">
      <c r="A48" s="196" t="str">
        <f t="shared" si="20"/>
        <v>ISTBD3</v>
      </c>
      <c r="B48" s="196"/>
      <c r="C48" s="33" t="s">
        <v>51</v>
      </c>
      <c r="D48" s="33" t="s">
        <v>639</v>
      </c>
      <c r="F48" s="15"/>
      <c r="G48" s="13" t="s">
        <v>51</v>
      </c>
      <c r="H48" s="97"/>
      <c r="I48" s="130">
        <f t="shared" si="27"/>
        <v>0</v>
      </c>
      <c r="J48" s="130">
        <f t="shared" si="27"/>
        <v>0</v>
      </c>
      <c r="K48" s="130">
        <f t="shared" si="28"/>
        <v>0</v>
      </c>
      <c r="L48" s="130">
        <f t="shared" si="28"/>
        <v>0</v>
      </c>
      <c r="M48" s="132">
        <f t="shared" si="28"/>
        <v>0</v>
      </c>
      <c r="N48" s="132">
        <f t="shared" ref="N48:W48" si="31">+M48</f>
        <v>0</v>
      </c>
      <c r="O48" s="131">
        <f t="shared" si="31"/>
        <v>0</v>
      </c>
      <c r="P48" s="131">
        <f t="shared" si="31"/>
        <v>0</v>
      </c>
      <c r="Q48" s="131">
        <f t="shared" si="31"/>
        <v>0</v>
      </c>
      <c r="R48" s="131">
        <f>+Q48</f>
        <v>0</v>
      </c>
      <c r="S48" s="131">
        <f t="shared" si="31"/>
        <v>0</v>
      </c>
      <c r="T48" s="131">
        <f t="shared" si="31"/>
        <v>0</v>
      </c>
      <c r="U48" s="131">
        <f t="shared" si="31"/>
        <v>0</v>
      </c>
      <c r="V48" s="131">
        <f t="shared" si="31"/>
        <v>0</v>
      </c>
      <c r="W48" s="131">
        <f t="shared" si="31"/>
        <v>0</v>
      </c>
      <c r="X48" s="131">
        <f>+W48</f>
        <v>0</v>
      </c>
      <c r="Y48" s="722"/>
      <c r="AI48" s="141"/>
    </row>
    <row r="49" spans="1:35">
      <c r="A49" s="196"/>
      <c r="B49" s="197"/>
      <c r="F49" s="15"/>
      <c r="G49" s="19"/>
      <c r="H49" s="97"/>
      <c r="I49" s="20"/>
      <c r="J49" s="20"/>
      <c r="K49" s="20"/>
      <c r="L49" s="20"/>
      <c r="M49" s="21"/>
      <c r="N49" s="21"/>
      <c r="O49" s="22"/>
      <c r="AI49" s="141"/>
    </row>
    <row r="50" spans="1:35">
      <c r="A50" s="196"/>
      <c r="B50" s="197"/>
      <c r="F50" s="15"/>
      <c r="G50" s="11" t="s">
        <v>651</v>
      </c>
      <c r="H50" s="97"/>
      <c r="I50" s="38">
        <f>IF(ISERROR((((1+I41)*(1+I42))*(1+I45))),"n/a",(((1+I41)*(1+I42))*(1+I45)))</f>
        <v>1</v>
      </c>
      <c r="J50" s="38">
        <f t="shared" ref="J50:X50" si="32">IF(ISERROR((((1+J41)*(1+J42))*(1+J45))),"n/a",(((1+J41)*(1+J42))*(1+J45)))</f>
        <v>1.7267023692000001</v>
      </c>
      <c r="K50" s="38">
        <f t="shared" si="32"/>
        <v>1.7222971148640001</v>
      </c>
      <c r="L50" s="38">
        <f t="shared" si="32"/>
        <v>1.7180491910400002</v>
      </c>
      <c r="M50" s="38">
        <f t="shared" si="32"/>
        <v>1.71411592824</v>
      </c>
      <c r="N50" s="38">
        <f t="shared" si="32"/>
        <v>1.710339995952</v>
      </c>
      <c r="O50" s="38">
        <f t="shared" si="32"/>
        <v>1.710339995952</v>
      </c>
      <c r="P50" s="38">
        <f t="shared" si="32"/>
        <v>1.710339995952</v>
      </c>
      <c r="Q50" s="38">
        <f t="shared" si="32"/>
        <v>1.710339995952</v>
      </c>
      <c r="R50" s="38">
        <f t="shared" si="32"/>
        <v>1.710339995952</v>
      </c>
      <c r="S50" s="38">
        <f t="shared" si="32"/>
        <v>1.710339995952</v>
      </c>
      <c r="T50" s="38">
        <f t="shared" si="32"/>
        <v>1.710339995952</v>
      </c>
      <c r="U50" s="38">
        <f t="shared" si="32"/>
        <v>1.710339995952</v>
      </c>
      <c r="V50" s="38">
        <f t="shared" si="32"/>
        <v>1.710339995952</v>
      </c>
      <c r="W50" s="38">
        <f t="shared" si="32"/>
        <v>1.710339995952</v>
      </c>
      <c r="X50" s="38">
        <f t="shared" si="32"/>
        <v>1.710339995952</v>
      </c>
      <c r="Y50" s="722"/>
      <c r="AI50" s="141"/>
    </row>
    <row r="51" spans="1:35">
      <c r="A51" s="196"/>
      <c r="B51" s="197"/>
      <c r="F51" s="15"/>
      <c r="G51" s="11" t="s">
        <v>652</v>
      </c>
      <c r="H51" s="97"/>
      <c r="I51" s="38">
        <f>IF(ISERROR((((1+I41)*(1+I43))*(1+I45))),"n/a",(((1+I41)*(1+I43))*(1+I45)))</f>
        <v>1</v>
      </c>
      <c r="J51" s="38">
        <f t="shared" ref="J51:X51" si="33">IF(ISERROR((((1+J41)*(1+J43))*(1+J45))),"n/a",(((1+J41)*(1+J43))*(1+J45)))</f>
        <v>1.4724790056999999</v>
      </c>
      <c r="K51" s="38">
        <f t="shared" si="33"/>
        <v>1.4687223394439999</v>
      </c>
      <c r="L51" s="38">
        <f t="shared" si="33"/>
        <v>1.4650998398400001</v>
      </c>
      <c r="M51" s="38">
        <f t="shared" si="33"/>
        <v>1.4617456735399998</v>
      </c>
      <c r="N51" s="38">
        <f t="shared" si="33"/>
        <v>1.4585256738919998</v>
      </c>
      <c r="O51" s="38">
        <f t="shared" si="33"/>
        <v>1.4585256738919998</v>
      </c>
      <c r="P51" s="38">
        <f t="shared" si="33"/>
        <v>1.4585256738919998</v>
      </c>
      <c r="Q51" s="38">
        <f t="shared" si="33"/>
        <v>1.4585256738919998</v>
      </c>
      <c r="R51" s="38">
        <f t="shared" si="33"/>
        <v>1.4585256738919998</v>
      </c>
      <c r="S51" s="38">
        <f t="shared" si="33"/>
        <v>1.4585256738919998</v>
      </c>
      <c r="T51" s="38">
        <f t="shared" si="33"/>
        <v>1.4585256738919998</v>
      </c>
      <c r="U51" s="38">
        <f t="shared" si="33"/>
        <v>1.4585256738919998</v>
      </c>
      <c r="V51" s="38">
        <f t="shared" si="33"/>
        <v>1.4585256738919998</v>
      </c>
      <c r="W51" s="38">
        <f t="shared" si="33"/>
        <v>1.4585256738919998</v>
      </c>
      <c r="X51" s="38">
        <f t="shared" si="33"/>
        <v>1.4585256738919998</v>
      </c>
      <c r="Y51" s="722"/>
      <c r="AI51" s="141"/>
    </row>
    <row r="52" spans="1:35" s="704" customFormat="1" ht="13.5" thickBot="1">
      <c r="A52" s="709"/>
      <c r="B52" s="709"/>
      <c r="F52" s="710"/>
      <c r="G52" s="342" t="s">
        <v>653</v>
      </c>
      <c r="H52" s="711"/>
      <c r="I52" s="712">
        <f>(I44*(1+I45))+1</f>
        <v>1</v>
      </c>
      <c r="J52" s="712">
        <f t="shared" ref="J52:W52" si="34">(J44*(1+J45))+1</f>
        <v>1.03479075</v>
      </c>
      <c r="K52" s="712">
        <f t="shared" si="34"/>
        <v>1.03360729</v>
      </c>
      <c r="L52" s="712">
        <f t="shared" si="34"/>
        <v>1.0324324</v>
      </c>
      <c r="M52" s="712">
        <f t="shared" si="34"/>
        <v>1.0313775999999999</v>
      </c>
      <c r="N52" s="712">
        <f t="shared" si="34"/>
        <v>1.0304388</v>
      </c>
      <c r="O52" s="712">
        <f t="shared" si="34"/>
        <v>1.0304388</v>
      </c>
      <c r="P52" s="712">
        <f t="shared" si="34"/>
        <v>1.0304388</v>
      </c>
      <c r="Q52" s="712">
        <f t="shared" si="34"/>
        <v>1.0304388</v>
      </c>
      <c r="R52" s="712">
        <f t="shared" si="34"/>
        <v>1.0304388</v>
      </c>
      <c r="S52" s="712">
        <f t="shared" si="34"/>
        <v>1.0304388</v>
      </c>
      <c r="T52" s="712">
        <f t="shared" si="34"/>
        <v>1.0304388</v>
      </c>
      <c r="U52" s="712">
        <f t="shared" si="34"/>
        <v>1.0304388</v>
      </c>
      <c r="V52" s="712">
        <f t="shared" si="34"/>
        <v>1.0304388</v>
      </c>
      <c r="W52" s="712">
        <f t="shared" si="34"/>
        <v>1.0304388</v>
      </c>
      <c r="X52" s="712">
        <f>(X44*(1+X45))+1</f>
        <v>1.0304388</v>
      </c>
      <c r="Y52" s="723"/>
      <c r="AI52" s="713"/>
    </row>
    <row r="53" spans="1:35">
      <c r="A53" s="196"/>
      <c r="B53" s="197"/>
      <c r="C53" s="123" t="s">
        <v>92</v>
      </c>
      <c r="F53" s="15"/>
      <c r="G53" s="11"/>
      <c r="H53" s="97"/>
      <c r="I53" s="125"/>
      <c r="J53" s="125"/>
      <c r="K53" s="125"/>
      <c r="L53" s="125"/>
      <c r="M53" s="125"/>
      <c r="N53" s="125"/>
      <c r="O53" s="125"/>
      <c r="P53" s="125"/>
      <c r="Q53" s="125"/>
      <c r="R53" s="125"/>
      <c r="S53" s="125"/>
      <c r="T53" s="125"/>
      <c r="U53" s="125"/>
      <c r="V53" s="125"/>
      <c r="W53" s="125"/>
      <c r="AI53" s="141"/>
    </row>
    <row r="54" spans="1:35" hidden="1" outlineLevel="1">
      <c r="A54" s="196"/>
      <c r="B54" s="197"/>
      <c r="C54" s="8"/>
      <c r="D54" s="15" t="s">
        <v>20</v>
      </c>
      <c r="E54" s="99">
        <f>VLOOKUP(I87,'Esc Code'!$B$58:$C$92,2,FALSE)</f>
        <v>3.3000000000000002E-2</v>
      </c>
      <c r="F54" s="81"/>
      <c r="G54" s="10"/>
      <c r="H54" s="10"/>
      <c r="J54" s="10"/>
      <c r="K54" s="10"/>
      <c r="L54" s="10"/>
      <c r="M54" s="10"/>
      <c r="N54" s="10"/>
      <c r="O54" s="10"/>
      <c r="P54" s="10"/>
      <c r="Q54" s="10"/>
      <c r="R54" s="10"/>
      <c r="S54" s="10"/>
      <c r="T54" s="10"/>
      <c r="U54" s="10"/>
      <c r="V54" s="10"/>
      <c r="W54" s="10"/>
      <c r="X54" s="10"/>
      <c r="Y54" s="10"/>
    </row>
    <row r="55" spans="1:35" hidden="1" outlineLevel="1">
      <c r="A55" s="196"/>
      <c r="B55" s="196"/>
      <c r="D55" s="15" t="s">
        <v>23</v>
      </c>
      <c r="E55" s="100" t="str">
        <f>VLOOKUP(E57,'Esc Code'!$D$45:$K$56,7,FALSE)</f>
        <v>Standard</v>
      </c>
      <c r="F55" s="47"/>
      <c r="T55" s="98"/>
      <c r="U55" s="98"/>
      <c r="V55" s="98"/>
      <c r="W55" s="98"/>
      <c r="X55" s="98"/>
      <c r="Y55" s="98"/>
    </row>
    <row r="56" spans="1:35" hidden="1" outlineLevel="1">
      <c r="A56" s="196"/>
      <c r="B56" s="196"/>
      <c r="D56" s="15" t="s">
        <v>24</v>
      </c>
      <c r="E56" s="139">
        <f>E9</f>
        <v>40109</v>
      </c>
      <c r="F56" s="87"/>
      <c r="T56" s="98"/>
      <c r="U56" s="98"/>
      <c r="V56" s="98"/>
      <c r="W56" s="98"/>
      <c r="X56" s="98"/>
      <c r="Y56" s="98"/>
    </row>
    <row r="57" spans="1:35" hidden="1" outlineLevel="1">
      <c r="A57" s="196"/>
      <c r="B57" s="196"/>
      <c r="D57" s="82" t="s">
        <v>21</v>
      </c>
      <c r="E57" s="83" t="s">
        <v>7</v>
      </c>
      <c r="F57" s="84" t="s">
        <v>22</v>
      </c>
      <c r="T57" s="98"/>
      <c r="U57" s="98"/>
      <c r="V57" s="98"/>
      <c r="W57" s="98"/>
      <c r="X57" s="98"/>
      <c r="Y57" s="98"/>
    </row>
    <row r="58" spans="1:35" hidden="1" outlineLevel="1">
      <c r="A58" s="196"/>
      <c r="B58" s="196"/>
      <c r="D58" s="82"/>
      <c r="E58" s="101"/>
      <c r="F58" s="84"/>
      <c r="I58" s="102"/>
      <c r="Y58" s="98"/>
    </row>
    <row r="59" spans="1:35" hidden="1" outlineLevel="2">
      <c r="A59" s="196"/>
      <c r="B59" s="196"/>
      <c r="I59" s="85">
        <f>I12</f>
        <v>2008</v>
      </c>
      <c r="J59" s="85">
        <f t="shared" ref="J59:W59" si="35">+I59+1</f>
        <v>2009</v>
      </c>
      <c r="K59" s="85">
        <f t="shared" si="35"/>
        <v>2010</v>
      </c>
      <c r="L59" s="85">
        <f t="shared" si="35"/>
        <v>2011</v>
      </c>
      <c r="M59" s="85">
        <f t="shared" si="35"/>
        <v>2012</v>
      </c>
      <c r="N59" s="85">
        <f t="shared" si="35"/>
        <v>2013</v>
      </c>
      <c r="O59" s="85">
        <f t="shared" si="35"/>
        <v>2014</v>
      </c>
      <c r="P59" s="85">
        <f t="shared" si="35"/>
        <v>2015</v>
      </c>
      <c r="Q59" s="85">
        <f t="shared" si="35"/>
        <v>2016</v>
      </c>
      <c r="R59" s="85">
        <f t="shared" si="35"/>
        <v>2017</v>
      </c>
      <c r="S59" s="85">
        <f t="shared" si="35"/>
        <v>2018</v>
      </c>
      <c r="T59" s="85">
        <f t="shared" si="35"/>
        <v>2019</v>
      </c>
      <c r="U59" s="85">
        <f t="shared" si="35"/>
        <v>2020</v>
      </c>
      <c r="V59" s="85">
        <f t="shared" si="35"/>
        <v>2021</v>
      </c>
      <c r="W59" s="85">
        <f t="shared" si="35"/>
        <v>2022</v>
      </c>
      <c r="X59" s="85">
        <f>+W59+1</f>
        <v>2023</v>
      </c>
      <c r="Y59" s="98"/>
    </row>
    <row r="60" spans="1:35" hidden="1" outlineLevel="2">
      <c r="A60" s="196"/>
      <c r="B60" s="196"/>
      <c r="D60" s="15"/>
      <c r="E60" s="87"/>
      <c r="F60" s="87"/>
      <c r="I60" s="85">
        <f>VLOOKUP($E57,'Esc Code'!$D$45:$K$56,2,FALSE)</f>
        <v>4</v>
      </c>
      <c r="J60" s="85">
        <f>VLOOKUP($E57,'Esc Code'!$D$45:$K$56,2,FALSE)</f>
        <v>4</v>
      </c>
      <c r="K60" s="85">
        <f>VLOOKUP($E57,'Esc Code'!$D$45:$K$56,2,FALSE)</f>
        <v>4</v>
      </c>
      <c r="L60" s="85">
        <f>VLOOKUP($E57,'Esc Code'!$D$45:$K$56,2,FALSE)</f>
        <v>4</v>
      </c>
      <c r="M60" s="85">
        <f>VLOOKUP($E57,'Esc Code'!$D$45:$K$56,2,FALSE)</f>
        <v>4</v>
      </c>
      <c r="N60" s="85">
        <f>VLOOKUP($E57,'Esc Code'!$D$45:$K$56,2,FALSE)</f>
        <v>4</v>
      </c>
      <c r="O60" s="85">
        <f>VLOOKUP($E57,'Esc Code'!$D$45:$K$56,2,FALSE)</f>
        <v>4</v>
      </c>
      <c r="P60" s="85">
        <f>VLOOKUP($E57,'Esc Code'!$D$45:$K$56,2,FALSE)</f>
        <v>4</v>
      </c>
      <c r="Q60" s="85">
        <f>VLOOKUP($E57,'Esc Code'!$D$45:$K$56,2,FALSE)</f>
        <v>4</v>
      </c>
      <c r="R60" s="85">
        <f>VLOOKUP($E57,'Esc Code'!$D$45:$K$56,2,FALSE)</f>
        <v>4</v>
      </c>
      <c r="S60" s="85">
        <f>VLOOKUP($E57,'Esc Code'!$D$45:$K$56,2,FALSE)</f>
        <v>4</v>
      </c>
      <c r="T60" s="85">
        <f>VLOOKUP($E57,'Esc Code'!$D$45:$K$56,2,FALSE)</f>
        <v>4</v>
      </c>
      <c r="U60" s="85">
        <f>VLOOKUP($E57,'Esc Code'!$D$45:$K$56,2,FALSE)</f>
        <v>4</v>
      </c>
      <c r="V60" s="85">
        <f>VLOOKUP($E57,'Esc Code'!$D$45:$K$56,2,FALSE)</f>
        <v>4</v>
      </c>
      <c r="W60" s="85">
        <f>VLOOKUP($E57,'Esc Code'!$D$45:$K$56,2,FALSE)</f>
        <v>4</v>
      </c>
      <c r="X60" s="85">
        <f>VLOOKUP($E57,'Esc Code'!$D$45:$K$56,2,FALSE)</f>
        <v>4</v>
      </c>
      <c r="Y60" s="98"/>
    </row>
    <row r="61" spans="1:35" hidden="1" outlineLevel="2">
      <c r="A61" s="196"/>
      <c r="B61" s="196"/>
      <c r="D61" s="15"/>
      <c r="E61" s="87"/>
      <c r="F61" s="87"/>
      <c r="I61" s="85">
        <f>VLOOKUP($E57,'Esc Code'!$D$45:$K$56,3,FALSE)</f>
        <v>1</v>
      </c>
      <c r="J61" s="85">
        <f>VLOOKUP($E57,'Esc Code'!$D$45:$K$56,3,FALSE)</f>
        <v>1</v>
      </c>
      <c r="K61" s="85">
        <f>VLOOKUP($E57,'Esc Code'!$D$45:$K$56,3,FALSE)</f>
        <v>1</v>
      </c>
      <c r="L61" s="85">
        <f>VLOOKUP($E57,'Esc Code'!$D$45:$K$56,3,FALSE)</f>
        <v>1</v>
      </c>
      <c r="M61" s="85">
        <f>VLOOKUP($E57,'Esc Code'!$D$45:$K$56,3,FALSE)</f>
        <v>1</v>
      </c>
      <c r="N61" s="85">
        <f>VLOOKUP($E57,'Esc Code'!$D$45:$K$56,3,FALSE)</f>
        <v>1</v>
      </c>
      <c r="O61" s="85">
        <f>VLOOKUP($E57,'Esc Code'!$D$45:$K$56,3,FALSE)</f>
        <v>1</v>
      </c>
      <c r="P61" s="85">
        <f>VLOOKUP($E57,'Esc Code'!$D$45:$K$56,3,FALSE)</f>
        <v>1</v>
      </c>
      <c r="Q61" s="85">
        <f>VLOOKUP($E57,'Esc Code'!$D$45:$K$56,3,FALSE)</f>
        <v>1</v>
      </c>
      <c r="R61" s="85">
        <f>VLOOKUP($E57,'Esc Code'!$D$45:$K$56,3,FALSE)</f>
        <v>1</v>
      </c>
      <c r="S61" s="85">
        <f>VLOOKUP($E57,'Esc Code'!$D$45:$K$56,3,FALSE)</f>
        <v>1</v>
      </c>
      <c r="T61" s="85">
        <f>VLOOKUP($E57,'Esc Code'!$D$45:$K$56,3,FALSE)</f>
        <v>1</v>
      </c>
      <c r="U61" s="85">
        <f>VLOOKUP($E57,'Esc Code'!$D$45:$K$56,3,FALSE)</f>
        <v>1</v>
      </c>
      <c r="V61" s="85">
        <f>VLOOKUP($E57,'Esc Code'!$D$45:$K$56,3,FALSE)</f>
        <v>1</v>
      </c>
      <c r="W61" s="85">
        <f>VLOOKUP($E57,'Esc Code'!$D$45:$K$56,3,FALSE)</f>
        <v>1</v>
      </c>
      <c r="X61" s="85">
        <f>VLOOKUP($E57,'Esc Code'!$D$45:$K$56,3,FALSE)</f>
        <v>1</v>
      </c>
      <c r="Y61" s="98"/>
    </row>
    <row r="62" spans="1:35" hidden="1" outlineLevel="2">
      <c r="A62" s="196"/>
      <c r="B62" s="196"/>
      <c r="D62" s="15"/>
      <c r="E62" s="87"/>
      <c r="F62" s="87"/>
      <c r="I62" s="85">
        <f>IF(VLOOKUP($E57,'Esc Code'!$D$45:$K$56,6,FALSE)="Yes",I59+1,I59)</f>
        <v>2009</v>
      </c>
      <c r="J62" s="85">
        <f>IF(VLOOKUP($E57,'Esc Code'!$D$45:$K$56,6,FALSE)="Yes",J59+1,J59)</f>
        <v>2010</v>
      </c>
      <c r="K62" s="85">
        <f>IF(VLOOKUP($E57,'Esc Code'!$D$45:$K$56,6,FALSE)="Yes",K59+1,K59)</f>
        <v>2011</v>
      </c>
      <c r="L62" s="85">
        <f>IF(VLOOKUP($E57,'Esc Code'!$D$45:$K$56,6,FALSE)="Yes",L59+1,L59)</f>
        <v>2012</v>
      </c>
      <c r="M62" s="85">
        <f>IF(VLOOKUP($E57,'Esc Code'!$D$45:$K$56,6,FALSE)="Yes",M59+1,M59)</f>
        <v>2013</v>
      </c>
      <c r="N62" s="85">
        <f>IF(VLOOKUP($E57,'Esc Code'!$D$45:$K$56,6,FALSE)="Yes",N59+1,N59)</f>
        <v>2014</v>
      </c>
      <c r="O62" s="85">
        <f>IF(VLOOKUP($E57,'Esc Code'!$D$45:$K$56,6,FALSE)="Yes",O59+1,O59)</f>
        <v>2015</v>
      </c>
      <c r="P62" s="85">
        <f>IF(VLOOKUP($E57,'Esc Code'!$D$45:$K$56,6,FALSE)="Yes",P59+1,P59)</f>
        <v>2016</v>
      </c>
      <c r="Q62" s="85">
        <f>IF(VLOOKUP($E57,'Esc Code'!$D$45:$K$56,6,FALSE)="Yes",Q59+1,Q59)</f>
        <v>2017</v>
      </c>
      <c r="R62" s="85">
        <f>IF(VLOOKUP($E57,'Esc Code'!$D$45:$K$56,6,FALSE)="Yes",R59+1,R59)</f>
        <v>2018</v>
      </c>
      <c r="S62" s="85">
        <f>IF(VLOOKUP($E57,'Esc Code'!$D$45:$K$56,6,FALSE)="Yes",S59+1,S59)</f>
        <v>2019</v>
      </c>
      <c r="T62" s="85">
        <f>IF(VLOOKUP($E57,'Esc Code'!$D$45:$K$56,6,FALSE)="Yes",T59+1,T59)</f>
        <v>2020</v>
      </c>
      <c r="U62" s="85">
        <f>IF(VLOOKUP($E57,'Esc Code'!$D$45:$K$56,6,FALSE)="Yes",U59+1,U59)</f>
        <v>2021</v>
      </c>
      <c r="V62" s="85">
        <f>IF(VLOOKUP($E57,'Esc Code'!$D$45:$K$56,6,FALSE)="Yes",V59+1,V59)</f>
        <v>2022</v>
      </c>
      <c r="W62" s="85">
        <f>IF(VLOOKUP($E57,'Esc Code'!$D$45:$K$56,6,FALSE)="Yes",W59+1,W59)</f>
        <v>2023</v>
      </c>
      <c r="X62" s="85">
        <f>IF(VLOOKUP($E57,'Esc Code'!$D$45:$K$56,6,FALSE)="Yes",X59+1,X59)</f>
        <v>2024</v>
      </c>
      <c r="Y62" s="98"/>
    </row>
    <row r="63" spans="1:35" hidden="1" outlineLevel="2">
      <c r="A63" s="196"/>
      <c r="B63" s="196"/>
      <c r="D63" s="15"/>
      <c r="E63" s="87"/>
      <c r="F63" s="87"/>
      <c r="I63" s="85">
        <f>VLOOKUP($E57,'Esc Code'!$D$45:$K$56,4,FALSE)</f>
        <v>3</v>
      </c>
      <c r="J63" s="85">
        <f>VLOOKUP($E57,'Esc Code'!$D$45:$K$56,4,FALSE)</f>
        <v>3</v>
      </c>
      <c r="K63" s="85">
        <f>VLOOKUP($E57,'Esc Code'!$D$45:$K$56,4,FALSE)</f>
        <v>3</v>
      </c>
      <c r="L63" s="85">
        <f>VLOOKUP($E57,'Esc Code'!$D$45:$K$56,4,FALSE)</f>
        <v>3</v>
      </c>
      <c r="M63" s="85">
        <f>VLOOKUP($E57,'Esc Code'!$D$45:$K$56,4,FALSE)</f>
        <v>3</v>
      </c>
      <c r="N63" s="85">
        <f>VLOOKUP($E57,'Esc Code'!$D$45:$K$56,4,FALSE)</f>
        <v>3</v>
      </c>
      <c r="O63" s="85">
        <f>VLOOKUP($E57,'Esc Code'!$D$45:$K$56,4,FALSE)</f>
        <v>3</v>
      </c>
      <c r="P63" s="85">
        <f>VLOOKUP($E57,'Esc Code'!$D$45:$K$56,4,FALSE)</f>
        <v>3</v>
      </c>
      <c r="Q63" s="85">
        <f>VLOOKUP($E57,'Esc Code'!$D$45:$K$56,4,FALSE)</f>
        <v>3</v>
      </c>
      <c r="R63" s="85">
        <f>VLOOKUP($E57,'Esc Code'!$D$45:$K$56,4,FALSE)</f>
        <v>3</v>
      </c>
      <c r="S63" s="85">
        <f>VLOOKUP($E57,'Esc Code'!$D$45:$K$56,4,FALSE)</f>
        <v>3</v>
      </c>
      <c r="T63" s="85">
        <f>VLOOKUP($E57,'Esc Code'!$D$45:$K$56,4,FALSE)</f>
        <v>3</v>
      </c>
      <c r="U63" s="85">
        <f>VLOOKUP($E57,'Esc Code'!$D$45:$K$56,4,FALSE)</f>
        <v>3</v>
      </c>
      <c r="V63" s="85">
        <f>VLOOKUP($E57,'Esc Code'!$D$45:$K$56,4,FALSE)</f>
        <v>3</v>
      </c>
      <c r="W63" s="85">
        <f>VLOOKUP($E57,'Esc Code'!$D$45:$K$56,4,FALSE)</f>
        <v>3</v>
      </c>
      <c r="X63" s="85">
        <f>VLOOKUP($E57,'Esc Code'!$D$45:$K$56,4,FALSE)</f>
        <v>3</v>
      </c>
      <c r="Y63" s="98"/>
    </row>
    <row r="64" spans="1:35" hidden="1" outlineLevel="2">
      <c r="A64" s="196"/>
      <c r="B64" s="196"/>
      <c r="D64" s="15"/>
      <c r="E64" s="87"/>
      <c r="F64" s="87"/>
      <c r="I64" s="85">
        <f>VLOOKUP($E57,'Esc Code'!$D$45:$K$56,5,FALSE)</f>
        <v>31</v>
      </c>
      <c r="J64" s="85">
        <f>VLOOKUP($E57,'Esc Code'!$D$45:$K$56,5,FALSE)</f>
        <v>31</v>
      </c>
      <c r="K64" s="85">
        <f>VLOOKUP($E57,'Esc Code'!$D$45:$K$56,5,FALSE)</f>
        <v>31</v>
      </c>
      <c r="L64" s="85">
        <f>VLOOKUP($E57,'Esc Code'!$D$45:$K$56,5,FALSE)</f>
        <v>31</v>
      </c>
      <c r="M64" s="85">
        <f>VLOOKUP($E57,'Esc Code'!$D$45:$K$56,5,FALSE)</f>
        <v>31</v>
      </c>
      <c r="N64" s="85">
        <f>VLOOKUP($E57,'Esc Code'!$D$45:$K$56,5,FALSE)</f>
        <v>31</v>
      </c>
      <c r="O64" s="85">
        <f>VLOOKUP($E57,'Esc Code'!$D$45:$K$56,5,FALSE)</f>
        <v>31</v>
      </c>
      <c r="P64" s="85">
        <f>VLOOKUP($E57,'Esc Code'!$D$45:$K$56,5,FALSE)</f>
        <v>31</v>
      </c>
      <c r="Q64" s="85">
        <f>VLOOKUP($E57,'Esc Code'!$D$45:$K$56,5,FALSE)</f>
        <v>31</v>
      </c>
      <c r="R64" s="85">
        <f>VLOOKUP($E57,'Esc Code'!$D$45:$K$56,5,FALSE)</f>
        <v>31</v>
      </c>
      <c r="S64" s="85">
        <f>VLOOKUP($E57,'Esc Code'!$D$45:$K$56,5,FALSE)</f>
        <v>31</v>
      </c>
      <c r="T64" s="85">
        <f>VLOOKUP($E57,'Esc Code'!$D$45:$K$56,5,FALSE)</f>
        <v>31</v>
      </c>
      <c r="U64" s="85">
        <f>VLOOKUP($E57,'Esc Code'!$D$45:$K$56,5,FALSE)</f>
        <v>31</v>
      </c>
      <c r="V64" s="85">
        <f>VLOOKUP($E57,'Esc Code'!$D$45:$K$56,5,FALSE)</f>
        <v>31</v>
      </c>
      <c r="W64" s="85">
        <f>VLOOKUP($E57,'Esc Code'!$D$45:$K$56,5,FALSE)</f>
        <v>31</v>
      </c>
      <c r="X64" s="85">
        <f>VLOOKUP($E57,'Esc Code'!$D$45:$K$56,5,FALSE)</f>
        <v>31</v>
      </c>
      <c r="Y64" s="98"/>
    </row>
    <row r="65" spans="1:25" hidden="1" outlineLevel="2">
      <c r="A65" s="196"/>
      <c r="B65" s="196"/>
      <c r="D65" s="15"/>
      <c r="E65" s="103"/>
      <c r="F65" s="50"/>
      <c r="G65" s="14" t="s">
        <v>25</v>
      </c>
      <c r="I65" s="80">
        <f>IF(OR((I66=$E56),(I66&gt;$E56)),F56+1,0)</f>
        <v>0</v>
      </c>
      <c r="J65" s="80">
        <f t="shared" ref="J65:W65" si="36">IF(OR((J66=$E56),(J66&gt;$E56)),I65+1,0)</f>
        <v>0</v>
      </c>
      <c r="K65" s="80">
        <f t="shared" si="36"/>
        <v>1</v>
      </c>
      <c r="L65" s="80">
        <f t="shared" si="36"/>
        <v>2</v>
      </c>
      <c r="M65" s="80">
        <f t="shared" si="36"/>
        <v>3</v>
      </c>
      <c r="N65" s="80">
        <f t="shared" si="36"/>
        <v>4</v>
      </c>
      <c r="O65" s="80">
        <f t="shared" si="36"/>
        <v>5</v>
      </c>
      <c r="P65" s="80">
        <f t="shared" si="36"/>
        <v>6</v>
      </c>
      <c r="Q65" s="80">
        <f t="shared" si="36"/>
        <v>7</v>
      </c>
      <c r="R65" s="80">
        <f t="shared" si="36"/>
        <v>8</v>
      </c>
      <c r="S65" s="80">
        <f t="shared" si="36"/>
        <v>9</v>
      </c>
      <c r="T65" s="80">
        <f t="shared" si="36"/>
        <v>10</v>
      </c>
      <c r="U65" s="80">
        <f t="shared" si="36"/>
        <v>11</v>
      </c>
      <c r="V65" s="80">
        <f t="shared" si="36"/>
        <v>12</v>
      </c>
      <c r="W65" s="80">
        <f t="shared" si="36"/>
        <v>13</v>
      </c>
      <c r="X65" s="80">
        <f>IF(OR((X66=$E56),(X66&gt;$E56)),W65+1,0)</f>
        <v>14</v>
      </c>
      <c r="Y65" s="98"/>
    </row>
    <row r="66" spans="1:25" hidden="1" outlineLevel="1" collapsed="1">
      <c r="A66" s="196"/>
      <c r="B66" s="196"/>
      <c r="D66" s="15" t="s">
        <v>26</v>
      </c>
      <c r="E66" s="104">
        <f>HLOOKUP(1,$G65:$X66,2,FALSE)</f>
        <v>40269</v>
      </c>
      <c r="F66" s="87"/>
      <c r="G66" s="88" t="s">
        <v>2</v>
      </c>
      <c r="I66" s="73">
        <f>VLOOKUP($E57&amp;$G66,'Esc Code'!$D$4:$X$44,2,FALSE)</f>
        <v>39539</v>
      </c>
      <c r="J66" s="73">
        <f>VLOOKUP($E57&amp;$G66,'Esc Code'!$D$4:$X$44,3,FALSE)</f>
        <v>39904</v>
      </c>
      <c r="K66" s="73">
        <f>VLOOKUP($E57&amp;$G66,'Esc Code'!$D$4:$X$44,4,FALSE)</f>
        <v>40269</v>
      </c>
      <c r="L66" s="73">
        <f>VLOOKUP($E57&amp;$G66,'Esc Code'!$D$4:$X$44,5,FALSE)</f>
        <v>40634</v>
      </c>
      <c r="M66" s="73">
        <f>VLOOKUP($E57&amp;$G66,'Esc Code'!$D$4:$X$44,6,FALSE)</f>
        <v>41000</v>
      </c>
      <c r="N66" s="73">
        <f>VLOOKUP($E57&amp;$G66,'Esc Code'!$D$4:$X$44,7,FALSE)</f>
        <v>41365</v>
      </c>
      <c r="O66" s="73">
        <f>VLOOKUP($E57&amp;$G66,'Esc Code'!$D$4:$X$44,8,FALSE)</f>
        <v>41730</v>
      </c>
      <c r="P66" s="73">
        <f>VLOOKUP($E57&amp;$G66,'Esc Code'!$D$4:$X$44,9,FALSE)</f>
        <v>42095</v>
      </c>
      <c r="Q66" s="73">
        <f>VLOOKUP($E57&amp;$G66,'Esc Code'!$D$4:$X$44,10,FALSE)</f>
        <v>42461</v>
      </c>
      <c r="R66" s="73">
        <f>VLOOKUP($E57&amp;$G66,'Esc Code'!$D$4:$X$44,11,FALSE)</f>
        <v>42826</v>
      </c>
      <c r="S66" s="73">
        <f>VLOOKUP($E57&amp;$G66,'Esc Code'!$D$4:$X$44,12,FALSE)</f>
        <v>43191</v>
      </c>
      <c r="T66" s="73">
        <f>VLOOKUP($E57&amp;$G66,'Esc Code'!$D$4:$X$44,13,FALSE)</f>
        <v>43556</v>
      </c>
      <c r="U66" s="73">
        <f>VLOOKUP($E57&amp;$G66,'Esc Code'!$D$4:$X$44,14,FALSE)</f>
        <v>43922</v>
      </c>
      <c r="V66" s="73">
        <f>VLOOKUP($E57&amp;$G66,'Esc Code'!$D$4:$X$44,15,FALSE)</f>
        <v>44287</v>
      </c>
      <c r="W66" s="73">
        <f>VLOOKUP($E57&amp;$G66,'Esc Code'!$D$4:$X$44,16,FALSE)</f>
        <v>44652</v>
      </c>
      <c r="X66" s="73">
        <f>VLOOKUP($E57&amp;$G66,'Esc Code'!$D$4:$X$44,16,FALSE)</f>
        <v>44652</v>
      </c>
      <c r="Y66" s="721"/>
    </row>
    <row r="67" spans="1:25" hidden="1" outlineLevel="1">
      <c r="A67" s="196"/>
      <c r="B67" s="196"/>
      <c r="E67" s="7"/>
      <c r="G67" s="88" t="s">
        <v>3</v>
      </c>
      <c r="I67" s="73">
        <f>VLOOKUP($E57&amp;$G67,'Esc Code'!$D$4:$X$44,2,FALSE)</f>
        <v>39903</v>
      </c>
      <c r="J67" s="73">
        <f>VLOOKUP($E57&amp;$G67,'Esc Code'!$D$4:$X$44,3,FALSE)</f>
        <v>40268</v>
      </c>
      <c r="K67" s="73">
        <f>VLOOKUP($E57&amp;$G67,'Esc Code'!$D$4:$X$44,4,FALSE)</f>
        <v>40633</v>
      </c>
      <c r="L67" s="73">
        <f>VLOOKUP($E57&amp;$G67,'Esc Code'!$D$4:$X$44,5,FALSE)</f>
        <v>40999</v>
      </c>
      <c r="M67" s="73">
        <f>VLOOKUP($E57&amp;$G67,'Esc Code'!$D$4:$X$44,6,FALSE)</f>
        <v>41364</v>
      </c>
      <c r="N67" s="73">
        <f>VLOOKUP($E57&amp;$G67,'Esc Code'!$D$4:$X$44,7,FALSE)</f>
        <v>41729</v>
      </c>
      <c r="O67" s="73">
        <f>VLOOKUP($E57&amp;$G67,'Esc Code'!$D$4:$X$44,8,FALSE)</f>
        <v>42094</v>
      </c>
      <c r="P67" s="73">
        <f>VLOOKUP($E57&amp;$G67,'Esc Code'!$D$4:$X$44,9,FALSE)</f>
        <v>42460</v>
      </c>
      <c r="Q67" s="73">
        <f>VLOOKUP($E57&amp;$G67,'Esc Code'!$D$4:$X$44,10,FALSE)</f>
        <v>42825</v>
      </c>
      <c r="R67" s="73">
        <f>VLOOKUP($E57&amp;$G67,'Esc Code'!$D$4:$X$44,11,FALSE)</f>
        <v>43190</v>
      </c>
      <c r="S67" s="73">
        <f>VLOOKUP($E57&amp;$G67,'Esc Code'!$D$4:$X$44,12,FALSE)</f>
        <v>43555</v>
      </c>
      <c r="T67" s="73">
        <f>VLOOKUP($E57&amp;$G67,'Esc Code'!$D$4:$X$44,13,FALSE)</f>
        <v>43921</v>
      </c>
      <c r="U67" s="73">
        <f>VLOOKUP($E57&amp;$G67,'Esc Code'!$D$4:$X$44,14,FALSE)</f>
        <v>44286</v>
      </c>
      <c r="V67" s="73">
        <f>VLOOKUP($E57&amp;$G67,'Esc Code'!$D$4:$X$44,15,FALSE)</f>
        <v>44651</v>
      </c>
      <c r="W67" s="73">
        <f>VLOOKUP($E57&amp;$G67,'Esc Code'!$D$4:$X$44,16,FALSE)</f>
        <v>45016</v>
      </c>
      <c r="X67" s="73">
        <f>VLOOKUP($E57&amp;$G67,'Esc Code'!$D$4:$X$44,16,FALSE)</f>
        <v>45016</v>
      </c>
      <c r="Y67" s="721"/>
    </row>
    <row r="68" spans="1:25" ht="25.5" hidden="1" outlineLevel="1">
      <c r="A68" s="196"/>
      <c r="B68" s="196"/>
      <c r="C68" s="89" t="s">
        <v>27</v>
      </c>
      <c r="D68" s="90" t="s">
        <v>587</v>
      </c>
      <c r="E68" s="90" t="s">
        <v>588</v>
      </c>
      <c r="F68" s="89" t="s">
        <v>28</v>
      </c>
      <c r="G68" s="90" t="s">
        <v>654</v>
      </c>
      <c r="H68" s="76"/>
      <c r="I68" s="91">
        <f t="shared" ref="I68:W68" si="37">IF(I66="n/a","",(1+$E54)^I65)</f>
        <v>1</v>
      </c>
      <c r="J68" s="91">
        <f t="shared" si="37"/>
        <v>1</v>
      </c>
      <c r="K68" s="91">
        <f t="shared" si="37"/>
        <v>1.0329999999999999</v>
      </c>
      <c r="L68" s="91">
        <f t="shared" si="37"/>
        <v>1.0670889999999997</v>
      </c>
      <c r="M68" s="91">
        <f t="shared" si="37"/>
        <v>1.1023029369999997</v>
      </c>
      <c r="N68" s="91">
        <f t="shared" si="37"/>
        <v>1.1386789339209995</v>
      </c>
      <c r="O68" s="91">
        <f t="shared" si="37"/>
        <v>1.1762553387403925</v>
      </c>
      <c r="P68" s="91">
        <f t="shared" si="37"/>
        <v>1.2150717649188252</v>
      </c>
      <c r="Q68" s="91">
        <f t="shared" si="37"/>
        <v>1.2551691331611463</v>
      </c>
      <c r="R68" s="91">
        <f t="shared" si="37"/>
        <v>1.2965897145554639</v>
      </c>
      <c r="S68" s="91">
        <f t="shared" si="37"/>
        <v>1.3393771751357941</v>
      </c>
      <c r="T68" s="91">
        <f t="shared" si="37"/>
        <v>1.383576621915275</v>
      </c>
      <c r="U68" s="91">
        <f t="shared" si="37"/>
        <v>1.4292346504384792</v>
      </c>
      <c r="V68" s="91">
        <f t="shared" si="37"/>
        <v>1.4763993939029487</v>
      </c>
      <c r="W68" s="91">
        <f t="shared" si="37"/>
        <v>1.5251205739017459</v>
      </c>
      <c r="X68" s="91">
        <f>IF(X66="n/a","",(1+$E54)^X65)</f>
        <v>1.5754495528405033</v>
      </c>
      <c r="Y68" s="721"/>
    </row>
    <row r="69" spans="1:25" hidden="1" outlineLevel="1">
      <c r="A69" s="196" t="str">
        <f>C69&amp;I87</f>
        <v>Base YearESD</v>
      </c>
      <c r="B69" s="196"/>
      <c r="C69" s="133" t="str">
        <f t="shared" ref="C69:E82" si="38">C22</f>
        <v>Base Year</v>
      </c>
      <c r="D69" s="134">
        <f t="shared" si="38"/>
        <v>40179</v>
      </c>
      <c r="E69" s="134">
        <f t="shared" si="38"/>
        <v>40543</v>
      </c>
      <c r="F69" s="106" t="str">
        <f>IF(AND(($E55="MidPoint"),(ROUND(((D69-$E56)/30.41667),0)+ROUNDUP(((E69-D69)/30.41667/2),0)&gt;0)),ROUND(((D69-$E56)/30.41667),0)+ROUNDUP(((E69-D69)/30.41667/2),0),"DO NOT DELETE")</f>
        <v>DO NOT DELETE</v>
      </c>
      <c r="G69" s="93">
        <f>IF($E69-$D69&lt;0,"&lt;&lt; Check Dates",IF(AND(($E55="MidPoint"),(E69&lt;&gt;"")),((1+$E54)^(INT(F69/12)))*(((F69/12-INT(F69/12))*$E54)+1),IF(SUM($H69:$X69)=0,"",SUMPRODUCT($H68:$X68,$H69:$X69)/SUM($H69:$X69))))</f>
        <v>1.0247499999999998</v>
      </c>
      <c r="H69" s="94"/>
      <c r="I69" s="56" t="str">
        <f t="shared" ref="I69:X69" si="39">IF(OR((I68=""),($E69=""),(ROUND((MAX(0,(MIN($E69,DATE(I62,I63,I64))-MAX($D69,DATE(I59,I60,I61))+1)))/30.41667,0)=0)),"---",ROUND((MAX(0,(MIN($E69,DATE(I62,I63,I64))-MAX($D69,DATE(I59,I60,I61))+1)))/30.41667,0))</f>
        <v>---</v>
      </c>
      <c r="J69" s="56">
        <f t="shared" si="39"/>
        <v>3</v>
      </c>
      <c r="K69" s="56">
        <f t="shared" si="39"/>
        <v>9</v>
      </c>
      <c r="L69" s="56" t="str">
        <f t="shared" si="39"/>
        <v>---</v>
      </c>
      <c r="M69" s="56" t="str">
        <f t="shared" si="39"/>
        <v>---</v>
      </c>
      <c r="N69" s="56" t="str">
        <f t="shared" si="39"/>
        <v>---</v>
      </c>
      <c r="O69" s="56" t="str">
        <f t="shared" si="39"/>
        <v>---</v>
      </c>
      <c r="P69" s="56" t="str">
        <f t="shared" si="39"/>
        <v>---</v>
      </c>
      <c r="Q69" s="56" t="str">
        <f t="shared" si="39"/>
        <v>---</v>
      </c>
      <c r="R69" s="56" t="str">
        <f t="shared" si="39"/>
        <v>---</v>
      </c>
      <c r="S69" s="56" t="str">
        <f t="shared" si="39"/>
        <v>---</v>
      </c>
      <c r="T69" s="56" t="str">
        <f t="shared" si="39"/>
        <v>---</v>
      </c>
      <c r="U69" s="56" t="str">
        <f t="shared" si="39"/>
        <v>---</v>
      </c>
      <c r="V69" s="56" t="str">
        <f t="shared" si="39"/>
        <v>---</v>
      </c>
      <c r="W69" s="56" t="str">
        <f t="shared" si="39"/>
        <v>---</v>
      </c>
      <c r="X69" s="56" t="str">
        <f t="shared" si="39"/>
        <v>---</v>
      </c>
      <c r="Y69" s="721"/>
    </row>
    <row r="70" spans="1:25" hidden="1" outlineLevel="1">
      <c r="A70" s="196" t="str">
        <f>C70&amp;I87</f>
        <v>Option Year 1ESD</v>
      </c>
      <c r="B70" s="196"/>
      <c r="C70" s="133" t="str">
        <f t="shared" si="38"/>
        <v>Option Year 1</v>
      </c>
      <c r="D70" s="134">
        <f t="shared" si="38"/>
        <v>40544</v>
      </c>
      <c r="E70" s="134">
        <f t="shared" si="38"/>
        <v>40908</v>
      </c>
      <c r="F70" s="106" t="str">
        <f>IF(AND(($E55="MidPoint"),(ROUND(((D70-$E56)/30.41667),0)+ROUNDUP(((E70-D70)/30.41667/2),0)&gt;0)),ROUND(((D70-$E56)/30.41667),0)+ROUNDUP(((E70-D70)/30.41667/2),0),"DO NOT DELETE")</f>
        <v>DO NOT DELETE</v>
      </c>
      <c r="G70" s="93">
        <f>IF($E70-$D70&lt;0,"&lt;&lt; Check Dates",IF(AND(($E55="MidPoint"),(E70&lt;&gt;"")),((1+$E54)^(INT(F70/12)))*(((F70/12-INT(F70/12))*$E54)+1),IF(SUM($H70:$X70)=0,"",SUMPRODUCT($H68:$X68,$H70:$X70)/SUM($H70:$X70))))</f>
        <v>1.0585667499999998</v>
      </c>
      <c r="H70" s="94"/>
      <c r="I70" s="56" t="str">
        <f t="shared" ref="I70:W70" si="40">IF(OR((I68=""),($E70=""),(ROUND((MAX(0,(MIN($E70,DATE(I62,I63,I64))-MAX($D70,DATE(I59,I60,I61))+1)))/30.41667,0)=0)),"---",ROUND((MAX(0,(MIN($E70,DATE(I62,I63,I64))-MAX($D70,DATE(I59,I60,I61))+1)))/30.41667,0))</f>
        <v>---</v>
      </c>
      <c r="J70" s="56" t="str">
        <f t="shared" si="40"/>
        <v>---</v>
      </c>
      <c r="K70" s="56">
        <f t="shared" si="40"/>
        <v>3</v>
      </c>
      <c r="L70" s="56">
        <f t="shared" si="40"/>
        <v>9</v>
      </c>
      <c r="M70" s="56" t="str">
        <f t="shared" si="40"/>
        <v>---</v>
      </c>
      <c r="N70" s="56" t="str">
        <f t="shared" si="40"/>
        <v>---</v>
      </c>
      <c r="O70" s="56" t="str">
        <f t="shared" si="40"/>
        <v>---</v>
      </c>
      <c r="P70" s="56" t="str">
        <f t="shared" si="40"/>
        <v>---</v>
      </c>
      <c r="Q70" s="56" t="str">
        <f t="shared" si="40"/>
        <v>---</v>
      </c>
      <c r="R70" s="56" t="str">
        <f t="shared" si="40"/>
        <v>---</v>
      </c>
      <c r="S70" s="56" t="str">
        <f t="shared" si="40"/>
        <v>---</v>
      </c>
      <c r="T70" s="56" t="str">
        <f t="shared" si="40"/>
        <v>---</v>
      </c>
      <c r="U70" s="56" t="str">
        <f t="shared" si="40"/>
        <v>---</v>
      </c>
      <c r="V70" s="56" t="str">
        <f t="shared" si="40"/>
        <v>---</v>
      </c>
      <c r="W70" s="56" t="str">
        <f t="shared" si="40"/>
        <v>---</v>
      </c>
      <c r="X70" s="56" t="str">
        <f>IF(OR((X68=""),($E70=""),(ROUND((MAX(0,(MIN($E70,DATE(X62,X63,X64))-MAX($D70,DATE(X59,X60,X61))+1)))/30.41667,0)=0)),"---",ROUND((MAX(0,(MIN($E70,DATE(X62,X63,X64))-MAX($D70,DATE(X59,X60,X61))+1)))/30.41667,0))</f>
        <v>---</v>
      </c>
      <c r="Y70" s="721"/>
    </row>
    <row r="71" spans="1:25" hidden="1" outlineLevel="1">
      <c r="A71" s="196" t="str">
        <f>C71&amp;I87</f>
        <v>Option Year 2ESD</v>
      </c>
      <c r="B71" s="196"/>
      <c r="C71" s="133" t="str">
        <f t="shared" si="38"/>
        <v>Option Year 2</v>
      </c>
      <c r="D71" s="134">
        <f t="shared" si="38"/>
        <v>40909</v>
      </c>
      <c r="E71" s="134">
        <f t="shared" si="38"/>
        <v>41152</v>
      </c>
      <c r="F71" s="106" t="str">
        <f>IF(AND(($E55="MidPoint"),(ROUND(((D71-$E56)/30.41667),0)+ROUNDUP(((E71-D71)/30.41667/2),0)&gt;0)),ROUND(((D71-$E56)/30.41667),0)+ROUNDUP(((E71-D71)/30.41667/2),0),"DO NOT DELETE")</f>
        <v>DO NOT DELETE</v>
      </c>
      <c r="G71" s="93">
        <f>IF($E71-$D71&lt;0,"&lt;&lt; Check Dates",IF(AND(($E55="MidPoint"),(E71&lt;&gt;"")),((1+$E54)^(INT(F71/12)))*(((F71/12-INT(F71/12))*$E54)+1),IF(SUM($H71:$X71)=0,"",SUMPRODUCT($H68:$X68,$H71:$X71)/SUM($H71:$X71))))</f>
        <v>1.0890977106249997</v>
      </c>
      <c r="H71" s="94"/>
      <c r="I71" s="56" t="str">
        <f t="shared" ref="I71:W71" si="41">IF(OR((I68=""),($E71=""),(ROUND((MAX(0,(MIN($E71,DATE(I62,I63,I64))-MAX($D71,DATE(I59,I60,I61))+1)))/30.41667,0)=0)),"---",ROUND((MAX(0,(MIN($E71,DATE(I62,I63,I64))-MAX($D71,DATE(I59,I60,I61))+1)))/30.41667,0))</f>
        <v>---</v>
      </c>
      <c r="J71" s="56" t="str">
        <f t="shared" si="41"/>
        <v>---</v>
      </c>
      <c r="K71" s="56" t="str">
        <f t="shared" si="41"/>
        <v>---</v>
      </c>
      <c r="L71" s="56">
        <f t="shared" si="41"/>
        <v>3</v>
      </c>
      <c r="M71" s="56">
        <f t="shared" si="41"/>
        <v>5</v>
      </c>
      <c r="N71" s="56" t="str">
        <f t="shared" si="41"/>
        <v>---</v>
      </c>
      <c r="O71" s="56" t="str">
        <f t="shared" si="41"/>
        <v>---</v>
      </c>
      <c r="P71" s="56" t="str">
        <f t="shared" si="41"/>
        <v>---</v>
      </c>
      <c r="Q71" s="56" t="str">
        <f t="shared" si="41"/>
        <v>---</v>
      </c>
      <c r="R71" s="56" t="str">
        <f t="shared" si="41"/>
        <v>---</v>
      </c>
      <c r="S71" s="56" t="str">
        <f t="shared" si="41"/>
        <v>---</v>
      </c>
      <c r="T71" s="56" t="str">
        <f t="shared" si="41"/>
        <v>---</v>
      </c>
      <c r="U71" s="56" t="str">
        <f t="shared" si="41"/>
        <v>---</v>
      </c>
      <c r="V71" s="56" t="str">
        <f t="shared" si="41"/>
        <v>---</v>
      </c>
      <c r="W71" s="56" t="str">
        <f t="shared" si="41"/>
        <v>---</v>
      </c>
      <c r="X71" s="56" t="str">
        <f>IF(OR((X68=""),($E71=""),(ROUND((MAX(0,(MIN($E71,DATE(X62,X63,X64))-MAX($D71,DATE(X59,X60,X61))+1)))/30.41667,0)=0)),"---",ROUND((MAX(0,(MIN($E71,DATE(X62,X63,X64))-MAX($D71,DATE(X59,X60,X61))+1)))/30.41667,0))</f>
        <v>---</v>
      </c>
      <c r="Y71" s="721"/>
    </row>
    <row r="72" spans="1:25" hidden="1" outlineLevel="1">
      <c r="A72" s="196" t="str">
        <f>C72&amp;I87</f>
        <v>Training and ProcessingESD</v>
      </c>
      <c r="B72" s="196"/>
      <c r="C72" s="133" t="str">
        <f t="shared" si="38"/>
        <v>Training and Processing</v>
      </c>
      <c r="D72" s="134">
        <f t="shared" si="38"/>
        <v>40179</v>
      </c>
      <c r="E72" s="134">
        <f t="shared" si="38"/>
        <v>41152</v>
      </c>
      <c r="F72" s="106" t="str">
        <f>IF(AND(($E55="MidPoint"),(ROUND(((D72-$E56)/30.41667),0)+ROUNDUP(((E72-D72)/30.41667/2),0)&gt;0)),ROUND(((D72-$E56)/30.41667),0)+ROUNDUP(((E72-D72)/30.41667/2),0),"DO NOT DELETE")</f>
        <v>DO NOT DELETE</v>
      </c>
      <c r="G72" s="93">
        <f>IF($E72-$D72&lt;0,"&lt;&lt; Check Dates",IF(AND(($E55="MidPoint"),(E72&lt;&gt;"")),((1+$E54)^(INT(F72/12)))*(((F72/12-INT(F72/12))*$E54)+1),IF(SUM($H72:$X72)=0,"",SUMPRODUCT($H68:$X68,$H72:$X72)/SUM($H72:$X72))))</f>
        <v>1.0535182089062498</v>
      </c>
      <c r="H72" s="94"/>
      <c r="I72" s="56" t="str">
        <f t="shared" ref="I72:W72" si="42">IF(OR((I68=""),($E72=""),(ROUND((MAX(0,(MIN($E72,DATE(I62,I63,I64))-MAX($D72,DATE(I59,I60,I61))+1)))/30.41667,0)=0)),"---",ROUND((MAX(0,(MIN($E72,DATE(I62,I63,I64))-MAX($D72,DATE(I59,I60,I61))+1)))/30.41667,0))</f>
        <v>---</v>
      </c>
      <c r="J72" s="56">
        <f t="shared" si="42"/>
        <v>3</v>
      </c>
      <c r="K72" s="56">
        <f t="shared" si="42"/>
        <v>12</v>
      </c>
      <c r="L72" s="56">
        <f t="shared" si="42"/>
        <v>12</v>
      </c>
      <c r="M72" s="56">
        <f t="shared" si="42"/>
        <v>5</v>
      </c>
      <c r="N72" s="56" t="str">
        <f t="shared" si="42"/>
        <v>---</v>
      </c>
      <c r="O72" s="56" t="str">
        <f t="shared" si="42"/>
        <v>---</v>
      </c>
      <c r="P72" s="56" t="str">
        <f t="shared" si="42"/>
        <v>---</v>
      </c>
      <c r="Q72" s="56" t="str">
        <f t="shared" si="42"/>
        <v>---</v>
      </c>
      <c r="R72" s="56" t="str">
        <f t="shared" si="42"/>
        <v>---</v>
      </c>
      <c r="S72" s="56" t="str">
        <f t="shared" si="42"/>
        <v>---</v>
      </c>
      <c r="T72" s="56" t="str">
        <f t="shared" si="42"/>
        <v>---</v>
      </c>
      <c r="U72" s="56" t="str">
        <f t="shared" si="42"/>
        <v>---</v>
      </c>
      <c r="V72" s="56" t="str">
        <f t="shared" si="42"/>
        <v>---</v>
      </c>
      <c r="W72" s="56" t="str">
        <f t="shared" si="42"/>
        <v>---</v>
      </c>
      <c r="X72" s="56" t="str">
        <f>IF(OR((X68=""),($E72=""),(ROUND((MAX(0,(MIN($E72,DATE(X62,X63,X64))-MAX($D72,DATE(X59,X60,X61))+1)))/30.41667,0)=0)),"---",ROUND((MAX(0,(MIN($E72,DATE(X62,X63,X64))-MAX($D72,DATE(X59,X60,X61))+1)))/30.41667,0))</f>
        <v>---</v>
      </c>
      <c r="Y72" s="721"/>
    </row>
    <row r="73" spans="1:25" hidden="1" outlineLevel="1">
      <c r="A73" s="196" t="str">
        <f>C73&amp;I87</f>
        <v>0ESD</v>
      </c>
      <c r="B73" s="196"/>
      <c r="C73" s="133">
        <f t="shared" si="38"/>
        <v>0</v>
      </c>
      <c r="D73" s="134">
        <f t="shared" si="38"/>
        <v>0</v>
      </c>
      <c r="E73" s="134">
        <f t="shared" si="38"/>
        <v>0</v>
      </c>
      <c r="F73" s="106" t="str">
        <f>IF(AND(($E55="MidPoint"),(ROUND(((D73-$E56)/30.41667),0)+ROUNDUP(((E73-D73)/30.41667/2),0)&gt;0)),ROUND(((D73-$E56)/30.41667),0)+ROUNDUP(((E73-D73)/30.41667/2),0),"DO NOT DELETE")</f>
        <v>DO NOT DELETE</v>
      </c>
      <c r="G73" s="93" t="str">
        <f>IF($E73-$D73&lt;0,"&lt;&lt; Check Dates",IF(AND(($E55="MidPoint"),(E73&lt;&gt;"")),((1+$E54)^(INT(F73/12)))*(((F73/12-INT(F73/12))*$E54)+1),IF(SUM($H73:$X73)=0,"",SUMPRODUCT($H68:$X68,$H73:$X73)/SUM($H73:$X73))))</f>
        <v/>
      </c>
      <c r="H73" s="94"/>
      <c r="I73" s="56" t="str">
        <f t="shared" ref="I73:W73" si="43">IF(OR((I68=""),($E73=""),(ROUND((MAX(0,(MIN($E73,DATE(I62,I63,I64))-MAX($D73,DATE(I59,I60,I61))+1)))/30.41667,0)=0)),"---",ROUND((MAX(0,(MIN($E73,DATE(I62,I63,I64))-MAX($D73,DATE(I59,I60,I61))+1)))/30.41667,0))</f>
        <v>---</v>
      </c>
      <c r="J73" s="56" t="str">
        <f t="shared" si="43"/>
        <v>---</v>
      </c>
      <c r="K73" s="56" t="str">
        <f t="shared" si="43"/>
        <v>---</v>
      </c>
      <c r="L73" s="56" t="str">
        <f t="shared" si="43"/>
        <v>---</v>
      </c>
      <c r="M73" s="56" t="str">
        <f t="shared" si="43"/>
        <v>---</v>
      </c>
      <c r="N73" s="56" t="str">
        <f t="shared" si="43"/>
        <v>---</v>
      </c>
      <c r="O73" s="56" t="str">
        <f t="shared" si="43"/>
        <v>---</v>
      </c>
      <c r="P73" s="56" t="str">
        <f t="shared" si="43"/>
        <v>---</v>
      </c>
      <c r="Q73" s="56" t="str">
        <f t="shared" si="43"/>
        <v>---</v>
      </c>
      <c r="R73" s="56" t="str">
        <f t="shared" si="43"/>
        <v>---</v>
      </c>
      <c r="S73" s="56" t="str">
        <f t="shared" si="43"/>
        <v>---</v>
      </c>
      <c r="T73" s="56" t="str">
        <f t="shared" si="43"/>
        <v>---</v>
      </c>
      <c r="U73" s="56" t="str">
        <f t="shared" si="43"/>
        <v>---</v>
      </c>
      <c r="V73" s="56" t="str">
        <f t="shared" si="43"/>
        <v>---</v>
      </c>
      <c r="W73" s="56" t="str">
        <f t="shared" si="43"/>
        <v>---</v>
      </c>
      <c r="X73" s="56" t="str">
        <f>IF(OR((X68=""),($E73=""),(ROUND((MAX(0,(MIN($E73,DATE(X62,X63,X64))-MAX($D73,DATE(X59,X60,X61))+1)))/30.41667,0)=0)),"---",ROUND((MAX(0,(MIN($E73,DATE(X62,X63,X64))-MAX($D73,DATE(X59,X60,X61))+1)))/30.41667,0))</f>
        <v>---</v>
      </c>
      <c r="Y73" s="721"/>
    </row>
    <row r="74" spans="1:25" hidden="1" outlineLevel="1">
      <c r="A74" s="196" t="str">
        <f>C74&amp;I87</f>
        <v>Option Year 5ESD</v>
      </c>
      <c r="B74" s="196"/>
      <c r="C74" s="133" t="str">
        <f t="shared" si="38"/>
        <v>Option Year 5</v>
      </c>
      <c r="D74" s="134">
        <f t="shared" si="38"/>
        <v>1</v>
      </c>
      <c r="E74" s="134">
        <f t="shared" si="38"/>
        <v>365</v>
      </c>
      <c r="F74" s="106" t="str">
        <f>IF(AND(($E55="MidPoint"),(ROUND(((D74-$E56)/30.41667),0)+ROUNDUP(((E74-D74)/30.41667/2),0)&gt;0)),ROUND(((D74-$E56)/30.41667),0)+ROUNDUP(((E74-D74)/30.41667/2),0),"DO NOT DELETE")</f>
        <v>DO NOT DELETE</v>
      </c>
      <c r="G74" s="93" t="str">
        <f>IF($E74-$D74&lt;0,"&lt;&lt; Check Dates",IF(AND(($E55="MidPoint"),(E74&lt;&gt;"")),((1+$E54)^(INT(F74/12)))*(((F74/12-INT(F74/12))*$E54)+1),IF(SUM($H74:$X74)=0,"",SUMPRODUCT($H68:$X68,$H74:$X74)/SUM($H74:$X74))))</f>
        <v/>
      </c>
      <c r="H74" s="94"/>
      <c r="I74" s="56" t="str">
        <f t="shared" ref="I74:W74" si="44">IF(OR((I68=""),($E74=""),(ROUND((MAX(0,(MIN($E74,DATE(I62,I63,I64))-MAX($D74,DATE(I59,I60,I61))+1)))/30.41667,0)=0)),"---",ROUND((MAX(0,(MIN($E74,DATE(I62,I63,I64))-MAX($D74,DATE(I59,I60,I61))+1)))/30.41667,0))</f>
        <v>---</v>
      </c>
      <c r="J74" s="56" t="str">
        <f t="shared" si="44"/>
        <v>---</v>
      </c>
      <c r="K74" s="56" t="str">
        <f t="shared" si="44"/>
        <v>---</v>
      </c>
      <c r="L74" s="56" t="str">
        <f t="shared" si="44"/>
        <v>---</v>
      </c>
      <c r="M74" s="56" t="str">
        <f t="shared" si="44"/>
        <v>---</v>
      </c>
      <c r="N74" s="56" t="str">
        <f t="shared" si="44"/>
        <v>---</v>
      </c>
      <c r="O74" s="56" t="str">
        <f t="shared" si="44"/>
        <v>---</v>
      </c>
      <c r="P74" s="56" t="str">
        <f t="shared" si="44"/>
        <v>---</v>
      </c>
      <c r="Q74" s="56" t="str">
        <f t="shared" si="44"/>
        <v>---</v>
      </c>
      <c r="R74" s="56" t="str">
        <f t="shared" si="44"/>
        <v>---</v>
      </c>
      <c r="S74" s="56" t="str">
        <f t="shared" si="44"/>
        <v>---</v>
      </c>
      <c r="T74" s="56" t="str">
        <f t="shared" si="44"/>
        <v>---</v>
      </c>
      <c r="U74" s="56" t="str">
        <f t="shared" si="44"/>
        <v>---</v>
      </c>
      <c r="V74" s="56" t="str">
        <f t="shared" si="44"/>
        <v>---</v>
      </c>
      <c r="W74" s="56" t="str">
        <f t="shared" si="44"/>
        <v>---</v>
      </c>
      <c r="X74" s="56" t="str">
        <f>IF(OR((X68=""),($E74=""),(ROUND((MAX(0,(MIN($E74,DATE(X62,X63,X64))-MAX($D74,DATE(X59,X60,X61))+1)))/30.41667,0)=0)),"---",ROUND((MAX(0,(MIN($E74,DATE(X62,X63,X64))-MAX($D74,DATE(X59,X60,X61))+1)))/30.41667,0))</f>
        <v>---</v>
      </c>
      <c r="Y74" s="721"/>
    </row>
    <row r="75" spans="1:25" hidden="1" outlineLevel="1">
      <c r="A75" s="196" t="str">
        <f>C75&amp;I87</f>
        <v>Option Year 6ESD</v>
      </c>
      <c r="B75" s="196"/>
      <c r="C75" s="133" t="str">
        <f t="shared" si="38"/>
        <v>Option Year 6</v>
      </c>
      <c r="D75" s="134">
        <f t="shared" si="38"/>
        <v>366</v>
      </c>
      <c r="E75" s="134">
        <f t="shared" si="38"/>
        <v>730</v>
      </c>
      <c r="F75" s="106" t="str">
        <f>IF(AND(($E55="MidPoint"),(ROUND(((D75-$E56)/30.41667),0)+ROUNDUP(((E75-D75)/30.41667/2),0)&gt;0)),ROUND(((D75-$E56)/30.41667),0)+ROUNDUP(((E75-D75)/30.41667/2),0),"DO NOT DELETE")</f>
        <v>DO NOT DELETE</v>
      </c>
      <c r="G75" s="93" t="str">
        <f>IF($E75-$D75&lt;0,"&lt;&lt; Check Dates",IF(AND(($E55="MidPoint"),(E75&lt;&gt;"")),((1+$E54)^(INT(F75/12)))*(((F75/12-INT(F75/12))*$E54)+1),IF(SUM($H75:$X75)=0,"",SUMPRODUCT($H68:$X68,$H75:$X75)/SUM($H75:$X75))))</f>
        <v/>
      </c>
      <c r="H75" s="94"/>
      <c r="I75" s="56" t="str">
        <f t="shared" ref="I75:W75" si="45">IF(OR((I68=""),($E75=""),(ROUND((MAX(0,(MIN($E75,DATE(I62,I63,I64))-MAX($D75,DATE(I59,I60,I61))+1)))/30.41667,0)=0)),"---",ROUND((MAX(0,(MIN($E75,DATE(I62,I63,I64))-MAX($D75,DATE(I59,I60,I61))+1)))/30.41667,0))</f>
        <v>---</v>
      </c>
      <c r="J75" s="56" t="str">
        <f t="shared" si="45"/>
        <v>---</v>
      </c>
      <c r="K75" s="56" t="str">
        <f t="shared" si="45"/>
        <v>---</v>
      </c>
      <c r="L75" s="56" t="str">
        <f t="shared" si="45"/>
        <v>---</v>
      </c>
      <c r="M75" s="56" t="str">
        <f t="shared" si="45"/>
        <v>---</v>
      </c>
      <c r="N75" s="56" t="str">
        <f t="shared" si="45"/>
        <v>---</v>
      </c>
      <c r="O75" s="56" t="str">
        <f t="shared" si="45"/>
        <v>---</v>
      </c>
      <c r="P75" s="56" t="str">
        <f t="shared" si="45"/>
        <v>---</v>
      </c>
      <c r="Q75" s="56" t="str">
        <f t="shared" si="45"/>
        <v>---</v>
      </c>
      <c r="R75" s="56" t="str">
        <f t="shared" si="45"/>
        <v>---</v>
      </c>
      <c r="S75" s="56" t="str">
        <f t="shared" si="45"/>
        <v>---</v>
      </c>
      <c r="T75" s="56" t="str">
        <f t="shared" si="45"/>
        <v>---</v>
      </c>
      <c r="U75" s="56" t="str">
        <f t="shared" si="45"/>
        <v>---</v>
      </c>
      <c r="V75" s="56" t="str">
        <f t="shared" si="45"/>
        <v>---</v>
      </c>
      <c r="W75" s="56" t="str">
        <f t="shared" si="45"/>
        <v>---</v>
      </c>
      <c r="X75" s="56" t="str">
        <f>IF(OR((X68=""),($E75=""),(ROUND((MAX(0,(MIN($E75,DATE(X62,X63,X64))-MAX($D75,DATE(X59,X60,X61))+1)))/30.41667,0)=0)),"---",ROUND((MAX(0,(MIN($E75,DATE(X62,X63,X64))-MAX($D75,DATE(X59,X60,X61))+1)))/30.41667,0))</f>
        <v>---</v>
      </c>
      <c r="Y75" s="721"/>
    </row>
    <row r="76" spans="1:25" hidden="1" outlineLevel="1">
      <c r="A76" s="196" t="str">
        <f>C76&amp;I87</f>
        <v>Option Year 7ESD</v>
      </c>
      <c r="B76" s="196"/>
      <c r="C76" s="133" t="str">
        <f t="shared" si="38"/>
        <v>Option Year 7</v>
      </c>
      <c r="D76" s="134">
        <f t="shared" si="38"/>
        <v>731</v>
      </c>
      <c r="E76" s="134">
        <f t="shared" si="38"/>
        <v>1096</v>
      </c>
      <c r="F76" s="106" t="str">
        <f>IF(AND(($E55="MidPoint"),(ROUND(((D76-$E56)/30.41667),0)+ROUNDUP(((E76-D76)/30.41667/2),0)&gt;0)),ROUND(((D76-$E56)/30.41667),0)+ROUNDUP(((E76-D76)/30.41667/2),0),"DO NOT DELETE")</f>
        <v>DO NOT DELETE</v>
      </c>
      <c r="G76" s="93" t="str">
        <f>IF($E76-$D76&lt;0,"&lt;&lt; Check Dates",IF(AND(($E55="MidPoint"),(E76&lt;&gt;"")),((1+$E54)^(INT(F76/12)))*(((F76/12-INT(F76/12))*$E54)+1),IF(SUM($H76:$X76)=0,"",SUMPRODUCT($H68:$X68,$H76:$X76)/SUM($H76:$X76))))</f>
        <v/>
      </c>
      <c r="H76" s="94"/>
      <c r="I76" s="56" t="str">
        <f t="shared" ref="I76:W76" si="46">IF(OR((I68=""),($E76=""),(ROUND((MAX(0,(MIN($E76,DATE(I62,I63,I64))-MAX($D76,DATE(I59,I60,I61))+1)))/30.41667,0)=0)),"---",ROUND((MAX(0,(MIN($E76,DATE(I62,I63,I64))-MAX($D76,DATE(I59,I60,I61))+1)))/30.41667,0))</f>
        <v>---</v>
      </c>
      <c r="J76" s="56" t="str">
        <f t="shared" si="46"/>
        <v>---</v>
      </c>
      <c r="K76" s="56" t="str">
        <f t="shared" si="46"/>
        <v>---</v>
      </c>
      <c r="L76" s="56" t="str">
        <f t="shared" si="46"/>
        <v>---</v>
      </c>
      <c r="M76" s="56" t="str">
        <f t="shared" si="46"/>
        <v>---</v>
      </c>
      <c r="N76" s="56" t="str">
        <f t="shared" si="46"/>
        <v>---</v>
      </c>
      <c r="O76" s="56" t="str">
        <f t="shared" si="46"/>
        <v>---</v>
      </c>
      <c r="P76" s="56" t="str">
        <f t="shared" si="46"/>
        <v>---</v>
      </c>
      <c r="Q76" s="56" t="str">
        <f t="shared" si="46"/>
        <v>---</v>
      </c>
      <c r="R76" s="56" t="str">
        <f t="shared" si="46"/>
        <v>---</v>
      </c>
      <c r="S76" s="56" t="str">
        <f t="shared" si="46"/>
        <v>---</v>
      </c>
      <c r="T76" s="56" t="str">
        <f t="shared" si="46"/>
        <v>---</v>
      </c>
      <c r="U76" s="56" t="str">
        <f t="shared" si="46"/>
        <v>---</v>
      </c>
      <c r="V76" s="56" t="str">
        <f t="shared" si="46"/>
        <v>---</v>
      </c>
      <c r="W76" s="56" t="str">
        <f t="shared" si="46"/>
        <v>---</v>
      </c>
      <c r="X76" s="56" t="str">
        <f>IF(OR((X68=""),($E76=""),(ROUND((MAX(0,(MIN($E76,DATE(X62,X63,X64))-MAX($D76,DATE(X59,X60,X61))+1)))/30.41667,0)=0)),"---",ROUND((MAX(0,(MIN($E76,DATE(X62,X63,X64))-MAX($D76,DATE(X59,X60,X61))+1)))/30.41667,0))</f>
        <v>---</v>
      </c>
      <c r="Y76" s="721"/>
    </row>
    <row r="77" spans="1:25" hidden="1" outlineLevel="1">
      <c r="A77" s="196" t="str">
        <f>C77&amp;I87</f>
        <v>Option Year 8ESD</v>
      </c>
      <c r="B77" s="196"/>
      <c r="C77" s="133" t="str">
        <f t="shared" si="38"/>
        <v>Option Year 8</v>
      </c>
      <c r="D77" s="134">
        <f t="shared" si="38"/>
        <v>1097</v>
      </c>
      <c r="E77" s="134">
        <f t="shared" si="38"/>
        <v>1461</v>
      </c>
      <c r="F77" s="106" t="str">
        <f>IF(AND(($E55="MidPoint"),(ROUND(((D77-$E56)/30.41667),0)+ROUNDUP(((E77-D77)/30.41667/2),0)&gt;0)),ROUND(((D77-$E56)/30.41667),0)+ROUNDUP(((E77-D77)/30.41667/2),0),"DO NOT DELETE")</f>
        <v>DO NOT DELETE</v>
      </c>
      <c r="G77" s="93" t="str">
        <f>IF($E77-$D77&lt;0,"&lt;&lt; Check Dates",IF(AND(($E55="MidPoint"),(E77&lt;&gt;"")),((1+$E54)^(INT(F77/12)))*(((F77/12-INT(F77/12))*$E54)+1),IF(SUM($H77:$X77)=0,"",SUMPRODUCT($H68:$X68,$H77:$X77)/SUM($H77:$X77))))</f>
        <v/>
      </c>
      <c r="H77" s="94"/>
      <c r="I77" s="56" t="str">
        <f t="shared" ref="I77:W77" si="47">IF(OR((I68=""),($E77=""),(ROUND((MAX(0,(MIN($E77,DATE(I62,I63,I64))-MAX($D77,DATE(I59,I60,I61))+1)))/30.41667,0)=0)),"---",ROUND((MAX(0,(MIN($E77,DATE(I62,I63,I64))-MAX($D77,DATE(I59,I60,I61))+1)))/30.41667,0))</f>
        <v>---</v>
      </c>
      <c r="J77" s="56" t="str">
        <f t="shared" si="47"/>
        <v>---</v>
      </c>
      <c r="K77" s="56" t="str">
        <f t="shared" si="47"/>
        <v>---</v>
      </c>
      <c r="L77" s="56" t="str">
        <f t="shared" si="47"/>
        <v>---</v>
      </c>
      <c r="M77" s="56" t="str">
        <f t="shared" si="47"/>
        <v>---</v>
      </c>
      <c r="N77" s="56" t="str">
        <f t="shared" si="47"/>
        <v>---</v>
      </c>
      <c r="O77" s="56" t="str">
        <f t="shared" si="47"/>
        <v>---</v>
      </c>
      <c r="P77" s="56" t="str">
        <f t="shared" si="47"/>
        <v>---</v>
      </c>
      <c r="Q77" s="56" t="str">
        <f t="shared" si="47"/>
        <v>---</v>
      </c>
      <c r="R77" s="56" t="str">
        <f t="shared" si="47"/>
        <v>---</v>
      </c>
      <c r="S77" s="56" t="str">
        <f t="shared" si="47"/>
        <v>---</v>
      </c>
      <c r="T77" s="56" t="str">
        <f t="shared" si="47"/>
        <v>---</v>
      </c>
      <c r="U77" s="56" t="str">
        <f t="shared" si="47"/>
        <v>---</v>
      </c>
      <c r="V77" s="56" t="str">
        <f t="shared" si="47"/>
        <v>---</v>
      </c>
      <c r="W77" s="56" t="str">
        <f t="shared" si="47"/>
        <v>---</v>
      </c>
      <c r="X77" s="56" t="str">
        <f>IF(OR((X68=""),($E77=""),(ROUND((MAX(0,(MIN($E77,DATE(X62,X63,X64))-MAX($D77,DATE(X59,X60,X61))+1)))/30.41667,0)=0)),"---",ROUND((MAX(0,(MIN($E77,DATE(X62,X63,X64))-MAX($D77,DATE(X59,X60,X61))+1)))/30.41667,0))</f>
        <v>---</v>
      </c>
      <c r="Y77" s="721"/>
    </row>
    <row r="78" spans="1:25" hidden="1" outlineLevel="1">
      <c r="A78" s="196" t="str">
        <f>C78&amp;I87</f>
        <v>Option Year 9ESD</v>
      </c>
      <c r="B78" s="196"/>
      <c r="C78" s="133" t="str">
        <f t="shared" si="38"/>
        <v>Option Year 9</v>
      </c>
      <c r="D78" s="134">
        <f t="shared" si="38"/>
        <v>1462</v>
      </c>
      <c r="E78" s="134">
        <f t="shared" si="38"/>
        <v>1826</v>
      </c>
      <c r="F78" s="106" t="str">
        <f>IF(AND(($E55="MidPoint"),(ROUND(((D78-$E56)/30.41667),0)+ROUNDUP(((E78-D78)/30.41667/2),0)&gt;0)),ROUND(((D78-$E56)/30.41667),0)+ROUNDUP(((E78-D78)/30.41667/2),0),"DO NOT DELETE")</f>
        <v>DO NOT DELETE</v>
      </c>
      <c r="G78" s="93" t="str">
        <f>IF($E78-$D78&lt;0,"&lt;&lt; Check Dates",IF(AND(($E55="MidPoint"),(E78&lt;&gt;"")),((1+$E54)^(INT(F78/12)))*(((F78/12-INT(F78/12))*$E54)+1),IF(SUM($H78:$X78)=0,"",SUMPRODUCT($H68:$X68,$H78:$X78)/SUM($H78:$X78))))</f>
        <v/>
      </c>
      <c r="H78" s="94"/>
      <c r="I78" s="56" t="str">
        <f t="shared" ref="I78:W78" si="48">IF(OR((I68=""),($E78=""),(ROUND((MAX(0,(MIN($E78,DATE(I62,I63,I64))-MAX($D78,DATE(I59,I60,I61))+1)))/30.41667,0)=0)),"---",ROUND((MAX(0,(MIN($E78,DATE(I62,I63,I64))-MAX($D78,DATE(I59,I60,I61))+1)))/30.41667,0))</f>
        <v>---</v>
      </c>
      <c r="J78" s="56" t="str">
        <f t="shared" si="48"/>
        <v>---</v>
      </c>
      <c r="K78" s="56" t="str">
        <f t="shared" si="48"/>
        <v>---</v>
      </c>
      <c r="L78" s="56" t="str">
        <f t="shared" si="48"/>
        <v>---</v>
      </c>
      <c r="M78" s="56" t="str">
        <f t="shared" si="48"/>
        <v>---</v>
      </c>
      <c r="N78" s="56" t="str">
        <f t="shared" si="48"/>
        <v>---</v>
      </c>
      <c r="O78" s="56" t="str">
        <f t="shared" si="48"/>
        <v>---</v>
      </c>
      <c r="P78" s="56" t="str">
        <f t="shared" si="48"/>
        <v>---</v>
      </c>
      <c r="Q78" s="56" t="str">
        <f t="shared" si="48"/>
        <v>---</v>
      </c>
      <c r="R78" s="56" t="str">
        <f t="shared" si="48"/>
        <v>---</v>
      </c>
      <c r="S78" s="56" t="str">
        <f t="shared" si="48"/>
        <v>---</v>
      </c>
      <c r="T78" s="56" t="str">
        <f t="shared" si="48"/>
        <v>---</v>
      </c>
      <c r="U78" s="56" t="str">
        <f t="shared" si="48"/>
        <v>---</v>
      </c>
      <c r="V78" s="56" t="str">
        <f t="shared" si="48"/>
        <v>---</v>
      </c>
      <c r="W78" s="56" t="str">
        <f t="shared" si="48"/>
        <v>---</v>
      </c>
      <c r="X78" s="56" t="str">
        <f>IF(OR((X68=""),($E78=""),(ROUND((MAX(0,(MIN($E78,DATE(X62,X63,X64))-MAX($D78,DATE(X59,X60,X61))+1)))/30.41667,0)=0)),"---",ROUND((MAX(0,(MIN($E78,DATE(X62,X63,X64))-MAX($D78,DATE(X59,X60,X61))+1)))/30.41667,0))</f>
        <v>---</v>
      </c>
      <c r="Y78" s="721"/>
    </row>
    <row r="79" spans="1:25" hidden="1" outlineLevel="1">
      <c r="A79" s="196" t="str">
        <f>C79&amp;I87</f>
        <v>Option Year 10ESD</v>
      </c>
      <c r="B79" s="196"/>
      <c r="C79" s="133" t="str">
        <f t="shared" si="38"/>
        <v>Option Year 10</v>
      </c>
      <c r="D79" s="134">
        <f t="shared" si="38"/>
        <v>1827</v>
      </c>
      <c r="E79" s="134">
        <f t="shared" si="38"/>
        <v>2191</v>
      </c>
      <c r="F79" s="106" t="str">
        <f>IF(AND(($E55="MidPoint"),(ROUND(((D79-$E56)/30.41667),0)+ROUNDUP(((E79-D79)/30.41667/2),0)&gt;0)),ROUND(((D79-$E56)/30.41667),0)+ROUNDUP(((E79-D79)/30.41667/2),0),"DO NOT DELETE")</f>
        <v>DO NOT DELETE</v>
      </c>
      <c r="G79" s="93" t="str">
        <f>IF($E79-$D79&lt;0,"&lt;&lt; Check Dates",IF(AND(($E55="MidPoint"),(E79&lt;&gt;"")),((1+$E54)^(INT(F79/12)))*(((F79/12-INT(F79/12))*$E54)+1),IF(SUM($H79:$X79)=0,"",SUMPRODUCT($H68:$X68,$H79:$X79)/SUM($H79:$X79))))</f>
        <v/>
      </c>
      <c r="H79" s="94"/>
      <c r="I79" s="56" t="str">
        <f t="shared" ref="I79:W79" si="49">IF(OR((I68=""),($E79=""),(ROUND((MAX(0,(MIN($E79,DATE(I62,I63,I64))-MAX($D79,DATE(I59,I60,I61))+1)))/30.41667,0)=0)),"---",ROUND((MAX(0,(MIN($E79,DATE(I62,I63,I64))-MAX($D79,DATE(I59,I60,I61))+1)))/30.41667,0))</f>
        <v>---</v>
      </c>
      <c r="J79" s="56" t="str">
        <f t="shared" si="49"/>
        <v>---</v>
      </c>
      <c r="K79" s="56" t="str">
        <f t="shared" si="49"/>
        <v>---</v>
      </c>
      <c r="L79" s="56" t="str">
        <f t="shared" si="49"/>
        <v>---</v>
      </c>
      <c r="M79" s="56" t="str">
        <f t="shared" si="49"/>
        <v>---</v>
      </c>
      <c r="N79" s="56" t="str">
        <f t="shared" si="49"/>
        <v>---</v>
      </c>
      <c r="O79" s="56" t="str">
        <f t="shared" si="49"/>
        <v>---</v>
      </c>
      <c r="P79" s="56" t="str">
        <f t="shared" si="49"/>
        <v>---</v>
      </c>
      <c r="Q79" s="56" t="str">
        <f t="shared" si="49"/>
        <v>---</v>
      </c>
      <c r="R79" s="56" t="str">
        <f t="shared" si="49"/>
        <v>---</v>
      </c>
      <c r="S79" s="56" t="str">
        <f t="shared" si="49"/>
        <v>---</v>
      </c>
      <c r="T79" s="56" t="str">
        <f t="shared" si="49"/>
        <v>---</v>
      </c>
      <c r="U79" s="56" t="str">
        <f t="shared" si="49"/>
        <v>---</v>
      </c>
      <c r="V79" s="56" t="str">
        <f t="shared" si="49"/>
        <v>---</v>
      </c>
      <c r="W79" s="56" t="str">
        <f t="shared" si="49"/>
        <v>---</v>
      </c>
      <c r="X79" s="56" t="str">
        <f>IF(OR((X68=""),($E79=""),(ROUND((MAX(0,(MIN($E79,DATE(X62,X63,X64))-MAX($D79,DATE(X59,X60,X61))+1)))/30.41667,0)=0)),"---",ROUND((MAX(0,(MIN($E79,DATE(X62,X63,X64))-MAX($D79,DATE(X59,X60,X61))+1)))/30.41667,0))</f>
        <v>---</v>
      </c>
      <c r="Y79" s="721"/>
    </row>
    <row r="80" spans="1:25" hidden="1" outlineLevel="1">
      <c r="A80" s="196" t="str">
        <f>C80&amp;I87</f>
        <v>Option Year 11ESD</v>
      </c>
      <c r="B80" s="196"/>
      <c r="C80" s="133" t="str">
        <f t="shared" si="38"/>
        <v>Option Year 11</v>
      </c>
      <c r="D80" s="134">
        <f t="shared" si="38"/>
        <v>2192</v>
      </c>
      <c r="E80" s="134">
        <f t="shared" si="38"/>
        <v>2557</v>
      </c>
      <c r="F80" s="106" t="str">
        <f>IF(AND(($E55="MidPoint"),(ROUND(((D80-$E56)/30.41667),0)+ROUNDUP(((E80-D80)/30.41667/2),0)&gt;0)),ROUND(((D80-$E56)/30.41667),0)+ROUNDUP(((E80-D80)/30.41667/2),0),"DO NOT DELETE")</f>
        <v>DO NOT DELETE</v>
      </c>
      <c r="G80" s="93" t="str">
        <f>IF($E80-$D80&lt;0,"&lt;&lt; Check Dates",IF(AND(($E55="MidPoint"),(E80&lt;&gt;"")),((1+$E54)^(INT(F80/12)))*(((F80/12-INT(F80/12))*$E54)+1),IF(SUM($H80:$X80)=0,"",SUMPRODUCT($H68:$X68,$H80:$X80)/SUM($H80:$X80))))</f>
        <v/>
      </c>
      <c r="H80" s="94"/>
      <c r="I80" s="56" t="str">
        <f t="shared" ref="I80:W80" si="50">IF(OR((I68=""),($E80=""),(ROUND((MAX(0,(MIN($E80,DATE(I62,I63,I64))-MAX($D80,DATE(I59,I60,I61))+1)))/30.41667,0)=0)),"---",ROUND((MAX(0,(MIN($E80,DATE(I62,I63,I64))-MAX($D80,DATE(I59,I60,I61))+1)))/30.41667,0))</f>
        <v>---</v>
      </c>
      <c r="J80" s="56" t="str">
        <f t="shared" si="50"/>
        <v>---</v>
      </c>
      <c r="K80" s="56" t="str">
        <f t="shared" si="50"/>
        <v>---</v>
      </c>
      <c r="L80" s="56" t="str">
        <f t="shared" si="50"/>
        <v>---</v>
      </c>
      <c r="M80" s="56" t="str">
        <f t="shared" si="50"/>
        <v>---</v>
      </c>
      <c r="N80" s="56" t="str">
        <f t="shared" si="50"/>
        <v>---</v>
      </c>
      <c r="O80" s="56" t="str">
        <f t="shared" si="50"/>
        <v>---</v>
      </c>
      <c r="P80" s="56" t="str">
        <f t="shared" si="50"/>
        <v>---</v>
      </c>
      <c r="Q80" s="56" t="str">
        <f t="shared" si="50"/>
        <v>---</v>
      </c>
      <c r="R80" s="56" t="str">
        <f t="shared" si="50"/>
        <v>---</v>
      </c>
      <c r="S80" s="56" t="str">
        <f t="shared" si="50"/>
        <v>---</v>
      </c>
      <c r="T80" s="56" t="str">
        <f t="shared" si="50"/>
        <v>---</v>
      </c>
      <c r="U80" s="56" t="str">
        <f t="shared" si="50"/>
        <v>---</v>
      </c>
      <c r="V80" s="56" t="str">
        <f t="shared" si="50"/>
        <v>---</v>
      </c>
      <c r="W80" s="56" t="str">
        <f t="shared" si="50"/>
        <v>---</v>
      </c>
      <c r="X80" s="56" t="str">
        <f>IF(OR((X68=""),($E80=""),(ROUND((MAX(0,(MIN($E80,DATE(X62,X63,X64))-MAX($D80,DATE(X59,X60,X61))+1)))/30.41667,0)=0)),"---",ROUND((MAX(0,(MIN($E80,DATE(X62,X63,X64))-MAX($D80,DATE(X59,X60,X61))+1)))/30.41667,0))</f>
        <v>---</v>
      </c>
      <c r="Y80" s="721"/>
    </row>
    <row r="81" spans="1:35" hidden="1" outlineLevel="1">
      <c r="A81" s="196" t="str">
        <f>C81&amp;I87</f>
        <v>Option Year 12ESD</v>
      </c>
      <c r="B81" s="196"/>
      <c r="C81" s="133" t="str">
        <f t="shared" si="38"/>
        <v>Option Year 12</v>
      </c>
      <c r="D81" s="134">
        <f t="shared" si="38"/>
        <v>2558</v>
      </c>
      <c r="E81" s="134">
        <f t="shared" si="38"/>
        <v>2922</v>
      </c>
      <c r="F81" s="106" t="str">
        <f>IF(AND(($E55="MidPoint"),(ROUND(((D81-$E56)/30.41667),0)+ROUNDUP(((E81-D81)/30.41667/2),0)&gt;0)),ROUND(((D81-$E56)/30.41667),0)+ROUNDUP(((E81-D81)/30.41667/2),0),"DO NOT DELETE")</f>
        <v>DO NOT DELETE</v>
      </c>
      <c r="G81" s="93" t="str">
        <f>IF($E81-$D81&lt;0,"&lt;&lt; Check Dates",IF(AND(($E55="MidPoint"),(E81&lt;&gt;"")),((1+$E54)^(INT(F81/12)))*(((F81/12-INT(F81/12))*$E54)+1),IF(SUM($H81:$X81)=0,"",SUMPRODUCT($H68:$X68,$H81:$X81)/SUM($H81:$X81))))</f>
        <v/>
      </c>
      <c r="H81" s="94"/>
      <c r="I81" s="56" t="str">
        <f t="shared" ref="I81:W81" si="51">IF(OR((I68=""),($E81=""),(ROUND((MAX(0,(MIN($E81,DATE(I62,I63,I64))-MAX($D81,DATE(I59,I60,I61))+1)))/30.41667,0)=0)),"---",ROUND((MAX(0,(MIN($E81,DATE(I62,I63,I64))-MAX($D81,DATE(I59,I60,I61))+1)))/30.41667,0))</f>
        <v>---</v>
      </c>
      <c r="J81" s="56" t="str">
        <f t="shared" si="51"/>
        <v>---</v>
      </c>
      <c r="K81" s="56" t="str">
        <f t="shared" si="51"/>
        <v>---</v>
      </c>
      <c r="L81" s="56" t="str">
        <f t="shared" si="51"/>
        <v>---</v>
      </c>
      <c r="M81" s="56" t="str">
        <f t="shared" si="51"/>
        <v>---</v>
      </c>
      <c r="N81" s="56" t="str">
        <f t="shared" si="51"/>
        <v>---</v>
      </c>
      <c r="O81" s="56" t="str">
        <f t="shared" si="51"/>
        <v>---</v>
      </c>
      <c r="P81" s="56" t="str">
        <f t="shared" si="51"/>
        <v>---</v>
      </c>
      <c r="Q81" s="56" t="str">
        <f t="shared" si="51"/>
        <v>---</v>
      </c>
      <c r="R81" s="56" t="str">
        <f t="shared" si="51"/>
        <v>---</v>
      </c>
      <c r="S81" s="56" t="str">
        <f t="shared" si="51"/>
        <v>---</v>
      </c>
      <c r="T81" s="56" t="str">
        <f t="shared" si="51"/>
        <v>---</v>
      </c>
      <c r="U81" s="56" t="str">
        <f t="shared" si="51"/>
        <v>---</v>
      </c>
      <c r="V81" s="56" t="str">
        <f t="shared" si="51"/>
        <v>---</v>
      </c>
      <c r="W81" s="56" t="str">
        <f t="shared" si="51"/>
        <v>---</v>
      </c>
      <c r="X81" s="56" t="str">
        <f>IF(OR((X68=""),($E81=""),(ROUND((MAX(0,(MIN($E81,DATE(X62,X63,X64))-MAX($D81,DATE(X59,X60,X61))+1)))/30.41667,0)=0)),"---",ROUND((MAX(0,(MIN($E81,DATE(X62,X63,X64))-MAX($D81,DATE(X59,X60,X61))+1)))/30.41667,0))</f>
        <v>---</v>
      </c>
      <c r="Y81" s="721"/>
    </row>
    <row r="82" spans="1:35" hidden="1" outlineLevel="1">
      <c r="A82" s="196" t="str">
        <f>C82&amp;I87</f>
        <v>Option Year 13ESD</v>
      </c>
      <c r="B82" s="196"/>
      <c r="C82" s="133" t="str">
        <f t="shared" si="38"/>
        <v>Option Year 13</v>
      </c>
      <c r="D82" s="134">
        <f t="shared" si="38"/>
        <v>2923</v>
      </c>
      <c r="E82" s="134">
        <f t="shared" si="38"/>
        <v>3287</v>
      </c>
      <c r="F82" s="106" t="str">
        <f>IF(AND(($E55="MidPoint"),(ROUND(((D82-$E56)/30.41667),0)+ROUNDUP(((E82-D82)/30.41667/2),0)&gt;0)),ROUND(((D82-$E56)/30.41667),0)+ROUNDUP(((E82-D82)/30.41667/2),0),"DO NOT DELETE")</f>
        <v>DO NOT DELETE</v>
      </c>
      <c r="G82" s="93" t="str">
        <f>IF($E82-$D82&lt;0,"&lt;&lt; Check Dates",IF(AND(($E55="MidPoint"),(E82&lt;&gt;"")),((1+$E54)^(INT(F82/12)))*(((F82/12-INT(F82/12))*$E54)+1),IF(SUM($H82:$X82)=0,"",SUMPRODUCT($H68:$X68,$H82:$X82)/SUM($H82:$X82))))</f>
        <v/>
      </c>
      <c r="H82" s="94"/>
      <c r="I82" s="56" t="str">
        <f t="shared" ref="I82:W82" si="52">IF(OR((I68=""),($E82=""),(ROUND((MAX(0,(MIN($E82,DATE(I62,I63,I64))-MAX($D82,DATE(I59,I60,I61))+1)))/30.41667,0)=0)),"---",ROUND((MAX(0,(MIN($E82,DATE(I62,I63,I64))-MAX($D82,DATE(I59,I60,I61))+1)))/30.41667,0))</f>
        <v>---</v>
      </c>
      <c r="J82" s="56" t="str">
        <f t="shared" si="52"/>
        <v>---</v>
      </c>
      <c r="K82" s="56" t="str">
        <f t="shared" si="52"/>
        <v>---</v>
      </c>
      <c r="L82" s="56" t="str">
        <f t="shared" si="52"/>
        <v>---</v>
      </c>
      <c r="M82" s="56" t="str">
        <f t="shared" si="52"/>
        <v>---</v>
      </c>
      <c r="N82" s="56" t="str">
        <f t="shared" si="52"/>
        <v>---</v>
      </c>
      <c r="O82" s="56" t="str">
        <f t="shared" si="52"/>
        <v>---</v>
      </c>
      <c r="P82" s="56" t="str">
        <f t="shared" si="52"/>
        <v>---</v>
      </c>
      <c r="Q82" s="56" t="str">
        <f t="shared" si="52"/>
        <v>---</v>
      </c>
      <c r="R82" s="56" t="str">
        <f t="shared" si="52"/>
        <v>---</v>
      </c>
      <c r="S82" s="56" t="str">
        <f t="shared" si="52"/>
        <v>---</v>
      </c>
      <c r="T82" s="56" t="str">
        <f t="shared" si="52"/>
        <v>---</v>
      </c>
      <c r="U82" s="56" t="str">
        <f t="shared" si="52"/>
        <v>---</v>
      </c>
      <c r="V82" s="56" t="str">
        <f t="shared" si="52"/>
        <v>---</v>
      </c>
      <c r="W82" s="56" t="str">
        <f t="shared" si="52"/>
        <v>---</v>
      </c>
      <c r="X82" s="56" t="str">
        <f>IF(OR((X68=""),($E82=""),(ROUND((MAX(0,(MIN($E82,DATE(X62,X63,X64))-MAX($D82,DATE(X59,X60,X61))+1)))/30.41667,0)=0)),"---",ROUND((MAX(0,(MIN($E82,DATE(X62,X63,X64))-MAX($D82,DATE(X59,X60,X61))+1)))/30.41667,0))</f>
        <v>---</v>
      </c>
      <c r="Y82" s="721"/>
    </row>
    <row r="83" spans="1:35" hidden="1" outlineLevel="1">
      <c r="A83" s="196" t="str">
        <f>C83&amp;I87</f>
        <v>Option Year 14ESD</v>
      </c>
      <c r="B83" s="196"/>
      <c r="C83" s="133" t="str">
        <f>C36</f>
        <v>Option Year 14</v>
      </c>
      <c r="D83" s="134">
        <f>D36</f>
        <v>3288</v>
      </c>
      <c r="E83" s="134">
        <f>E36</f>
        <v>3652</v>
      </c>
      <c r="F83" s="106" t="str">
        <f>IF(AND(($E55="MidPoint"),(ROUND(((D83-$E56)/30.41667),0)+ROUNDUP(((E83-D83)/30.41667/2),0)&gt;0)),ROUND(((D83-$E56)/30.41667),0)+ROUNDUP(((E83-D83)/30.41667/2),0),"DO NOT DELETE")</f>
        <v>DO NOT DELETE</v>
      </c>
      <c r="G83" s="93" t="str">
        <f>IF($E83-$D83&lt;0,"&lt;&lt; Check Dates",IF(AND(($E55="MidPoint"),(E83&lt;&gt;"")),((1+$E54)^(INT(F83/12)))*(((F83/12-INT(F83/12))*$E54)+1),IF(SUM($H83:$X83)=0,"",SUMPRODUCT($H68:$X68,$H83:$X83)/SUM($H83:$X83))))</f>
        <v/>
      </c>
      <c r="H83" s="94"/>
      <c r="I83" s="56" t="str">
        <f t="shared" ref="I83:W83" si="53">IF(OR((I68=""),($E83=""),(ROUND((MAX(0,(MIN($E83,DATE(I62,I63,I64))-MAX($D83,DATE(I59,I60,I61))+1)))/30.41667,0)=0)),"---",ROUND((MAX(0,(MIN($E83,DATE(I62,I63,I64))-MAX($D83,DATE(I59,I60,I61))+1)))/30.41667,0))</f>
        <v>---</v>
      </c>
      <c r="J83" s="56" t="str">
        <f t="shared" si="53"/>
        <v>---</v>
      </c>
      <c r="K83" s="56" t="str">
        <f t="shared" si="53"/>
        <v>---</v>
      </c>
      <c r="L83" s="56" t="str">
        <f t="shared" si="53"/>
        <v>---</v>
      </c>
      <c r="M83" s="56" t="str">
        <f t="shared" si="53"/>
        <v>---</v>
      </c>
      <c r="N83" s="56" t="str">
        <f t="shared" si="53"/>
        <v>---</v>
      </c>
      <c r="O83" s="56" t="str">
        <f t="shared" si="53"/>
        <v>---</v>
      </c>
      <c r="P83" s="56" t="str">
        <f t="shared" si="53"/>
        <v>---</v>
      </c>
      <c r="Q83" s="56" t="str">
        <f t="shared" si="53"/>
        <v>---</v>
      </c>
      <c r="R83" s="56" t="str">
        <f t="shared" si="53"/>
        <v>---</v>
      </c>
      <c r="S83" s="56" t="str">
        <f t="shared" si="53"/>
        <v>---</v>
      </c>
      <c r="T83" s="56" t="str">
        <f t="shared" si="53"/>
        <v>---</v>
      </c>
      <c r="U83" s="56" t="str">
        <f t="shared" si="53"/>
        <v>---</v>
      </c>
      <c r="V83" s="56" t="str">
        <f t="shared" si="53"/>
        <v>---</v>
      </c>
      <c r="W83" s="56" t="str">
        <f t="shared" si="53"/>
        <v>---</v>
      </c>
      <c r="X83" s="56" t="str">
        <f>IF(OR((X68=""),($E83=""),(ROUND((MAX(0,(MIN($E83,DATE(X62,X63,X64))-MAX($D83,DATE(X59,X60,X61))+1)))/30.41667,0)=0)),"---",ROUND((MAX(0,(MIN($E83,DATE(X62,X63,X64))-MAX($D83,DATE(X59,X60,X61))+1)))/30.41667,0))</f>
        <v>---</v>
      </c>
      <c r="Y83" s="721"/>
    </row>
    <row r="84" spans="1:35" s="4" customFormat="1" hidden="1" outlineLevel="1">
      <c r="A84" s="198"/>
      <c r="B84" s="198"/>
      <c r="C84" s="124"/>
      <c r="D84" s="135"/>
      <c r="E84" s="135"/>
      <c r="F84" s="137"/>
      <c r="G84" s="138"/>
      <c r="H84" s="136"/>
      <c r="I84" s="47"/>
      <c r="J84" s="47"/>
      <c r="K84" s="47"/>
      <c r="L84" s="47"/>
      <c r="M84" s="47"/>
      <c r="N84" s="47"/>
      <c r="O84" s="47"/>
      <c r="P84" s="47"/>
      <c r="Q84" s="47"/>
      <c r="R84" s="47"/>
      <c r="S84" s="47"/>
      <c r="T84" s="47"/>
      <c r="U84" s="47"/>
      <c r="V84" s="47"/>
      <c r="W84" s="47"/>
      <c r="X84" s="98"/>
      <c r="Y84" s="98"/>
      <c r="AI84" s="140"/>
    </row>
    <row r="85" spans="1:35" hidden="1" outlineLevel="1">
      <c r="A85" s="196"/>
      <c r="B85" s="197"/>
      <c r="F85" s="15"/>
      <c r="G85" s="19"/>
      <c r="H85" s="97"/>
      <c r="I85" s="20"/>
      <c r="J85" s="20"/>
      <c r="K85" s="20"/>
      <c r="L85" s="20"/>
      <c r="M85" s="21"/>
      <c r="N85" s="21"/>
      <c r="O85" s="22"/>
      <c r="AI85" s="141"/>
    </row>
    <row r="86" spans="1:35" hidden="1" outlineLevel="1">
      <c r="A86" s="196"/>
      <c r="B86" s="197"/>
      <c r="F86" s="15" t="s">
        <v>590</v>
      </c>
      <c r="G86" s="6" t="s">
        <v>591</v>
      </c>
      <c r="H86" s="97"/>
      <c r="I86" s="818">
        <f>$I$12</f>
        <v>2008</v>
      </c>
      <c r="J86" s="818">
        <f t="shared" ref="J86:W86" si="54">I86+1</f>
        <v>2009</v>
      </c>
      <c r="K86" s="818">
        <f t="shared" si="54"/>
        <v>2010</v>
      </c>
      <c r="L86" s="818">
        <f t="shared" si="54"/>
        <v>2011</v>
      </c>
      <c r="M86" s="50">
        <f t="shared" si="54"/>
        <v>2012</v>
      </c>
      <c r="N86" s="50">
        <f t="shared" si="54"/>
        <v>2013</v>
      </c>
      <c r="O86" s="12">
        <f t="shared" si="54"/>
        <v>2014</v>
      </c>
      <c r="P86" s="12">
        <f t="shared" si="54"/>
        <v>2015</v>
      </c>
      <c r="Q86" s="12">
        <f t="shared" si="54"/>
        <v>2016</v>
      </c>
      <c r="R86" s="12">
        <f t="shared" si="54"/>
        <v>2017</v>
      </c>
      <c r="S86" s="12">
        <f t="shared" si="54"/>
        <v>2018</v>
      </c>
      <c r="T86" s="12">
        <f t="shared" si="54"/>
        <v>2019</v>
      </c>
      <c r="U86" s="12">
        <f t="shared" si="54"/>
        <v>2020</v>
      </c>
      <c r="V86" s="12">
        <f t="shared" si="54"/>
        <v>2021</v>
      </c>
      <c r="W86" s="12">
        <f t="shared" si="54"/>
        <v>2022</v>
      </c>
      <c r="X86" s="12">
        <f>W86+1</f>
        <v>2023</v>
      </c>
      <c r="AI86" s="141"/>
    </row>
    <row r="87" spans="1:35" ht="28.5" hidden="1" customHeight="1" outlineLevel="1">
      <c r="A87" s="196"/>
      <c r="B87" s="197"/>
      <c r="F87" s="15" t="s">
        <v>592</v>
      </c>
      <c r="G87" s="6" t="s">
        <v>593</v>
      </c>
      <c r="H87" s="97"/>
      <c r="I87" s="40" t="s">
        <v>42</v>
      </c>
      <c r="J87" s="816" t="str">
        <f>IF(I87="NEW","Enter new indirect rates by overwriting the formulas below.  Also, rename new Cost Center","")</f>
        <v/>
      </c>
      <c r="K87" s="817"/>
      <c r="L87" s="817"/>
      <c r="M87" s="817"/>
      <c r="N87" s="16"/>
      <c r="O87" s="17"/>
      <c r="P87" s="17"/>
      <c r="Q87" s="17"/>
      <c r="R87" s="17"/>
      <c r="S87" s="17"/>
      <c r="T87" s="17"/>
      <c r="U87" s="17"/>
      <c r="V87" s="17"/>
      <c r="W87" s="17"/>
      <c r="X87" s="18"/>
      <c r="Y87" s="722"/>
      <c r="AI87" s="141"/>
    </row>
    <row r="88" spans="1:35" s="4" customFormat="1" hidden="1" outlineLevel="1">
      <c r="A88" s="198" t="str">
        <f t="shared" ref="A88:A95" si="55">I$87&amp;$G88</f>
        <v>ESDPRB</v>
      </c>
      <c r="B88" s="198"/>
      <c r="F88" s="126"/>
      <c r="G88" s="13" t="str">
        <f t="shared" ref="G88:G95" si="56">G41</f>
        <v>PRB</v>
      </c>
      <c r="H88" s="97"/>
      <c r="I88" s="130">
        <f t="shared" ref="I88:R88" si="57">IF((ISERROR(INDEX(CCRates,MATCH((I$39&amp;$G88),YrBurden,0),MATCH($I87,CostCtr,0)))),0,(INDEX(CCRates,MATCH((I$39&amp;$G88),YrBurden,0),MATCH($I87,CostCtr,0))))</f>
        <v>0</v>
      </c>
      <c r="J88" s="130">
        <f t="shared" si="57"/>
        <v>0</v>
      </c>
      <c r="K88" s="130">
        <f t="shared" si="57"/>
        <v>0</v>
      </c>
      <c r="L88" s="130">
        <f t="shared" si="57"/>
        <v>0</v>
      </c>
      <c r="M88" s="130">
        <f t="shared" si="57"/>
        <v>0</v>
      </c>
      <c r="N88" s="130">
        <f t="shared" si="57"/>
        <v>0</v>
      </c>
      <c r="O88" s="130">
        <f t="shared" si="57"/>
        <v>0</v>
      </c>
      <c r="P88" s="130">
        <f t="shared" si="57"/>
        <v>0</v>
      </c>
      <c r="Q88" s="130">
        <f t="shared" si="57"/>
        <v>0</v>
      </c>
      <c r="R88" s="130">
        <f t="shared" si="57"/>
        <v>0</v>
      </c>
      <c r="S88" s="131">
        <f t="shared" ref="S88:W92" si="58">R88</f>
        <v>0</v>
      </c>
      <c r="T88" s="131">
        <f t="shared" si="58"/>
        <v>0</v>
      </c>
      <c r="U88" s="131">
        <f t="shared" si="58"/>
        <v>0</v>
      </c>
      <c r="V88" s="131">
        <f t="shared" si="58"/>
        <v>0</v>
      </c>
      <c r="W88" s="131">
        <f t="shared" si="58"/>
        <v>0</v>
      </c>
      <c r="X88" s="131">
        <f>W88</f>
        <v>0</v>
      </c>
      <c r="Y88" s="821"/>
      <c r="AI88" s="141"/>
    </row>
    <row r="89" spans="1:35" s="4" customFormat="1" hidden="1" outlineLevel="1">
      <c r="A89" s="198" t="str">
        <f t="shared" si="55"/>
        <v>ESDOverhead - Offsite</v>
      </c>
      <c r="B89" s="198"/>
      <c r="F89" s="126"/>
      <c r="G89" s="13" t="str">
        <f t="shared" si="56"/>
        <v>Overhead - Offsite</v>
      </c>
      <c r="H89" s="97"/>
      <c r="I89" s="130">
        <f t="shared" ref="I89:R89" si="59">IF((ISERROR(INDEX(CCRates,MATCH((I$39&amp;$G89),YrBurden,0),MATCH($I87,CostCtr,0)))),0,(INDEX(CCRates,MATCH((I$39&amp;$G89),YrBurden,0),MATCH($I87,CostCtr,0))))</f>
        <v>0</v>
      </c>
      <c r="J89" s="130">
        <f t="shared" si="59"/>
        <v>0</v>
      </c>
      <c r="K89" s="130">
        <f t="shared" si="59"/>
        <v>0</v>
      </c>
      <c r="L89" s="130">
        <f t="shared" si="59"/>
        <v>0</v>
      </c>
      <c r="M89" s="130">
        <f t="shared" si="59"/>
        <v>0</v>
      </c>
      <c r="N89" s="130">
        <f t="shared" si="59"/>
        <v>0</v>
      </c>
      <c r="O89" s="130">
        <f t="shared" si="59"/>
        <v>0</v>
      </c>
      <c r="P89" s="130">
        <f t="shared" si="59"/>
        <v>0</v>
      </c>
      <c r="Q89" s="130">
        <f t="shared" si="59"/>
        <v>0</v>
      </c>
      <c r="R89" s="130">
        <f t="shared" si="59"/>
        <v>0</v>
      </c>
      <c r="S89" s="131">
        <f t="shared" si="58"/>
        <v>0</v>
      </c>
      <c r="T89" s="131">
        <f t="shared" si="58"/>
        <v>0</v>
      </c>
      <c r="U89" s="131">
        <f t="shared" si="58"/>
        <v>0</v>
      </c>
      <c r="V89" s="131">
        <f t="shared" si="58"/>
        <v>0</v>
      </c>
      <c r="W89" s="131">
        <f t="shared" si="58"/>
        <v>0</v>
      </c>
      <c r="X89" s="131">
        <f>W89</f>
        <v>0</v>
      </c>
      <c r="Y89" s="821"/>
      <c r="AI89" s="141"/>
    </row>
    <row r="90" spans="1:35" s="4" customFormat="1" hidden="1" outlineLevel="1">
      <c r="A90" s="198" t="str">
        <f t="shared" si="55"/>
        <v>ESDOverhead - Onsite</v>
      </c>
      <c r="B90" s="198"/>
      <c r="F90" s="126"/>
      <c r="G90" s="13" t="str">
        <f t="shared" si="56"/>
        <v>Overhead - Onsite</v>
      </c>
      <c r="H90" s="97"/>
      <c r="I90" s="130">
        <f t="shared" ref="I90:R90" si="60">IF((ISERROR(INDEX(CCRates,MATCH((I$39&amp;$G90),YrBurden,0),MATCH($I87,CostCtr,0)))),0,(INDEX(CCRates,MATCH((I$39&amp;$G90),YrBurden,0),MATCH($I87,CostCtr,0))))</f>
        <v>0</v>
      </c>
      <c r="J90" s="130">
        <f t="shared" si="60"/>
        <v>0</v>
      </c>
      <c r="K90" s="130">
        <f t="shared" si="60"/>
        <v>0</v>
      </c>
      <c r="L90" s="130">
        <f t="shared" si="60"/>
        <v>0</v>
      </c>
      <c r="M90" s="130">
        <f t="shared" si="60"/>
        <v>0</v>
      </c>
      <c r="N90" s="130">
        <f t="shared" si="60"/>
        <v>0</v>
      </c>
      <c r="O90" s="130">
        <f t="shared" si="60"/>
        <v>0</v>
      </c>
      <c r="P90" s="130">
        <f t="shared" si="60"/>
        <v>0</v>
      </c>
      <c r="Q90" s="130">
        <f t="shared" si="60"/>
        <v>0</v>
      </c>
      <c r="R90" s="130">
        <f t="shared" si="60"/>
        <v>0</v>
      </c>
      <c r="S90" s="131">
        <f t="shared" si="58"/>
        <v>0</v>
      </c>
      <c r="T90" s="131">
        <f t="shared" si="58"/>
        <v>0</v>
      </c>
      <c r="U90" s="131">
        <f t="shared" si="58"/>
        <v>0</v>
      </c>
      <c r="V90" s="131">
        <f t="shared" si="58"/>
        <v>0</v>
      </c>
      <c r="W90" s="131">
        <f t="shared" si="58"/>
        <v>0</v>
      </c>
      <c r="X90" s="131">
        <f>W90</f>
        <v>0</v>
      </c>
      <c r="Y90" s="821"/>
      <c r="AI90" s="141"/>
    </row>
    <row r="91" spans="1:35" s="4" customFormat="1" hidden="1" outlineLevel="1">
      <c r="A91" s="198" t="str">
        <f t="shared" si="55"/>
        <v>ESDMaterial Handling</v>
      </c>
      <c r="B91" s="198"/>
      <c r="F91" s="126"/>
      <c r="G91" s="13" t="str">
        <f t="shared" si="56"/>
        <v>Material Handling</v>
      </c>
      <c r="H91" s="97"/>
      <c r="I91" s="130">
        <f t="shared" ref="I91:R91" si="61">IF((ISERROR(INDEX(CCRates,MATCH((I$39&amp;$G91),YrBurden,0),MATCH($I87,CostCtr,0)))),0,(INDEX(CCRates,MATCH((I$39&amp;$G91),YrBurden,0),MATCH($I87,CostCtr,0))))</f>
        <v>0</v>
      </c>
      <c r="J91" s="130">
        <f t="shared" si="61"/>
        <v>0</v>
      </c>
      <c r="K91" s="130">
        <f t="shared" si="61"/>
        <v>0</v>
      </c>
      <c r="L91" s="130">
        <f t="shared" si="61"/>
        <v>0</v>
      </c>
      <c r="M91" s="130">
        <f t="shared" si="61"/>
        <v>0</v>
      </c>
      <c r="N91" s="130">
        <f t="shared" si="61"/>
        <v>0</v>
      </c>
      <c r="O91" s="130">
        <f t="shared" si="61"/>
        <v>0</v>
      </c>
      <c r="P91" s="130">
        <f t="shared" si="61"/>
        <v>0</v>
      </c>
      <c r="Q91" s="130">
        <f t="shared" si="61"/>
        <v>0</v>
      </c>
      <c r="R91" s="130">
        <f t="shared" si="61"/>
        <v>0</v>
      </c>
      <c r="S91" s="131">
        <f t="shared" si="58"/>
        <v>0</v>
      </c>
      <c r="T91" s="131">
        <f t="shared" si="58"/>
        <v>0</v>
      </c>
      <c r="U91" s="131">
        <f t="shared" si="58"/>
        <v>0</v>
      </c>
      <c r="V91" s="131">
        <f t="shared" si="58"/>
        <v>0</v>
      </c>
      <c r="W91" s="131">
        <f t="shared" si="58"/>
        <v>0</v>
      </c>
      <c r="X91" s="131">
        <f>W91</f>
        <v>0</v>
      </c>
      <c r="Y91" s="821"/>
      <c r="AI91" s="141"/>
    </row>
    <row r="92" spans="1:35" s="4" customFormat="1" hidden="1" outlineLevel="1">
      <c r="A92" s="198" t="str">
        <f t="shared" si="55"/>
        <v>ESDG&amp;A</v>
      </c>
      <c r="B92" s="198"/>
      <c r="F92" s="126"/>
      <c r="G92" s="13" t="str">
        <f t="shared" si="56"/>
        <v>G&amp;A</v>
      </c>
      <c r="H92" s="97"/>
      <c r="I92" s="130">
        <f t="shared" ref="I92:R92" si="62">IF((ISERROR(INDEX(CCRates,MATCH((I$39&amp;$G92),YrBurden,0),MATCH($I87,CostCtr,0)))),0,(INDEX(CCRates,MATCH((I$39&amp;$G92),YrBurden,0),MATCH($I87,CostCtr,0))))</f>
        <v>0</v>
      </c>
      <c r="J92" s="130">
        <f t="shared" si="62"/>
        <v>0</v>
      </c>
      <c r="K92" s="130">
        <f t="shared" si="62"/>
        <v>0</v>
      </c>
      <c r="L92" s="130">
        <f t="shared" si="62"/>
        <v>0</v>
      </c>
      <c r="M92" s="130">
        <f t="shared" si="62"/>
        <v>0</v>
      </c>
      <c r="N92" s="130">
        <f t="shared" si="62"/>
        <v>0</v>
      </c>
      <c r="O92" s="130">
        <f t="shared" si="62"/>
        <v>0</v>
      </c>
      <c r="P92" s="130">
        <f t="shared" si="62"/>
        <v>0</v>
      </c>
      <c r="Q92" s="130">
        <f t="shared" si="62"/>
        <v>0</v>
      </c>
      <c r="R92" s="130">
        <f t="shared" si="62"/>
        <v>0</v>
      </c>
      <c r="S92" s="131">
        <f t="shared" si="58"/>
        <v>0</v>
      </c>
      <c r="T92" s="131">
        <f t="shared" si="58"/>
        <v>0</v>
      </c>
      <c r="U92" s="131">
        <f t="shared" si="58"/>
        <v>0</v>
      </c>
      <c r="V92" s="131">
        <f t="shared" si="58"/>
        <v>0</v>
      </c>
      <c r="W92" s="131">
        <f t="shared" si="58"/>
        <v>0</v>
      </c>
      <c r="X92" s="131">
        <f>W92</f>
        <v>0</v>
      </c>
      <c r="Y92" s="821"/>
      <c r="AI92" s="141"/>
    </row>
    <row r="93" spans="1:35" s="4" customFormat="1" ht="14.25" hidden="1" customHeight="1" outlineLevel="1">
      <c r="A93" s="198" t="str">
        <f t="shared" si="55"/>
        <v>ESDTBD1</v>
      </c>
      <c r="B93" s="198"/>
      <c r="F93" s="126"/>
      <c r="G93" s="13" t="str">
        <f t="shared" si="56"/>
        <v>TBD1</v>
      </c>
      <c r="H93" s="97"/>
      <c r="I93" s="130">
        <v>0</v>
      </c>
      <c r="J93" s="130">
        <f>I93</f>
        <v>0</v>
      </c>
      <c r="K93" s="130">
        <f t="shared" ref="K93:W93" si="63">+J93</f>
        <v>0</v>
      </c>
      <c r="L93" s="130">
        <f t="shared" si="63"/>
        <v>0</v>
      </c>
      <c r="M93" s="132">
        <f t="shared" si="63"/>
        <v>0</v>
      </c>
      <c r="N93" s="132">
        <f t="shared" si="63"/>
        <v>0</v>
      </c>
      <c r="O93" s="131">
        <f t="shared" si="63"/>
        <v>0</v>
      </c>
      <c r="P93" s="131">
        <f t="shared" si="63"/>
        <v>0</v>
      </c>
      <c r="Q93" s="131">
        <f t="shared" si="63"/>
        <v>0</v>
      </c>
      <c r="R93" s="131">
        <f t="shared" si="63"/>
        <v>0</v>
      </c>
      <c r="S93" s="131">
        <f t="shared" si="63"/>
        <v>0</v>
      </c>
      <c r="T93" s="131">
        <f t="shared" si="63"/>
        <v>0</v>
      </c>
      <c r="U93" s="131">
        <f t="shared" si="63"/>
        <v>0</v>
      </c>
      <c r="V93" s="131">
        <f t="shared" si="63"/>
        <v>0</v>
      </c>
      <c r="W93" s="131">
        <f t="shared" si="63"/>
        <v>0</v>
      </c>
      <c r="X93" s="131">
        <f>+W93</f>
        <v>0</v>
      </c>
      <c r="Y93" s="821"/>
      <c r="AI93" s="140"/>
    </row>
    <row r="94" spans="1:35" s="4" customFormat="1" hidden="1" outlineLevel="1">
      <c r="A94" s="198" t="str">
        <f t="shared" si="55"/>
        <v>ESDTBD2</v>
      </c>
      <c r="B94" s="198"/>
      <c r="F94" s="126"/>
      <c r="G94" s="13" t="str">
        <f t="shared" si="56"/>
        <v>TBD2</v>
      </c>
      <c r="H94" s="97"/>
      <c r="I94" s="130">
        <v>0</v>
      </c>
      <c r="J94" s="130">
        <f>I94</f>
        <v>0</v>
      </c>
      <c r="K94" s="130">
        <f t="shared" ref="K94:W94" si="64">+J94</f>
        <v>0</v>
      </c>
      <c r="L94" s="130">
        <f t="shared" si="64"/>
        <v>0</v>
      </c>
      <c r="M94" s="132">
        <f t="shared" si="64"/>
        <v>0</v>
      </c>
      <c r="N94" s="132">
        <f t="shared" si="64"/>
        <v>0</v>
      </c>
      <c r="O94" s="131">
        <f t="shared" si="64"/>
        <v>0</v>
      </c>
      <c r="P94" s="131">
        <f t="shared" si="64"/>
        <v>0</v>
      </c>
      <c r="Q94" s="131">
        <f t="shared" si="64"/>
        <v>0</v>
      </c>
      <c r="R94" s="131">
        <f t="shared" si="64"/>
        <v>0</v>
      </c>
      <c r="S94" s="131">
        <f t="shared" si="64"/>
        <v>0</v>
      </c>
      <c r="T94" s="131">
        <f t="shared" si="64"/>
        <v>0</v>
      </c>
      <c r="U94" s="131">
        <f t="shared" si="64"/>
        <v>0</v>
      </c>
      <c r="V94" s="131">
        <f t="shared" si="64"/>
        <v>0</v>
      </c>
      <c r="W94" s="131">
        <f t="shared" si="64"/>
        <v>0</v>
      </c>
      <c r="X94" s="131">
        <f>+W94</f>
        <v>0</v>
      </c>
      <c r="Y94" s="821"/>
      <c r="AI94" s="140"/>
    </row>
    <row r="95" spans="1:35" s="4" customFormat="1" hidden="1" outlineLevel="1">
      <c r="A95" s="198" t="str">
        <f t="shared" si="55"/>
        <v>ESDTBD3</v>
      </c>
      <c r="B95" s="198"/>
      <c r="F95" s="126"/>
      <c r="G95" s="13" t="str">
        <f t="shared" si="56"/>
        <v>TBD3</v>
      </c>
      <c r="H95" s="97"/>
      <c r="I95" s="130">
        <v>0</v>
      </c>
      <c r="J95" s="130">
        <f>I95</f>
        <v>0</v>
      </c>
      <c r="K95" s="130">
        <f t="shared" ref="K95:W95" si="65">+J95</f>
        <v>0</v>
      </c>
      <c r="L95" s="130">
        <f t="shared" si="65"/>
        <v>0</v>
      </c>
      <c r="M95" s="132">
        <f t="shared" si="65"/>
        <v>0</v>
      </c>
      <c r="N95" s="132">
        <f t="shared" si="65"/>
        <v>0</v>
      </c>
      <c r="O95" s="131">
        <f t="shared" si="65"/>
        <v>0</v>
      </c>
      <c r="P95" s="131">
        <f t="shared" si="65"/>
        <v>0</v>
      </c>
      <c r="Q95" s="131">
        <f t="shared" si="65"/>
        <v>0</v>
      </c>
      <c r="R95" s="131">
        <f t="shared" si="65"/>
        <v>0</v>
      </c>
      <c r="S95" s="131">
        <f t="shared" si="65"/>
        <v>0</v>
      </c>
      <c r="T95" s="131">
        <f t="shared" si="65"/>
        <v>0</v>
      </c>
      <c r="U95" s="131">
        <f t="shared" si="65"/>
        <v>0</v>
      </c>
      <c r="V95" s="131">
        <f t="shared" si="65"/>
        <v>0</v>
      </c>
      <c r="W95" s="131">
        <f t="shared" si="65"/>
        <v>0</v>
      </c>
      <c r="X95" s="131">
        <f>+W95</f>
        <v>0</v>
      </c>
      <c r="Y95" s="821"/>
      <c r="AI95" s="140"/>
    </row>
    <row r="96" spans="1:35" hidden="1" outlineLevel="1">
      <c r="A96" s="196"/>
      <c r="B96" s="197"/>
      <c r="F96" s="15"/>
      <c r="G96" s="19"/>
      <c r="H96" s="97"/>
      <c r="I96" s="20"/>
      <c r="J96" s="20"/>
      <c r="K96" s="20"/>
      <c r="L96" s="20"/>
      <c r="M96" s="21"/>
      <c r="N96" s="21"/>
      <c r="O96" s="22"/>
    </row>
    <row r="97" spans="1:35" hidden="1" outlineLevel="1">
      <c r="A97" s="196"/>
      <c r="B97" s="197"/>
      <c r="F97" s="15"/>
      <c r="G97" s="11" t="s">
        <v>651</v>
      </c>
      <c r="H97" s="97"/>
      <c r="I97" s="38">
        <f>IF(ISERROR((((1+I88)*(1+I89))*(1+I92))),"n/a",(((1+I88)*(1+I89))*(1+I92)))</f>
        <v>1</v>
      </c>
      <c r="J97" s="38">
        <f t="shared" ref="J97:X97" si="66">IF(ISERROR((((1+J88)*(1+J89))*(1+J92))),"n/a",(((1+J88)*(1+J89))*(1+J92)))</f>
        <v>1</v>
      </c>
      <c r="K97" s="38">
        <f t="shared" si="66"/>
        <v>1</v>
      </c>
      <c r="L97" s="38">
        <f t="shared" si="66"/>
        <v>1</v>
      </c>
      <c r="M97" s="38">
        <f t="shared" si="66"/>
        <v>1</v>
      </c>
      <c r="N97" s="38">
        <f t="shared" si="66"/>
        <v>1</v>
      </c>
      <c r="O97" s="38">
        <f t="shared" si="66"/>
        <v>1</v>
      </c>
      <c r="P97" s="38">
        <f t="shared" si="66"/>
        <v>1</v>
      </c>
      <c r="Q97" s="38">
        <f t="shared" si="66"/>
        <v>1</v>
      </c>
      <c r="R97" s="38">
        <f t="shared" si="66"/>
        <v>1</v>
      </c>
      <c r="S97" s="38">
        <f t="shared" si="66"/>
        <v>1</v>
      </c>
      <c r="T97" s="38">
        <f t="shared" si="66"/>
        <v>1</v>
      </c>
      <c r="U97" s="38">
        <f t="shared" si="66"/>
        <v>1</v>
      </c>
      <c r="V97" s="38">
        <f t="shared" si="66"/>
        <v>1</v>
      </c>
      <c r="W97" s="38">
        <f t="shared" si="66"/>
        <v>1</v>
      </c>
      <c r="X97" s="38">
        <f t="shared" si="66"/>
        <v>1</v>
      </c>
      <c r="Y97" s="722"/>
    </row>
    <row r="98" spans="1:35" hidden="1" outlineLevel="1">
      <c r="A98" s="196"/>
      <c r="B98" s="197"/>
      <c r="F98" s="15"/>
      <c r="G98" s="11" t="s">
        <v>652</v>
      </c>
      <c r="H98" s="97"/>
      <c r="I98" s="38">
        <f>IF(ISERROR((((1+I88)*(1+I90))*(1+I92))),"n/a",(((1+I88)*(1+I90))*(1+I92)))</f>
        <v>1</v>
      </c>
      <c r="J98" s="38">
        <f t="shared" ref="J98:X98" si="67">IF(ISERROR((((1+J88)*(1+J90))*(1+J92))),"n/a",(((1+J88)*(1+J90))*(1+J92)))</f>
        <v>1</v>
      </c>
      <c r="K98" s="38">
        <f t="shared" si="67"/>
        <v>1</v>
      </c>
      <c r="L98" s="38">
        <f t="shared" si="67"/>
        <v>1</v>
      </c>
      <c r="M98" s="38">
        <f t="shared" si="67"/>
        <v>1</v>
      </c>
      <c r="N98" s="38">
        <f t="shared" si="67"/>
        <v>1</v>
      </c>
      <c r="O98" s="38">
        <f t="shared" si="67"/>
        <v>1</v>
      </c>
      <c r="P98" s="38">
        <f t="shared" si="67"/>
        <v>1</v>
      </c>
      <c r="Q98" s="38">
        <f t="shared" si="67"/>
        <v>1</v>
      </c>
      <c r="R98" s="38">
        <f t="shared" si="67"/>
        <v>1</v>
      </c>
      <c r="S98" s="38">
        <f t="shared" si="67"/>
        <v>1</v>
      </c>
      <c r="T98" s="38">
        <f t="shared" si="67"/>
        <v>1</v>
      </c>
      <c r="U98" s="38">
        <f t="shared" si="67"/>
        <v>1</v>
      </c>
      <c r="V98" s="38">
        <f t="shared" si="67"/>
        <v>1</v>
      </c>
      <c r="W98" s="38">
        <f t="shared" si="67"/>
        <v>1</v>
      </c>
      <c r="X98" s="38">
        <f t="shared" si="67"/>
        <v>1</v>
      </c>
      <c r="Y98" s="722"/>
    </row>
    <row r="99" spans="1:35" s="704" customFormat="1" ht="13.5" hidden="1" outlineLevel="1" thickBot="1">
      <c r="A99" s="709"/>
      <c r="B99" s="709"/>
      <c r="F99" s="710"/>
      <c r="G99" s="342" t="s">
        <v>653</v>
      </c>
      <c r="H99" s="711"/>
      <c r="I99" s="712">
        <f>(I91*(1+I92))+1</f>
        <v>1</v>
      </c>
      <c r="J99" s="712">
        <f t="shared" ref="J99:W99" si="68">(J91*(1+J92))+1</f>
        <v>1</v>
      </c>
      <c r="K99" s="712">
        <f t="shared" si="68"/>
        <v>1</v>
      </c>
      <c r="L99" s="712">
        <f t="shared" si="68"/>
        <v>1</v>
      </c>
      <c r="M99" s="712">
        <f t="shared" si="68"/>
        <v>1</v>
      </c>
      <c r="N99" s="712">
        <f t="shared" si="68"/>
        <v>1</v>
      </c>
      <c r="O99" s="712">
        <f t="shared" si="68"/>
        <v>1</v>
      </c>
      <c r="P99" s="712">
        <f t="shared" si="68"/>
        <v>1</v>
      </c>
      <c r="Q99" s="712">
        <f t="shared" si="68"/>
        <v>1</v>
      </c>
      <c r="R99" s="712">
        <f t="shared" si="68"/>
        <v>1</v>
      </c>
      <c r="S99" s="712">
        <f t="shared" si="68"/>
        <v>1</v>
      </c>
      <c r="T99" s="712">
        <f t="shared" si="68"/>
        <v>1</v>
      </c>
      <c r="U99" s="712">
        <f t="shared" si="68"/>
        <v>1</v>
      </c>
      <c r="V99" s="712">
        <f t="shared" si="68"/>
        <v>1</v>
      </c>
      <c r="W99" s="712">
        <f t="shared" si="68"/>
        <v>1</v>
      </c>
      <c r="X99" s="712">
        <f>(X91*(1+X92))+1</f>
        <v>1</v>
      </c>
      <c r="Y99" s="723"/>
      <c r="AI99" s="708"/>
    </row>
    <row r="100" spans="1:35" collapsed="1">
      <c r="A100" s="196"/>
      <c r="B100" s="197"/>
      <c r="C100" s="123" t="s">
        <v>93</v>
      </c>
      <c r="F100" s="15"/>
      <c r="G100" s="19"/>
      <c r="H100" s="97"/>
      <c r="I100" s="20"/>
      <c r="J100" s="20"/>
      <c r="K100" s="20"/>
      <c r="L100" s="20"/>
      <c r="M100" s="21"/>
      <c r="N100" s="21"/>
      <c r="O100" s="22"/>
    </row>
    <row r="101" spans="1:35" hidden="1" outlineLevel="1">
      <c r="A101" s="196"/>
      <c r="B101" s="197"/>
      <c r="C101" s="8"/>
      <c r="D101" s="15" t="s">
        <v>20</v>
      </c>
      <c r="E101" s="99">
        <f>VLOOKUP(I134,'Esc Code'!$B$58:$C$92,2,FALSE)</f>
        <v>3.3000000000000002E-2</v>
      </c>
      <c r="F101" s="81"/>
      <c r="G101" s="10"/>
      <c r="H101" s="10"/>
      <c r="J101" s="10"/>
      <c r="K101" s="10"/>
      <c r="L101" s="10"/>
      <c r="M101" s="10"/>
      <c r="N101" s="10"/>
      <c r="O101" s="10"/>
      <c r="P101" s="10"/>
      <c r="Q101" s="10"/>
      <c r="R101" s="10"/>
      <c r="S101" s="10"/>
      <c r="T101" s="10"/>
      <c r="U101" s="10"/>
      <c r="V101" s="10"/>
      <c r="W101" s="10"/>
      <c r="X101" s="10"/>
      <c r="Y101" s="10"/>
    </row>
    <row r="102" spans="1:35" hidden="1" outlineLevel="1">
      <c r="A102" s="196"/>
      <c r="B102" s="196"/>
      <c r="D102" s="15" t="s">
        <v>23</v>
      </c>
      <c r="E102" s="100" t="str">
        <f>VLOOKUP(E104,'Esc Code'!$D$45:$K$56,7,FALSE)</f>
        <v>Standard</v>
      </c>
      <c r="F102" s="47"/>
      <c r="T102" s="98"/>
      <c r="U102" s="98"/>
      <c r="V102" s="98"/>
      <c r="W102" s="98"/>
      <c r="X102" s="98"/>
      <c r="Y102" s="98"/>
    </row>
    <row r="103" spans="1:35" hidden="1" outlineLevel="1">
      <c r="A103" s="196"/>
      <c r="B103" s="196"/>
      <c r="D103" s="15" t="s">
        <v>24</v>
      </c>
      <c r="E103" s="139">
        <f>E9</f>
        <v>40109</v>
      </c>
      <c r="F103" s="87"/>
      <c r="T103" s="98"/>
      <c r="U103" s="98"/>
      <c r="V103" s="98"/>
      <c r="W103" s="98"/>
      <c r="X103" s="98"/>
      <c r="Y103" s="98"/>
    </row>
    <row r="104" spans="1:35" hidden="1" outlineLevel="1">
      <c r="A104" s="196"/>
      <c r="B104" s="196"/>
      <c r="D104" s="82" t="s">
        <v>21</v>
      </c>
      <c r="E104" s="83" t="s">
        <v>9</v>
      </c>
      <c r="F104" s="84" t="s">
        <v>22</v>
      </c>
      <c r="T104" s="98"/>
      <c r="U104" s="98"/>
      <c r="V104" s="98"/>
      <c r="W104" s="98"/>
      <c r="X104" s="98"/>
      <c r="Y104" s="98"/>
    </row>
    <row r="105" spans="1:35" hidden="1" outlineLevel="1">
      <c r="A105" s="196"/>
      <c r="B105" s="196"/>
      <c r="D105" s="82"/>
      <c r="E105" s="101"/>
      <c r="F105" s="84"/>
      <c r="I105" s="102"/>
      <c r="Y105" s="98"/>
    </row>
    <row r="106" spans="1:35" hidden="1" outlineLevel="2">
      <c r="A106" s="196"/>
      <c r="B106" s="196"/>
      <c r="I106" s="85">
        <f>I59</f>
        <v>2008</v>
      </c>
      <c r="J106" s="85">
        <f t="shared" ref="J106:W106" si="69">+I106+1</f>
        <v>2009</v>
      </c>
      <c r="K106" s="85">
        <f t="shared" si="69"/>
        <v>2010</v>
      </c>
      <c r="L106" s="85">
        <f t="shared" si="69"/>
        <v>2011</v>
      </c>
      <c r="M106" s="85">
        <f t="shared" si="69"/>
        <v>2012</v>
      </c>
      <c r="N106" s="85">
        <f t="shared" si="69"/>
        <v>2013</v>
      </c>
      <c r="O106" s="85">
        <f t="shared" si="69"/>
        <v>2014</v>
      </c>
      <c r="P106" s="85">
        <f t="shared" si="69"/>
        <v>2015</v>
      </c>
      <c r="Q106" s="85">
        <f t="shared" si="69"/>
        <v>2016</v>
      </c>
      <c r="R106" s="85">
        <f t="shared" si="69"/>
        <v>2017</v>
      </c>
      <c r="S106" s="85">
        <f t="shared" si="69"/>
        <v>2018</v>
      </c>
      <c r="T106" s="85">
        <f t="shared" si="69"/>
        <v>2019</v>
      </c>
      <c r="U106" s="85">
        <f t="shared" si="69"/>
        <v>2020</v>
      </c>
      <c r="V106" s="85">
        <f t="shared" si="69"/>
        <v>2021</v>
      </c>
      <c r="W106" s="85">
        <f t="shared" si="69"/>
        <v>2022</v>
      </c>
      <c r="X106" s="85">
        <f>+W106+1</f>
        <v>2023</v>
      </c>
      <c r="Y106" s="98"/>
    </row>
    <row r="107" spans="1:35" hidden="1" outlineLevel="2">
      <c r="A107" s="196"/>
      <c r="B107" s="196"/>
      <c r="D107" s="15"/>
      <c r="E107" s="87"/>
      <c r="F107" s="87"/>
      <c r="I107" s="85">
        <f>VLOOKUP($E104,'Esc Code'!$D$45:$K$56,2,FALSE)</f>
        <v>4</v>
      </c>
      <c r="J107" s="85">
        <f>VLOOKUP($E104,'Esc Code'!$D$45:$K$56,2,FALSE)</f>
        <v>4</v>
      </c>
      <c r="K107" s="85">
        <f>VLOOKUP($E104,'Esc Code'!$D$45:$K$56,2,FALSE)</f>
        <v>4</v>
      </c>
      <c r="L107" s="85">
        <f>VLOOKUP($E104,'Esc Code'!$D$45:$K$56,2,FALSE)</f>
        <v>4</v>
      </c>
      <c r="M107" s="85">
        <f>VLOOKUP($E104,'Esc Code'!$D$45:$K$56,2,FALSE)</f>
        <v>4</v>
      </c>
      <c r="N107" s="85">
        <f>VLOOKUP($E104,'Esc Code'!$D$45:$K$56,2,FALSE)</f>
        <v>4</v>
      </c>
      <c r="O107" s="85">
        <f>VLOOKUP($E104,'Esc Code'!$D$45:$K$56,2,FALSE)</f>
        <v>4</v>
      </c>
      <c r="P107" s="85">
        <f>VLOOKUP($E104,'Esc Code'!$D$45:$K$56,2,FALSE)</f>
        <v>4</v>
      </c>
      <c r="Q107" s="85">
        <f>VLOOKUP($E104,'Esc Code'!$D$45:$K$56,2,FALSE)</f>
        <v>4</v>
      </c>
      <c r="R107" s="85">
        <f>VLOOKUP($E104,'Esc Code'!$D$45:$K$56,2,FALSE)</f>
        <v>4</v>
      </c>
      <c r="S107" s="85">
        <f>VLOOKUP($E104,'Esc Code'!$D$45:$K$56,2,FALSE)</f>
        <v>4</v>
      </c>
      <c r="T107" s="85">
        <f>VLOOKUP($E104,'Esc Code'!$D$45:$K$56,2,FALSE)</f>
        <v>4</v>
      </c>
      <c r="U107" s="85">
        <f>VLOOKUP($E104,'Esc Code'!$D$45:$K$56,2,FALSE)</f>
        <v>4</v>
      </c>
      <c r="V107" s="85">
        <f>VLOOKUP($E104,'Esc Code'!$D$45:$K$56,2,FALSE)</f>
        <v>4</v>
      </c>
      <c r="W107" s="85">
        <f>VLOOKUP($E104,'Esc Code'!$D$45:$K$56,2,FALSE)</f>
        <v>4</v>
      </c>
      <c r="X107" s="85">
        <f>VLOOKUP($E104,'Esc Code'!$D$45:$K$56,2,FALSE)</f>
        <v>4</v>
      </c>
      <c r="Y107" s="98"/>
    </row>
    <row r="108" spans="1:35" hidden="1" outlineLevel="2">
      <c r="A108" s="196"/>
      <c r="B108" s="196"/>
      <c r="D108" s="15"/>
      <c r="E108" s="87"/>
      <c r="F108" s="87"/>
      <c r="I108" s="85">
        <f>VLOOKUP($E104,'Esc Code'!$D$45:$K$56,3,FALSE)</f>
        <v>1</v>
      </c>
      <c r="J108" s="85">
        <f>VLOOKUP($E104,'Esc Code'!$D$45:$K$56,3,FALSE)</f>
        <v>1</v>
      </c>
      <c r="K108" s="85">
        <f>VLOOKUP($E104,'Esc Code'!$D$45:$K$56,3,FALSE)</f>
        <v>1</v>
      </c>
      <c r="L108" s="85">
        <f>VLOOKUP($E104,'Esc Code'!$D$45:$K$56,3,FALSE)</f>
        <v>1</v>
      </c>
      <c r="M108" s="85">
        <f>VLOOKUP($E104,'Esc Code'!$D$45:$K$56,3,FALSE)</f>
        <v>1</v>
      </c>
      <c r="N108" s="85">
        <f>VLOOKUP($E104,'Esc Code'!$D$45:$K$56,3,FALSE)</f>
        <v>1</v>
      </c>
      <c r="O108" s="85">
        <f>VLOOKUP($E104,'Esc Code'!$D$45:$K$56,3,FALSE)</f>
        <v>1</v>
      </c>
      <c r="P108" s="85">
        <f>VLOOKUP($E104,'Esc Code'!$D$45:$K$56,3,FALSE)</f>
        <v>1</v>
      </c>
      <c r="Q108" s="85">
        <f>VLOOKUP($E104,'Esc Code'!$D$45:$K$56,3,FALSE)</f>
        <v>1</v>
      </c>
      <c r="R108" s="85">
        <f>VLOOKUP($E104,'Esc Code'!$D$45:$K$56,3,FALSE)</f>
        <v>1</v>
      </c>
      <c r="S108" s="85">
        <f>VLOOKUP($E104,'Esc Code'!$D$45:$K$56,3,FALSE)</f>
        <v>1</v>
      </c>
      <c r="T108" s="85">
        <f>VLOOKUP($E104,'Esc Code'!$D$45:$K$56,3,FALSE)</f>
        <v>1</v>
      </c>
      <c r="U108" s="85">
        <f>VLOOKUP($E104,'Esc Code'!$D$45:$K$56,3,FALSE)</f>
        <v>1</v>
      </c>
      <c r="V108" s="85">
        <f>VLOOKUP($E104,'Esc Code'!$D$45:$K$56,3,FALSE)</f>
        <v>1</v>
      </c>
      <c r="W108" s="85">
        <f>VLOOKUP($E104,'Esc Code'!$D$45:$K$56,3,FALSE)</f>
        <v>1</v>
      </c>
      <c r="X108" s="85">
        <f>VLOOKUP($E104,'Esc Code'!$D$45:$K$56,3,FALSE)</f>
        <v>1</v>
      </c>
      <c r="Y108" s="98"/>
    </row>
    <row r="109" spans="1:35" hidden="1" outlineLevel="2">
      <c r="A109" s="196"/>
      <c r="B109" s="196"/>
      <c r="D109" s="15"/>
      <c r="E109" s="87"/>
      <c r="F109" s="87"/>
      <c r="I109" s="85">
        <f>IF(VLOOKUP($E104,'Esc Code'!$D$45:$K$56,6,FALSE)="Yes",I106+1,I106)</f>
        <v>2009</v>
      </c>
      <c r="J109" s="85">
        <f>IF(VLOOKUP($E104,'Esc Code'!$D$45:$K$56,6,FALSE)="Yes",J106+1,J106)</f>
        <v>2010</v>
      </c>
      <c r="K109" s="85">
        <f>IF(VLOOKUP($E104,'Esc Code'!$D$45:$K$56,6,FALSE)="Yes",K106+1,K106)</f>
        <v>2011</v>
      </c>
      <c r="L109" s="85">
        <f>IF(VLOOKUP($E104,'Esc Code'!$D$45:$K$56,6,FALSE)="Yes",L106+1,L106)</f>
        <v>2012</v>
      </c>
      <c r="M109" s="85">
        <f>IF(VLOOKUP($E104,'Esc Code'!$D$45:$K$56,6,FALSE)="Yes",M106+1,M106)</f>
        <v>2013</v>
      </c>
      <c r="N109" s="85">
        <f>IF(VLOOKUP($E104,'Esc Code'!$D$45:$K$56,6,FALSE)="Yes",N106+1,N106)</f>
        <v>2014</v>
      </c>
      <c r="O109" s="85">
        <f>IF(VLOOKUP($E104,'Esc Code'!$D$45:$K$56,6,FALSE)="Yes",O106+1,O106)</f>
        <v>2015</v>
      </c>
      <c r="P109" s="85">
        <f>IF(VLOOKUP($E104,'Esc Code'!$D$45:$K$56,6,FALSE)="Yes",P106+1,P106)</f>
        <v>2016</v>
      </c>
      <c r="Q109" s="85">
        <f>IF(VLOOKUP($E104,'Esc Code'!$D$45:$K$56,6,FALSE)="Yes",Q106+1,Q106)</f>
        <v>2017</v>
      </c>
      <c r="R109" s="85">
        <f>IF(VLOOKUP($E104,'Esc Code'!$D$45:$K$56,6,FALSE)="Yes",R106+1,R106)</f>
        <v>2018</v>
      </c>
      <c r="S109" s="85">
        <f>IF(VLOOKUP($E104,'Esc Code'!$D$45:$K$56,6,FALSE)="Yes",S106+1,S106)</f>
        <v>2019</v>
      </c>
      <c r="T109" s="85">
        <f>IF(VLOOKUP($E104,'Esc Code'!$D$45:$K$56,6,FALSE)="Yes",T106+1,T106)</f>
        <v>2020</v>
      </c>
      <c r="U109" s="85">
        <f>IF(VLOOKUP($E104,'Esc Code'!$D$45:$K$56,6,FALSE)="Yes",U106+1,U106)</f>
        <v>2021</v>
      </c>
      <c r="V109" s="85">
        <f>IF(VLOOKUP($E104,'Esc Code'!$D$45:$K$56,6,FALSE)="Yes",V106+1,V106)</f>
        <v>2022</v>
      </c>
      <c r="W109" s="85">
        <f>IF(VLOOKUP($E104,'Esc Code'!$D$45:$K$56,6,FALSE)="Yes",W106+1,W106)</f>
        <v>2023</v>
      </c>
      <c r="X109" s="85">
        <f>IF(VLOOKUP($E104,'Esc Code'!$D$45:$K$56,6,FALSE)="Yes",X106+1,X106)</f>
        <v>2024</v>
      </c>
      <c r="Y109" s="98"/>
    </row>
    <row r="110" spans="1:35" hidden="1" outlineLevel="2">
      <c r="A110" s="196"/>
      <c r="B110" s="196"/>
      <c r="D110" s="15"/>
      <c r="E110" s="87"/>
      <c r="F110" s="87"/>
      <c r="I110" s="85">
        <f>VLOOKUP($E104,'Esc Code'!$D$45:$K$56,4,FALSE)</f>
        <v>3</v>
      </c>
      <c r="J110" s="85">
        <f>VLOOKUP($E104,'Esc Code'!$D$45:$K$56,4,FALSE)</f>
        <v>3</v>
      </c>
      <c r="K110" s="85">
        <f>VLOOKUP($E104,'Esc Code'!$D$45:$K$56,4,FALSE)</f>
        <v>3</v>
      </c>
      <c r="L110" s="85">
        <f>VLOOKUP($E104,'Esc Code'!$D$45:$K$56,4,FALSE)</f>
        <v>3</v>
      </c>
      <c r="M110" s="85">
        <f>VLOOKUP($E104,'Esc Code'!$D$45:$K$56,4,FALSE)</f>
        <v>3</v>
      </c>
      <c r="N110" s="85">
        <f>VLOOKUP($E104,'Esc Code'!$D$45:$K$56,4,FALSE)</f>
        <v>3</v>
      </c>
      <c r="O110" s="85">
        <f>VLOOKUP($E104,'Esc Code'!$D$45:$K$56,4,FALSE)</f>
        <v>3</v>
      </c>
      <c r="P110" s="85">
        <f>VLOOKUP($E104,'Esc Code'!$D$45:$K$56,4,FALSE)</f>
        <v>3</v>
      </c>
      <c r="Q110" s="85">
        <f>VLOOKUP($E104,'Esc Code'!$D$45:$K$56,4,FALSE)</f>
        <v>3</v>
      </c>
      <c r="R110" s="85">
        <f>VLOOKUP($E104,'Esc Code'!$D$45:$K$56,4,FALSE)</f>
        <v>3</v>
      </c>
      <c r="S110" s="85">
        <f>VLOOKUP($E104,'Esc Code'!$D$45:$K$56,4,FALSE)</f>
        <v>3</v>
      </c>
      <c r="T110" s="85">
        <f>VLOOKUP($E104,'Esc Code'!$D$45:$K$56,4,FALSE)</f>
        <v>3</v>
      </c>
      <c r="U110" s="85">
        <f>VLOOKUP($E104,'Esc Code'!$D$45:$K$56,4,FALSE)</f>
        <v>3</v>
      </c>
      <c r="V110" s="85">
        <f>VLOOKUP($E104,'Esc Code'!$D$45:$K$56,4,FALSE)</f>
        <v>3</v>
      </c>
      <c r="W110" s="85">
        <f>VLOOKUP($E104,'Esc Code'!$D$45:$K$56,4,FALSE)</f>
        <v>3</v>
      </c>
      <c r="X110" s="85">
        <f>VLOOKUP($E104,'Esc Code'!$D$45:$K$56,4,FALSE)</f>
        <v>3</v>
      </c>
      <c r="Y110" s="98"/>
    </row>
    <row r="111" spans="1:35" hidden="1" outlineLevel="2">
      <c r="A111" s="196"/>
      <c r="B111" s="196"/>
      <c r="D111" s="15"/>
      <c r="E111" s="87"/>
      <c r="F111" s="87"/>
      <c r="I111" s="85">
        <f>VLOOKUP($E104,'Esc Code'!$D$45:$K$56,5,FALSE)</f>
        <v>31</v>
      </c>
      <c r="J111" s="85">
        <f>VLOOKUP($E104,'Esc Code'!$D$45:$K$56,5,FALSE)</f>
        <v>31</v>
      </c>
      <c r="K111" s="85">
        <f>VLOOKUP($E104,'Esc Code'!$D$45:$K$56,5,FALSE)</f>
        <v>31</v>
      </c>
      <c r="L111" s="85">
        <f>VLOOKUP($E104,'Esc Code'!$D$45:$K$56,5,FALSE)</f>
        <v>31</v>
      </c>
      <c r="M111" s="85">
        <f>VLOOKUP($E104,'Esc Code'!$D$45:$K$56,5,FALSE)</f>
        <v>31</v>
      </c>
      <c r="N111" s="85">
        <f>VLOOKUP($E104,'Esc Code'!$D$45:$K$56,5,FALSE)</f>
        <v>31</v>
      </c>
      <c r="O111" s="85">
        <f>VLOOKUP($E104,'Esc Code'!$D$45:$K$56,5,FALSE)</f>
        <v>31</v>
      </c>
      <c r="P111" s="85">
        <f>VLOOKUP($E104,'Esc Code'!$D$45:$K$56,5,FALSE)</f>
        <v>31</v>
      </c>
      <c r="Q111" s="85">
        <f>VLOOKUP($E104,'Esc Code'!$D$45:$K$56,5,FALSE)</f>
        <v>31</v>
      </c>
      <c r="R111" s="85">
        <f>VLOOKUP($E104,'Esc Code'!$D$45:$K$56,5,FALSE)</f>
        <v>31</v>
      </c>
      <c r="S111" s="85">
        <f>VLOOKUP($E104,'Esc Code'!$D$45:$K$56,5,FALSE)</f>
        <v>31</v>
      </c>
      <c r="T111" s="85">
        <f>VLOOKUP($E104,'Esc Code'!$D$45:$K$56,5,FALSE)</f>
        <v>31</v>
      </c>
      <c r="U111" s="85">
        <f>VLOOKUP($E104,'Esc Code'!$D$45:$K$56,5,FALSE)</f>
        <v>31</v>
      </c>
      <c r="V111" s="85">
        <f>VLOOKUP($E104,'Esc Code'!$D$45:$K$56,5,FALSE)</f>
        <v>31</v>
      </c>
      <c r="W111" s="85">
        <f>VLOOKUP($E104,'Esc Code'!$D$45:$K$56,5,FALSE)</f>
        <v>31</v>
      </c>
      <c r="X111" s="85">
        <f>VLOOKUP($E104,'Esc Code'!$D$45:$K$56,5,FALSE)</f>
        <v>31</v>
      </c>
      <c r="Y111" s="98"/>
    </row>
    <row r="112" spans="1:35" hidden="1" outlineLevel="2">
      <c r="A112" s="196"/>
      <c r="B112" s="196"/>
      <c r="D112" s="15"/>
      <c r="E112" s="103"/>
      <c r="F112" s="50"/>
      <c r="G112" s="14" t="s">
        <v>25</v>
      </c>
      <c r="I112" s="80">
        <f>IF(OR((I113=$E103),(I113&gt;$E103)),F103+1,0)</f>
        <v>0</v>
      </c>
      <c r="J112" s="80">
        <f t="shared" ref="J112:W112" si="70">IF(OR((J113=$E103),(J113&gt;$E103)),I112+1,0)</f>
        <v>0</v>
      </c>
      <c r="K112" s="80">
        <f t="shared" si="70"/>
        <v>1</v>
      </c>
      <c r="L112" s="80">
        <f t="shared" si="70"/>
        <v>2</v>
      </c>
      <c r="M112" s="80">
        <f t="shared" si="70"/>
        <v>3</v>
      </c>
      <c r="N112" s="80">
        <f t="shared" si="70"/>
        <v>4</v>
      </c>
      <c r="O112" s="80">
        <f t="shared" si="70"/>
        <v>5</v>
      </c>
      <c r="P112" s="80">
        <f t="shared" si="70"/>
        <v>6</v>
      </c>
      <c r="Q112" s="80">
        <f t="shared" si="70"/>
        <v>7</v>
      </c>
      <c r="R112" s="80">
        <f t="shared" si="70"/>
        <v>8</v>
      </c>
      <c r="S112" s="80">
        <f t="shared" si="70"/>
        <v>9</v>
      </c>
      <c r="T112" s="80">
        <f t="shared" si="70"/>
        <v>10</v>
      </c>
      <c r="U112" s="80">
        <f t="shared" si="70"/>
        <v>11</v>
      </c>
      <c r="V112" s="80">
        <f t="shared" si="70"/>
        <v>12</v>
      </c>
      <c r="W112" s="80">
        <f t="shared" si="70"/>
        <v>13</v>
      </c>
      <c r="X112" s="80">
        <f>IF(OR((X113=$E103),(X113&gt;$E103)),W112+1,0)</f>
        <v>14</v>
      </c>
      <c r="Y112" s="98"/>
    </row>
    <row r="113" spans="1:25" hidden="1" outlineLevel="1" collapsed="1">
      <c r="A113" s="196"/>
      <c r="B113" s="196"/>
      <c r="D113" s="15" t="s">
        <v>26</v>
      </c>
      <c r="E113" s="104">
        <f>HLOOKUP(1,$G112:$X113,2,FALSE)</f>
        <v>40269</v>
      </c>
      <c r="F113" s="87"/>
      <c r="G113" s="88" t="s">
        <v>2</v>
      </c>
      <c r="I113" s="73">
        <f>VLOOKUP($E104&amp;$G113,'Esc Code'!$D$4:$X$44,2,FALSE)</f>
        <v>39539</v>
      </c>
      <c r="J113" s="73">
        <f>VLOOKUP($E104&amp;$G113,'Esc Code'!$D$4:$X$44,3,FALSE)</f>
        <v>39904</v>
      </c>
      <c r="K113" s="73">
        <f>VLOOKUP($E104&amp;$G113,'Esc Code'!$D$4:$X$44,4,FALSE)</f>
        <v>40269</v>
      </c>
      <c r="L113" s="73">
        <f>VLOOKUP($E104&amp;$G113,'Esc Code'!$D$4:$X$44,5,FALSE)</f>
        <v>40634</v>
      </c>
      <c r="M113" s="73">
        <f>VLOOKUP($E104&amp;$G113,'Esc Code'!$D$4:$X$44,6,FALSE)</f>
        <v>41000</v>
      </c>
      <c r="N113" s="73">
        <f>VLOOKUP($E104&amp;$G113,'Esc Code'!$D$4:$X$44,7,FALSE)</f>
        <v>41365</v>
      </c>
      <c r="O113" s="73">
        <f>VLOOKUP($E104&amp;$G113,'Esc Code'!$D$4:$X$44,8,FALSE)</f>
        <v>41730</v>
      </c>
      <c r="P113" s="73">
        <f>VLOOKUP($E104&amp;$G113,'Esc Code'!$D$4:$X$44,9,FALSE)</f>
        <v>42095</v>
      </c>
      <c r="Q113" s="73">
        <f>VLOOKUP($E104&amp;$G113,'Esc Code'!$D$4:$X$44,10,FALSE)</f>
        <v>42461</v>
      </c>
      <c r="R113" s="73">
        <f>VLOOKUP($E104&amp;$G113,'Esc Code'!$D$4:$X$44,11,FALSE)</f>
        <v>42826</v>
      </c>
      <c r="S113" s="73">
        <f>VLOOKUP($E104&amp;$G113,'Esc Code'!$D$4:$X$44,12,FALSE)</f>
        <v>43191</v>
      </c>
      <c r="T113" s="73">
        <f>VLOOKUP($E104&amp;$G113,'Esc Code'!$D$4:$X$44,13,FALSE)</f>
        <v>43556</v>
      </c>
      <c r="U113" s="73">
        <f>VLOOKUP($E104&amp;$G113,'Esc Code'!$D$4:$X$44,14,FALSE)</f>
        <v>43922</v>
      </c>
      <c r="V113" s="73">
        <f>VLOOKUP($E104&amp;$G113,'Esc Code'!$D$4:$X$44,15,FALSE)</f>
        <v>44287</v>
      </c>
      <c r="W113" s="73">
        <f>VLOOKUP($E104&amp;$G113,'Esc Code'!$D$4:$X$44,16,FALSE)</f>
        <v>44652</v>
      </c>
      <c r="X113" s="73">
        <f>VLOOKUP($E104&amp;$G113,'Esc Code'!$D$4:$X$44,16,FALSE)</f>
        <v>44652</v>
      </c>
      <c r="Y113" s="721"/>
    </row>
    <row r="114" spans="1:25" hidden="1" outlineLevel="1">
      <c r="A114" s="196"/>
      <c r="B114" s="196"/>
      <c r="E114" s="7"/>
      <c r="G114" s="88" t="s">
        <v>3</v>
      </c>
      <c r="I114" s="73">
        <f>VLOOKUP($E104&amp;$G114,'Esc Code'!$D$4:$X$44,2,FALSE)</f>
        <v>39903</v>
      </c>
      <c r="J114" s="73">
        <f>VLOOKUP($E104&amp;$G114,'Esc Code'!$D$4:$X$44,3,FALSE)</f>
        <v>40268</v>
      </c>
      <c r="K114" s="73">
        <f>VLOOKUP($E104&amp;$G114,'Esc Code'!$D$4:$X$44,4,FALSE)</f>
        <v>40633</v>
      </c>
      <c r="L114" s="73">
        <f>VLOOKUP($E104&amp;$G114,'Esc Code'!$D$4:$X$44,5,FALSE)</f>
        <v>40999</v>
      </c>
      <c r="M114" s="73">
        <f>VLOOKUP($E104&amp;$G114,'Esc Code'!$D$4:$X$44,6,FALSE)</f>
        <v>41364</v>
      </c>
      <c r="N114" s="73">
        <f>VLOOKUP($E104&amp;$G114,'Esc Code'!$D$4:$X$44,7,FALSE)</f>
        <v>41729</v>
      </c>
      <c r="O114" s="73">
        <f>VLOOKUP($E104&amp;$G114,'Esc Code'!$D$4:$X$44,8,FALSE)</f>
        <v>42094</v>
      </c>
      <c r="P114" s="73">
        <f>VLOOKUP($E104&amp;$G114,'Esc Code'!$D$4:$X$44,9,FALSE)</f>
        <v>42460</v>
      </c>
      <c r="Q114" s="73">
        <f>VLOOKUP($E104&amp;$G114,'Esc Code'!$D$4:$X$44,10,FALSE)</f>
        <v>42825</v>
      </c>
      <c r="R114" s="73">
        <f>VLOOKUP($E104&amp;$G114,'Esc Code'!$D$4:$X$44,11,FALSE)</f>
        <v>43190</v>
      </c>
      <c r="S114" s="73">
        <f>VLOOKUP($E104&amp;$G114,'Esc Code'!$D$4:$X$44,12,FALSE)</f>
        <v>43555</v>
      </c>
      <c r="T114" s="73">
        <f>VLOOKUP($E104&amp;$G114,'Esc Code'!$D$4:$X$44,13,FALSE)</f>
        <v>43921</v>
      </c>
      <c r="U114" s="73">
        <f>VLOOKUP($E104&amp;$G114,'Esc Code'!$D$4:$X$44,14,FALSE)</f>
        <v>44286</v>
      </c>
      <c r="V114" s="73">
        <f>VLOOKUP($E104&amp;$G114,'Esc Code'!$D$4:$X$44,15,FALSE)</f>
        <v>44651</v>
      </c>
      <c r="W114" s="73">
        <f>VLOOKUP($E104&amp;$G114,'Esc Code'!$D$4:$X$44,16,FALSE)</f>
        <v>45016</v>
      </c>
      <c r="X114" s="73">
        <f>VLOOKUP($E104&amp;$G114,'Esc Code'!$D$4:$X$44,16,FALSE)</f>
        <v>45016</v>
      </c>
      <c r="Y114" s="721"/>
    </row>
    <row r="115" spans="1:25" ht="25.5" hidden="1" outlineLevel="1">
      <c r="A115" s="196"/>
      <c r="B115" s="196"/>
      <c r="C115" s="89" t="s">
        <v>27</v>
      </c>
      <c r="D115" s="90" t="s">
        <v>587</v>
      </c>
      <c r="E115" s="90" t="s">
        <v>588</v>
      </c>
      <c r="F115" s="89" t="s">
        <v>28</v>
      </c>
      <c r="G115" s="90" t="s">
        <v>654</v>
      </c>
      <c r="H115" s="76"/>
      <c r="I115" s="91">
        <f t="shared" ref="I115:W115" si="71">IF(I113="n/a","",(1+$E101)^I112)</f>
        <v>1</v>
      </c>
      <c r="J115" s="91">
        <f t="shared" si="71"/>
        <v>1</v>
      </c>
      <c r="K115" s="91">
        <f t="shared" si="71"/>
        <v>1.0329999999999999</v>
      </c>
      <c r="L115" s="91">
        <f t="shared" si="71"/>
        <v>1.0670889999999997</v>
      </c>
      <c r="M115" s="91">
        <f t="shared" si="71"/>
        <v>1.1023029369999997</v>
      </c>
      <c r="N115" s="91">
        <f t="shared" si="71"/>
        <v>1.1386789339209995</v>
      </c>
      <c r="O115" s="91">
        <f t="shared" si="71"/>
        <v>1.1762553387403925</v>
      </c>
      <c r="P115" s="91">
        <f t="shared" si="71"/>
        <v>1.2150717649188252</v>
      </c>
      <c r="Q115" s="91">
        <f t="shared" si="71"/>
        <v>1.2551691331611463</v>
      </c>
      <c r="R115" s="91">
        <f t="shared" si="71"/>
        <v>1.2965897145554639</v>
      </c>
      <c r="S115" s="91">
        <f t="shared" si="71"/>
        <v>1.3393771751357941</v>
      </c>
      <c r="T115" s="91">
        <f t="shared" si="71"/>
        <v>1.383576621915275</v>
      </c>
      <c r="U115" s="91">
        <f t="shared" si="71"/>
        <v>1.4292346504384792</v>
      </c>
      <c r="V115" s="91">
        <f t="shared" si="71"/>
        <v>1.4763993939029487</v>
      </c>
      <c r="W115" s="91">
        <f t="shared" si="71"/>
        <v>1.5251205739017459</v>
      </c>
      <c r="X115" s="91">
        <f>IF(X113="n/a","",(1+$E101)^X112)</f>
        <v>1.5754495528405033</v>
      </c>
      <c r="Y115" s="721"/>
    </row>
    <row r="116" spans="1:25" hidden="1" outlineLevel="1">
      <c r="A116" s="196" t="str">
        <f>C116&amp;I134</f>
        <v>Base YearESD</v>
      </c>
      <c r="B116" s="196"/>
      <c r="C116" s="133" t="str">
        <f t="shared" ref="C116:E129" si="72">C69</f>
        <v>Base Year</v>
      </c>
      <c r="D116" s="134">
        <f t="shared" si="72"/>
        <v>40179</v>
      </c>
      <c r="E116" s="134">
        <f t="shared" si="72"/>
        <v>40543</v>
      </c>
      <c r="F116" s="106" t="str">
        <f>IF(AND(($E102="MidPoint"),(ROUND(((D116-$E103)/30.41667),0)+ROUNDUP(((E116-D116)/30.41667/2),0)&gt;0)),ROUND(((D116-$E103)/30.41667),0)+ROUNDUP(((E116-D116)/30.41667/2),0),"DO NOT DELETE")</f>
        <v>DO NOT DELETE</v>
      </c>
      <c r="G116" s="93">
        <f>IF($E116-$D116&lt;0,"&lt;&lt; Check Dates",IF(AND(($E102="MidPoint"),(E116&lt;&gt;"")),((1+$E101)^(INT(F116/12)))*(((F116/12-INT(F116/12))*$E101)+1),IF(SUM($H116:$X116)=0,"",SUMPRODUCT($H115:$X115,$H116:$X116)/SUM($H116:$X116))))</f>
        <v>1.0247499999999998</v>
      </c>
      <c r="H116" s="94"/>
      <c r="I116" s="56" t="str">
        <f t="shared" ref="I116:X116" si="73">IF(OR((I115=""),($E116=""),(ROUND((MAX(0,(MIN($E116,DATE(I109,I110,I111))-MAX($D116,DATE(I106,I107,I108))+1)))/30.41667,0)=0)),"---",ROUND((MAX(0,(MIN($E116,DATE(I109,I110,I111))-MAX($D116,DATE(I106,I107,I108))+1)))/30.41667,0))</f>
        <v>---</v>
      </c>
      <c r="J116" s="56">
        <f t="shared" si="73"/>
        <v>3</v>
      </c>
      <c r="K116" s="56">
        <f t="shared" si="73"/>
        <v>9</v>
      </c>
      <c r="L116" s="56" t="str">
        <f t="shared" si="73"/>
        <v>---</v>
      </c>
      <c r="M116" s="56" t="str">
        <f t="shared" si="73"/>
        <v>---</v>
      </c>
      <c r="N116" s="56" t="str">
        <f t="shared" si="73"/>
        <v>---</v>
      </c>
      <c r="O116" s="56" t="str">
        <f t="shared" si="73"/>
        <v>---</v>
      </c>
      <c r="P116" s="56" t="str">
        <f t="shared" si="73"/>
        <v>---</v>
      </c>
      <c r="Q116" s="56" t="str">
        <f t="shared" si="73"/>
        <v>---</v>
      </c>
      <c r="R116" s="56" t="str">
        <f t="shared" si="73"/>
        <v>---</v>
      </c>
      <c r="S116" s="56" t="str">
        <f t="shared" si="73"/>
        <v>---</v>
      </c>
      <c r="T116" s="56" t="str">
        <f t="shared" si="73"/>
        <v>---</v>
      </c>
      <c r="U116" s="56" t="str">
        <f t="shared" si="73"/>
        <v>---</v>
      </c>
      <c r="V116" s="56" t="str">
        <f t="shared" si="73"/>
        <v>---</v>
      </c>
      <c r="W116" s="56" t="str">
        <f t="shared" si="73"/>
        <v>---</v>
      </c>
      <c r="X116" s="56" t="str">
        <f t="shared" si="73"/>
        <v>---</v>
      </c>
      <c r="Y116" s="721"/>
    </row>
    <row r="117" spans="1:25" hidden="1" outlineLevel="1">
      <c r="A117" s="196" t="str">
        <f>C117&amp;I134</f>
        <v>Option Year 1ESD</v>
      </c>
      <c r="B117" s="196"/>
      <c r="C117" s="133" t="str">
        <f t="shared" si="72"/>
        <v>Option Year 1</v>
      </c>
      <c r="D117" s="134">
        <f t="shared" si="72"/>
        <v>40544</v>
      </c>
      <c r="E117" s="134">
        <f t="shared" si="72"/>
        <v>40908</v>
      </c>
      <c r="F117" s="106" t="str">
        <f>IF(AND(($E102="MidPoint"),(ROUND(((D117-$E103)/30.41667),0)+ROUNDUP(((E117-D117)/30.41667/2),0)&gt;0)),ROUND(((D117-$E103)/30.41667),0)+ROUNDUP(((E117-D117)/30.41667/2),0),"DO NOT DELETE")</f>
        <v>DO NOT DELETE</v>
      </c>
      <c r="G117" s="93">
        <f>IF($E117-$D117&lt;0,"&lt;&lt; Check Dates",IF(AND(($E102="MidPoint"),(E117&lt;&gt;"")),((1+$E101)^(INT(F117/12)))*(((F117/12-INT(F117/12))*$E101)+1),IF(SUM($H117:$X117)=0,"",SUMPRODUCT($H115:$X115,$H117:$X117)/SUM($H117:$X117))))</f>
        <v>1.0585667499999998</v>
      </c>
      <c r="H117" s="94"/>
      <c r="I117" s="56" t="str">
        <f>IF(OR((I115=""),($E117=""),(ROUND((MAX(0,(MIN($E117,DATE(I109,I110,I111))-MAX($D117,DATE(I106,I107,I108))+1)))/30.41667,0)=0)),"---",ROUND((MAX(0,(MIN($E117,DATE(I109,I110,I111))-MAX($D117,DATE(I106,I107,I108))+1)))/30.41667,0))</f>
        <v>---</v>
      </c>
      <c r="J117" s="56" t="str">
        <f t="shared" ref="J117:W117" si="74">IF(OR((J115=""),($E117=""),(ROUND((MAX(0,(MIN($E117,DATE(J109,J110,J111))-MAX($D117,DATE(J106,J107,J108))+1)))/30.41667,0)=0)),"---",ROUND((MAX(0,(MIN($E117,DATE(J109,J110,J111))-MAX($D117,DATE(J106,J107,J108))+1)))/30.41667,0))</f>
        <v>---</v>
      </c>
      <c r="K117" s="56">
        <f t="shared" si="74"/>
        <v>3</v>
      </c>
      <c r="L117" s="56">
        <f t="shared" si="74"/>
        <v>9</v>
      </c>
      <c r="M117" s="56" t="str">
        <f t="shared" si="74"/>
        <v>---</v>
      </c>
      <c r="N117" s="56" t="str">
        <f t="shared" si="74"/>
        <v>---</v>
      </c>
      <c r="O117" s="56" t="str">
        <f t="shared" si="74"/>
        <v>---</v>
      </c>
      <c r="P117" s="56" t="str">
        <f t="shared" si="74"/>
        <v>---</v>
      </c>
      <c r="Q117" s="56" t="str">
        <f t="shared" si="74"/>
        <v>---</v>
      </c>
      <c r="R117" s="56" t="str">
        <f t="shared" si="74"/>
        <v>---</v>
      </c>
      <c r="S117" s="56" t="str">
        <f t="shared" si="74"/>
        <v>---</v>
      </c>
      <c r="T117" s="56" t="str">
        <f t="shared" si="74"/>
        <v>---</v>
      </c>
      <c r="U117" s="56" t="str">
        <f t="shared" si="74"/>
        <v>---</v>
      </c>
      <c r="V117" s="56" t="str">
        <f t="shared" si="74"/>
        <v>---</v>
      </c>
      <c r="W117" s="56" t="str">
        <f t="shared" si="74"/>
        <v>---</v>
      </c>
      <c r="X117" s="56" t="str">
        <f>IF(OR((X115=""),($E117=""),(ROUND((MAX(0,(MIN($E117,DATE(X109,X110,X111))-MAX($D117,DATE(X106,X107,X108))+1)))/30.41667,0)=0)),"---",ROUND((MAX(0,(MIN($E117,DATE(X109,X110,X111))-MAX($D117,DATE(X106,X107,X108))+1)))/30.41667,0))</f>
        <v>---</v>
      </c>
      <c r="Y117" s="721"/>
    </row>
    <row r="118" spans="1:25" hidden="1" outlineLevel="1">
      <c r="A118" s="196" t="str">
        <f>C118&amp;I134</f>
        <v>Option Year 2ESD</v>
      </c>
      <c r="B118" s="196"/>
      <c r="C118" s="133" t="str">
        <f t="shared" si="72"/>
        <v>Option Year 2</v>
      </c>
      <c r="D118" s="134">
        <f t="shared" si="72"/>
        <v>40909</v>
      </c>
      <c r="E118" s="134">
        <f t="shared" si="72"/>
        <v>41152</v>
      </c>
      <c r="F118" s="106" t="str">
        <f>IF(AND(($E102="MidPoint"),(ROUND(((D118-$E103)/30.41667),0)+ROUNDUP(((E118-D118)/30.41667/2),0)&gt;0)),ROUND(((D118-$E103)/30.41667),0)+ROUNDUP(((E118-D118)/30.41667/2),0),"DO NOT DELETE")</f>
        <v>DO NOT DELETE</v>
      </c>
      <c r="G118" s="93">
        <f>IF($E118-$D118&lt;0,"&lt;&lt; Check Dates",IF(AND(($E102="MidPoint"),(E118&lt;&gt;"")),((1+$E101)^(INT(F118/12)))*(((F118/12-INT(F118/12))*$E101)+1),IF(SUM($H118:$X118)=0,"",SUMPRODUCT($H115:$X115,$H118:$X118)/SUM($H118:$X118))))</f>
        <v>1.0890977106249997</v>
      </c>
      <c r="H118" s="94"/>
      <c r="I118" s="56" t="str">
        <f t="shared" ref="I118:W118" si="75">IF(OR((I115=""),($E118=""),(ROUND((MAX(0,(MIN($E118,DATE(I109,I110,I111))-MAX($D118,DATE(I106,I107,I108))+1)))/30.41667,0)=0)),"---",ROUND((MAX(0,(MIN($E118,DATE(I109,I110,I111))-MAX($D118,DATE(I106,I107,I108))+1)))/30.41667,0))</f>
        <v>---</v>
      </c>
      <c r="J118" s="56" t="str">
        <f t="shared" si="75"/>
        <v>---</v>
      </c>
      <c r="K118" s="56" t="str">
        <f t="shared" si="75"/>
        <v>---</v>
      </c>
      <c r="L118" s="56">
        <f t="shared" si="75"/>
        <v>3</v>
      </c>
      <c r="M118" s="56">
        <f t="shared" si="75"/>
        <v>5</v>
      </c>
      <c r="N118" s="56" t="str">
        <f t="shared" si="75"/>
        <v>---</v>
      </c>
      <c r="O118" s="56" t="str">
        <f t="shared" si="75"/>
        <v>---</v>
      </c>
      <c r="P118" s="56" t="str">
        <f t="shared" si="75"/>
        <v>---</v>
      </c>
      <c r="Q118" s="56" t="str">
        <f t="shared" si="75"/>
        <v>---</v>
      </c>
      <c r="R118" s="56" t="str">
        <f t="shared" si="75"/>
        <v>---</v>
      </c>
      <c r="S118" s="56" t="str">
        <f t="shared" si="75"/>
        <v>---</v>
      </c>
      <c r="T118" s="56" t="str">
        <f t="shared" si="75"/>
        <v>---</v>
      </c>
      <c r="U118" s="56" t="str">
        <f t="shared" si="75"/>
        <v>---</v>
      </c>
      <c r="V118" s="56" t="str">
        <f t="shared" si="75"/>
        <v>---</v>
      </c>
      <c r="W118" s="56" t="str">
        <f t="shared" si="75"/>
        <v>---</v>
      </c>
      <c r="X118" s="56" t="str">
        <f>IF(OR((X115=""),($E118=""),(ROUND((MAX(0,(MIN($E118,DATE(X109,X110,X111))-MAX($D118,DATE(X106,X107,X108))+1)))/30.41667,0)=0)),"---",ROUND((MAX(0,(MIN($E118,DATE(X109,X110,X111))-MAX($D118,DATE(X106,X107,X108))+1)))/30.41667,0))</f>
        <v>---</v>
      </c>
      <c r="Y118" s="721"/>
    </row>
    <row r="119" spans="1:25" hidden="1" outlineLevel="1">
      <c r="A119" s="196" t="str">
        <f>C119&amp;I134</f>
        <v>Training and ProcessingESD</v>
      </c>
      <c r="B119" s="196"/>
      <c r="C119" s="133" t="str">
        <f t="shared" si="72"/>
        <v>Training and Processing</v>
      </c>
      <c r="D119" s="134">
        <f t="shared" si="72"/>
        <v>40179</v>
      </c>
      <c r="E119" s="134">
        <f t="shared" si="72"/>
        <v>41152</v>
      </c>
      <c r="F119" s="106" t="str">
        <f>IF(AND(($E102="MidPoint"),(ROUND(((D119-$E103)/30.41667),0)+ROUNDUP(((E119-D119)/30.41667/2),0)&gt;0)),ROUND(((D119-$E103)/30.41667),0)+ROUNDUP(((E119-D119)/30.41667/2),0),"DO NOT DELETE")</f>
        <v>DO NOT DELETE</v>
      </c>
      <c r="G119" s="93">
        <f>IF($E119-$D119&lt;0,"&lt;&lt; Check Dates",IF(AND(($E102="MidPoint"),(E119&lt;&gt;"")),((1+$E101)^(INT(F119/12)))*(((F119/12-INT(F119/12))*$E101)+1),IF(SUM($H119:$X119)=0,"",SUMPRODUCT($H115:$X115,$H119:$X119)/SUM($H119:$X119))))</f>
        <v>1.0535182089062498</v>
      </c>
      <c r="H119" s="94"/>
      <c r="I119" s="56" t="str">
        <f t="shared" ref="I119:W119" si="76">IF(OR((I115=""),($E119=""),(ROUND((MAX(0,(MIN($E119,DATE(I109,I110,I111))-MAX($D119,DATE(I106,I107,I108))+1)))/30.41667,0)=0)),"---",ROUND((MAX(0,(MIN($E119,DATE(I109,I110,I111))-MAX($D119,DATE(I106,I107,I108))+1)))/30.41667,0))</f>
        <v>---</v>
      </c>
      <c r="J119" s="56">
        <f t="shared" si="76"/>
        <v>3</v>
      </c>
      <c r="K119" s="56">
        <f t="shared" si="76"/>
        <v>12</v>
      </c>
      <c r="L119" s="56">
        <f t="shared" si="76"/>
        <v>12</v>
      </c>
      <c r="M119" s="56">
        <f t="shared" si="76"/>
        <v>5</v>
      </c>
      <c r="N119" s="56" t="str">
        <f t="shared" si="76"/>
        <v>---</v>
      </c>
      <c r="O119" s="56" t="str">
        <f t="shared" si="76"/>
        <v>---</v>
      </c>
      <c r="P119" s="56" t="str">
        <f t="shared" si="76"/>
        <v>---</v>
      </c>
      <c r="Q119" s="56" t="str">
        <f t="shared" si="76"/>
        <v>---</v>
      </c>
      <c r="R119" s="56" t="str">
        <f t="shared" si="76"/>
        <v>---</v>
      </c>
      <c r="S119" s="56" t="str">
        <f t="shared" si="76"/>
        <v>---</v>
      </c>
      <c r="T119" s="56" t="str">
        <f t="shared" si="76"/>
        <v>---</v>
      </c>
      <c r="U119" s="56" t="str">
        <f t="shared" si="76"/>
        <v>---</v>
      </c>
      <c r="V119" s="56" t="str">
        <f t="shared" si="76"/>
        <v>---</v>
      </c>
      <c r="W119" s="56" t="str">
        <f t="shared" si="76"/>
        <v>---</v>
      </c>
      <c r="X119" s="56" t="str">
        <f>IF(OR((X115=""),($E119=""),(ROUND((MAX(0,(MIN($E119,DATE(X109,X110,X111))-MAX($D119,DATE(X106,X107,X108))+1)))/30.41667,0)=0)),"---",ROUND((MAX(0,(MIN($E119,DATE(X109,X110,X111))-MAX($D119,DATE(X106,X107,X108))+1)))/30.41667,0))</f>
        <v>---</v>
      </c>
      <c r="Y119" s="721"/>
    </row>
    <row r="120" spans="1:25" hidden="1" outlineLevel="1">
      <c r="A120" s="196" t="str">
        <f>C120&amp;I134</f>
        <v>0ESD</v>
      </c>
      <c r="B120" s="196"/>
      <c r="C120" s="133">
        <f t="shared" si="72"/>
        <v>0</v>
      </c>
      <c r="D120" s="134">
        <f t="shared" si="72"/>
        <v>0</v>
      </c>
      <c r="E120" s="134">
        <f t="shared" si="72"/>
        <v>0</v>
      </c>
      <c r="F120" s="106" t="str">
        <f>IF(AND(($E102="MidPoint"),(ROUND(((D120-$E103)/30.41667),0)+ROUNDUP(((E120-D120)/30.41667/2),0)&gt;0)),ROUND(((D120-$E103)/30.41667),0)+ROUNDUP(((E120-D120)/30.41667/2),0),"DO NOT DELETE")</f>
        <v>DO NOT DELETE</v>
      </c>
      <c r="G120" s="93" t="str">
        <f>IF($E120-$D120&lt;0,"&lt;&lt; Check Dates",IF(AND(($E102="MidPoint"),(E120&lt;&gt;"")),((1+$E101)^(INT(F120/12)))*(((F120/12-INT(F120/12))*$E101)+1),IF(SUM($H120:$X120)=0,"",SUMPRODUCT($H115:$X115,$H120:$X120)/SUM($H120:$X120))))</f>
        <v/>
      </c>
      <c r="H120" s="94"/>
      <c r="I120" s="56" t="str">
        <f t="shared" ref="I120:W120" si="77">IF(OR((I115=""),($E120=""),(ROUND((MAX(0,(MIN($E120,DATE(I109,I110,I111))-MAX($D120,DATE(I106,I107,I108))+1)))/30.41667,0)=0)),"---",ROUND((MAX(0,(MIN($E120,DATE(I109,I110,I111))-MAX($D120,DATE(I106,I107,I108))+1)))/30.41667,0))</f>
        <v>---</v>
      </c>
      <c r="J120" s="56" t="str">
        <f t="shared" si="77"/>
        <v>---</v>
      </c>
      <c r="K120" s="56" t="str">
        <f t="shared" si="77"/>
        <v>---</v>
      </c>
      <c r="L120" s="56" t="str">
        <f t="shared" si="77"/>
        <v>---</v>
      </c>
      <c r="M120" s="56" t="str">
        <f t="shared" si="77"/>
        <v>---</v>
      </c>
      <c r="N120" s="56" t="str">
        <f t="shared" si="77"/>
        <v>---</v>
      </c>
      <c r="O120" s="56" t="str">
        <f t="shared" si="77"/>
        <v>---</v>
      </c>
      <c r="P120" s="56" t="str">
        <f t="shared" si="77"/>
        <v>---</v>
      </c>
      <c r="Q120" s="56" t="str">
        <f t="shared" si="77"/>
        <v>---</v>
      </c>
      <c r="R120" s="56" t="str">
        <f t="shared" si="77"/>
        <v>---</v>
      </c>
      <c r="S120" s="56" t="str">
        <f t="shared" si="77"/>
        <v>---</v>
      </c>
      <c r="T120" s="56" t="str">
        <f t="shared" si="77"/>
        <v>---</v>
      </c>
      <c r="U120" s="56" t="str">
        <f t="shared" si="77"/>
        <v>---</v>
      </c>
      <c r="V120" s="56" t="str">
        <f t="shared" si="77"/>
        <v>---</v>
      </c>
      <c r="W120" s="56" t="str">
        <f t="shared" si="77"/>
        <v>---</v>
      </c>
      <c r="X120" s="56" t="str">
        <f>IF(OR((X115=""),($E120=""),(ROUND((MAX(0,(MIN($E120,DATE(X109,X110,X111))-MAX($D120,DATE(X106,X107,X108))+1)))/30.41667,0)=0)),"---",ROUND((MAX(0,(MIN($E120,DATE(X109,X110,X111))-MAX($D120,DATE(X106,X107,X108))+1)))/30.41667,0))</f>
        <v>---</v>
      </c>
      <c r="Y120" s="721"/>
    </row>
    <row r="121" spans="1:25" hidden="1" outlineLevel="1">
      <c r="A121" s="196" t="str">
        <f>C121&amp;I134</f>
        <v>Option Year 5ESD</v>
      </c>
      <c r="B121" s="196"/>
      <c r="C121" s="133" t="str">
        <f t="shared" si="72"/>
        <v>Option Year 5</v>
      </c>
      <c r="D121" s="134">
        <f t="shared" si="72"/>
        <v>1</v>
      </c>
      <c r="E121" s="134">
        <f t="shared" si="72"/>
        <v>365</v>
      </c>
      <c r="F121" s="106" t="str">
        <f>IF(AND(($E102="MidPoint"),(ROUND(((D121-$E103)/30.41667),0)+ROUNDUP(((E121-D121)/30.41667/2),0)&gt;0)),ROUND(((D121-$E103)/30.41667),0)+ROUNDUP(((E121-D121)/30.41667/2),0),"DO NOT DELETE")</f>
        <v>DO NOT DELETE</v>
      </c>
      <c r="G121" s="93" t="str">
        <f>IF($E121-$D121&lt;0,"&lt;&lt; Check Dates",IF(AND(($E102="MidPoint"),(E121&lt;&gt;"")),((1+$E101)^(INT(F121/12)))*(((F121/12-INT(F121/12))*$E101)+1),IF(SUM($H121:$X121)=0,"",SUMPRODUCT($H115:$X115,$H121:$X121)/SUM($H121:$X121))))</f>
        <v/>
      </c>
      <c r="H121" s="94"/>
      <c r="I121" s="56" t="str">
        <f t="shared" ref="I121:W121" si="78">IF(OR((I115=""),($E121=""),(ROUND((MAX(0,(MIN($E121,DATE(I109,I110,I111))-MAX($D121,DATE(I106,I107,I108))+1)))/30.41667,0)=0)),"---",ROUND((MAX(0,(MIN($E121,DATE(I109,I110,I111))-MAX($D121,DATE(I106,I107,I108))+1)))/30.41667,0))</f>
        <v>---</v>
      </c>
      <c r="J121" s="56" t="str">
        <f t="shared" si="78"/>
        <v>---</v>
      </c>
      <c r="K121" s="56" t="str">
        <f t="shared" si="78"/>
        <v>---</v>
      </c>
      <c r="L121" s="56" t="str">
        <f t="shared" si="78"/>
        <v>---</v>
      </c>
      <c r="M121" s="56" t="str">
        <f t="shared" si="78"/>
        <v>---</v>
      </c>
      <c r="N121" s="56" t="str">
        <f t="shared" si="78"/>
        <v>---</v>
      </c>
      <c r="O121" s="56" t="str">
        <f t="shared" si="78"/>
        <v>---</v>
      </c>
      <c r="P121" s="56" t="str">
        <f t="shared" si="78"/>
        <v>---</v>
      </c>
      <c r="Q121" s="56" t="str">
        <f t="shared" si="78"/>
        <v>---</v>
      </c>
      <c r="R121" s="56" t="str">
        <f t="shared" si="78"/>
        <v>---</v>
      </c>
      <c r="S121" s="56" t="str">
        <f t="shared" si="78"/>
        <v>---</v>
      </c>
      <c r="T121" s="56" t="str">
        <f t="shared" si="78"/>
        <v>---</v>
      </c>
      <c r="U121" s="56" t="str">
        <f t="shared" si="78"/>
        <v>---</v>
      </c>
      <c r="V121" s="56" t="str">
        <f t="shared" si="78"/>
        <v>---</v>
      </c>
      <c r="W121" s="56" t="str">
        <f t="shared" si="78"/>
        <v>---</v>
      </c>
      <c r="X121" s="56" t="str">
        <f>IF(OR((X115=""),($E121=""),(ROUND((MAX(0,(MIN($E121,DATE(X109,X110,X111))-MAX($D121,DATE(X106,X107,X108))+1)))/30.41667,0)=0)),"---",ROUND((MAX(0,(MIN($E121,DATE(X109,X110,X111))-MAX($D121,DATE(X106,X107,X108))+1)))/30.41667,0))</f>
        <v>---</v>
      </c>
      <c r="Y121" s="721"/>
    </row>
    <row r="122" spans="1:25" hidden="1" outlineLevel="1">
      <c r="A122" s="196" t="str">
        <f>C122&amp;I134</f>
        <v>Option Year 6ESD</v>
      </c>
      <c r="B122" s="196"/>
      <c r="C122" s="133" t="str">
        <f t="shared" si="72"/>
        <v>Option Year 6</v>
      </c>
      <c r="D122" s="134">
        <f t="shared" si="72"/>
        <v>366</v>
      </c>
      <c r="E122" s="134">
        <f t="shared" si="72"/>
        <v>730</v>
      </c>
      <c r="F122" s="106" t="str">
        <f>IF(AND(($E102="MidPoint"),(ROUND(((D122-$E103)/30.41667),0)+ROUNDUP(((E122-D122)/30.41667/2),0)&gt;0)),ROUND(((D122-$E103)/30.41667),0)+ROUNDUP(((E122-D122)/30.41667/2),0),"DO NOT DELETE")</f>
        <v>DO NOT DELETE</v>
      </c>
      <c r="G122" s="93" t="str">
        <f>IF($E122-$D122&lt;0,"&lt;&lt; Check Dates",IF(AND(($E102="MidPoint"),(E122&lt;&gt;"")),((1+$E101)^(INT(F122/12)))*(((F122/12-INT(F122/12))*$E101)+1),IF(SUM($H122:$X122)=0,"",SUMPRODUCT($H115:$X115,$H122:$X122)/SUM($H122:$X122))))</f>
        <v/>
      </c>
      <c r="H122" s="94"/>
      <c r="I122" s="56" t="str">
        <f t="shared" ref="I122:W122" si="79">IF(OR((I115=""),($E122=""),(ROUND((MAX(0,(MIN($E122,DATE(I109,I110,I111))-MAX($D122,DATE(I106,I107,I108))+1)))/30.41667,0)=0)),"---",ROUND((MAX(0,(MIN($E122,DATE(I109,I110,I111))-MAX($D122,DATE(I106,I107,I108))+1)))/30.41667,0))</f>
        <v>---</v>
      </c>
      <c r="J122" s="56" t="str">
        <f t="shared" si="79"/>
        <v>---</v>
      </c>
      <c r="K122" s="56" t="str">
        <f t="shared" si="79"/>
        <v>---</v>
      </c>
      <c r="L122" s="56" t="str">
        <f t="shared" si="79"/>
        <v>---</v>
      </c>
      <c r="M122" s="56" t="str">
        <f t="shared" si="79"/>
        <v>---</v>
      </c>
      <c r="N122" s="56" t="str">
        <f t="shared" si="79"/>
        <v>---</v>
      </c>
      <c r="O122" s="56" t="str">
        <f t="shared" si="79"/>
        <v>---</v>
      </c>
      <c r="P122" s="56" t="str">
        <f t="shared" si="79"/>
        <v>---</v>
      </c>
      <c r="Q122" s="56" t="str">
        <f t="shared" si="79"/>
        <v>---</v>
      </c>
      <c r="R122" s="56" t="str">
        <f t="shared" si="79"/>
        <v>---</v>
      </c>
      <c r="S122" s="56" t="str">
        <f t="shared" si="79"/>
        <v>---</v>
      </c>
      <c r="T122" s="56" t="str">
        <f t="shared" si="79"/>
        <v>---</v>
      </c>
      <c r="U122" s="56" t="str">
        <f t="shared" si="79"/>
        <v>---</v>
      </c>
      <c r="V122" s="56" t="str">
        <f t="shared" si="79"/>
        <v>---</v>
      </c>
      <c r="W122" s="56" t="str">
        <f t="shared" si="79"/>
        <v>---</v>
      </c>
      <c r="X122" s="56" t="str">
        <f>IF(OR((X115=""),($E122=""),(ROUND((MAX(0,(MIN($E122,DATE(X109,X110,X111))-MAX($D122,DATE(X106,X107,X108))+1)))/30.41667,0)=0)),"---",ROUND((MAX(0,(MIN($E122,DATE(X109,X110,X111))-MAX($D122,DATE(X106,X107,X108))+1)))/30.41667,0))</f>
        <v>---</v>
      </c>
      <c r="Y122" s="721"/>
    </row>
    <row r="123" spans="1:25" hidden="1" outlineLevel="1">
      <c r="A123" s="196" t="str">
        <f>C123&amp;I134</f>
        <v>Option Year 7ESD</v>
      </c>
      <c r="B123" s="196"/>
      <c r="C123" s="133" t="str">
        <f t="shared" si="72"/>
        <v>Option Year 7</v>
      </c>
      <c r="D123" s="134">
        <f t="shared" si="72"/>
        <v>731</v>
      </c>
      <c r="E123" s="134">
        <f t="shared" si="72"/>
        <v>1096</v>
      </c>
      <c r="F123" s="106" t="str">
        <f>IF(AND(($E102="MidPoint"),(ROUND(((D123-$E103)/30.41667),0)+ROUNDUP(((E123-D123)/30.41667/2),0)&gt;0)),ROUND(((D123-$E103)/30.41667),0)+ROUNDUP(((E123-D123)/30.41667/2),0),"DO NOT DELETE")</f>
        <v>DO NOT DELETE</v>
      </c>
      <c r="G123" s="93" t="str">
        <f>IF($E123-$D123&lt;0,"&lt;&lt; Check Dates",IF(AND(($E102="MidPoint"),(E123&lt;&gt;"")),((1+$E101)^(INT(F123/12)))*(((F123/12-INT(F123/12))*$E101)+1),IF(SUM($H123:$X123)=0,"",SUMPRODUCT($H115:$X115,$H123:$X123)/SUM($H123:$X123))))</f>
        <v/>
      </c>
      <c r="H123" s="94"/>
      <c r="I123" s="56" t="str">
        <f t="shared" ref="I123:W123" si="80">IF(OR((I115=""),($E123=""),(ROUND((MAX(0,(MIN($E123,DATE(I109,I110,I111))-MAX($D123,DATE(I106,I107,I108))+1)))/30.41667,0)=0)),"---",ROUND((MAX(0,(MIN($E123,DATE(I109,I110,I111))-MAX($D123,DATE(I106,I107,I108))+1)))/30.41667,0))</f>
        <v>---</v>
      </c>
      <c r="J123" s="56" t="str">
        <f t="shared" si="80"/>
        <v>---</v>
      </c>
      <c r="K123" s="56" t="str">
        <f t="shared" si="80"/>
        <v>---</v>
      </c>
      <c r="L123" s="56" t="str">
        <f t="shared" si="80"/>
        <v>---</v>
      </c>
      <c r="M123" s="56" t="str">
        <f t="shared" si="80"/>
        <v>---</v>
      </c>
      <c r="N123" s="56" t="str">
        <f t="shared" si="80"/>
        <v>---</v>
      </c>
      <c r="O123" s="56" t="str">
        <f t="shared" si="80"/>
        <v>---</v>
      </c>
      <c r="P123" s="56" t="str">
        <f t="shared" si="80"/>
        <v>---</v>
      </c>
      <c r="Q123" s="56" t="str">
        <f t="shared" si="80"/>
        <v>---</v>
      </c>
      <c r="R123" s="56" t="str">
        <f t="shared" si="80"/>
        <v>---</v>
      </c>
      <c r="S123" s="56" t="str">
        <f t="shared" si="80"/>
        <v>---</v>
      </c>
      <c r="T123" s="56" t="str">
        <f t="shared" si="80"/>
        <v>---</v>
      </c>
      <c r="U123" s="56" t="str">
        <f t="shared" si="80"/>
        <v>---</v>
      </c>
      <c r="V123" s="56" t="str">
        <f t="shared" si="80"/>
        <v>---</v>
      </c>
      <c r="W123" s="56" t="str">
        <f t="shared" si="80"/>
        <v>---</v>
      </c>
      <c r="X123" s="56" t="str">
        <f>IF(OR((X115=""),($E123=""),(ROUND((MAX(0,(MIN($E123,DATE(X109,X110,X111))-MAX($D123,DATE(X106,X107,X108))+1)))/30.41667,0)=0)),"---",ROUND((MAX(0,(MIN($E123,DATE(X109,X110,X111))-MAX($D123,DATE(X106,X107,X108))+1)))/30.41667,0))</f>
        <v>---</v>
      </c>
      <c r="Y123" s="721"/>
    </row>
    <row r="124" spans="1:25" hidden="1" outlineLevel="1">
      <c r="A124" s="196" t="str">
        <f>C124&amp;I134</f>
        <v>Option Year 8ESD</v>
      </c>
      <c r="B124" s="196"/>
      <c r="C124" s="133" t="str">
        <f t="shared" si="72"/>
        <v>Option Year 8</v>
      </c>
      <c r="D124" s="134">
        <f t="shared" si="72"/>
        <v>1097</v>
      </c>
      <c r="E124" s="134">
        <f t="shared" si="72"/>
        <v>1461</v>
      </c>
      <c r="F124" s="106" t="str">
        <f>IF(AND(($E102="MidPoint"),(ROUND(((D124-$E103)/30.41667),0)+ROUNDUP(((E124-D124)/30.41667/2),0)&gt;0)),ROUND(((D124-$E103)/30.41667),0)+ROUNDUP(((E124-D124)/30.41667/2),0),"DO NOT DELETE")</f>
        <v>DO NOT DELETE</v>
      </c>
      <c r="G124" s="93" t="str">
        <f>IF($E124-$D124&lt;0,"&lt;&lt; Check Dates",IF(AND(($E102="MidPoint"),(E124&lt;&gt;"")),((1+$E101)^(INT(F124/12)))*(((F124/12-INT(F124/12))*$E101)+1),IF(SUM($H124:$X124)=0,"",SUMPRODUCT($H115:$X115,$H124:$X124)/SUM($H124:$X124))))</f>
        <v/>
      </c>
      <c r="H124" s="94"/>
      <c r="I124" s="56" t="str">
        <f t="shared" ref="I124:W124" si="81">IF(OR((I115=""),($E124=""),(ROUND((MAX(0,(MIN($E124,DATE(I109,I110,I111))-MAX($D124,DATE(I106,I107,I108))+1)))/30.41667,0)=0)),"---",ROUND((MAX(0,(MIN($E124,DATE(I109,I110,I111))-MAX($D124,DATE(I106,I107,I108))+1)))/30.41667,0))</f>
        <v>---</v>
      </c>
      <c r="J124" s="56" t="str">
        <f t="shared" si="81"/>
        <v>---</v>
      </c>
      <c r="K124" s="56" t="str">
        <f t="shared" si="81"/>
        <v>---</v>
      </c>
      <c r="L124" s="56" t="str">
        <f t="shared" si="81"/>
        <v>---</v>
      </c>
      <c r="M124" s="56" t="str">
        <f t="shared" si="81"/>
        <v>---</v>
      </c>
      <c r="N124" s="56" t="str">
        <f t="shared" si="81"/>
        <v>---</v>
      </c>
      <c r="O124" s="56" t="str">
        <f t="shared" si="81"/>
        <v>---</v>
      </c>
      <c r="P124" s="56" t="str">
        <f t="shared" si="81"/>
        <v>---</v>
      </c>
      <c r="Q124" s="56" t="str">
        <f t="shared" si="81"/>
        <v>---</v>
      </c>
      <c r="R124" s="56" t="str">
        <f t="shared" si="81"/>
        <v>---</v>
      </c>
      <c r="S124" s="56" t="str">
        <f t="shared" si="81"/>
        <v>---</v>
      </c>
      <c r="T124" s="56" t="str">
        <f t="shared" si="81"/>
        <v>---</v>
      </c>
      <c r="U124" s="56" t="str">
        <f t="shared" si="81"/>
        <v>---</v>
      </c>
      <c r="V124" s="56" t="str">
        <f t="shared" si="81"/>
        <v>---</v>
      </c>
      <c r="W124" s="56" t="str">
        <f t="shared" si="81"/>
        <v>---</v>
      </c>
      <c r="X124" s="56" t="str">
        <f>IF(OR((X115=""),($E124=""),(ROUND((MAX(0,(MIN($E124,DATE(X109,X110,X111))-MAX($D124,DATE(X106,X107,X108))+1)))/30.41667,0)=0)),"---",ROUND((MAX(0,(MIN($E124,DATE(X109,X110,X111))-MAX($D124,DATE(X106,X107,X108))+1)))/30.41667,0))</f>
        <v>---</v>
      </c>
      <c r="Y124" s="721"/>
    </row>
    <row r="125" spans="1:25" hidden="1" outlineLevel="1">
      <c r="A125" s="196" t="str">
        <f>C125&amp;I134</f>
        <v>Option Year 9ESD</v>
      </c>
      <c r="B125" s="196"/>
      <c r="C125" s="133" t="str">
        <f t="shared" si="72"/>
        <v>Option Year 9</v>
      </c>
      <c r="D125" s="134">
        <f t="shared" si="72"/>
        <v>1462</v>
      </c>
      <c r="E125" s="134">
        <f t="shared" si="72"/>
        <v>1826</v>
      </c>
      <c r="F125" s="106" t="str">
        <f>IF(AND(($E102="MidPoint"),(ROUND(((D125-$E103)/30.41667),0)+ROUNDUP(((E125-D125)/30.41667/2),0)&gt;0)),ROUND(((D125-$E103)/30.41667),0)+ROUNDUP(((E125-D125)/30.41667/2),0),"DO NOT DELETE")</f>
        <v>DO NOT DELETE</v>
      </c>
      <c r="G125" s="93" t="str">
        <f>IF($E125-$D125&lt;0,"&lt;&lt; Check Dates",IF(AND(($E102="MidPoint"),(E125&lt;&gt;"")),((1+$E101)^(INT(F125/12)))*(((F125/12-INT(F125/12))*$E101)+1),IF(SUM($H125:$X125)=0,"",SUMPRODUCT($H115:$X115,$H125:$X125)/SUM($H125:$X125))))</f>
        <v/>
      </c>
      <c r="H125" s="94"/>
      <c r="I125" s="56" t="str">
        <f t="shared" ref="I125:W125" si="82">IF(OR((I115=""),($E125=""),(ROUND((MAX(0,(MIN($E125,DATE(I109,I110,I111))-MAX($D125,DATE(I106,I107,I108))+1)))/30.41667,0)=0)),"---",ROUND((MAX(0,(MIN($E125,DATE(I109,I110,I111))-MAX($D125,DATE(I106,I107,I108))+1)))/30.41667,0))</f>
        <v>---</v>
      </c>
      <c r="J125" s="56" t="str">
        <f t="shared" si="82"/>
        <v>---</v>
      </c>
      <c r="K125" s="56" t="str">
        <f t="shared" si="82"/>
        <v>---</v>
      </c>
      <c r="L125" s="56" t="str">
        <f t="shared" si="82"/>
        <v>---</v>
      </c>
      <c r="M125" s="56" t="str">
        <f t="shared" si="82"/>
        <v>---</v>
      </c>
      <c r="N125" s="56" t="str">
        <f t="shared" si="82"/>
        <v>---</v>
      </c>
      <c r="O125" s="56" t="str">
        <f t="shared" si="82"/>
        <v>---</v>
      </c>
      <c r="P125" s="56" t="str">
        <f t="shared" si="82"/>
        <v>---</v>
      </c>
      <c r="Q125" s="56" t="str">
        <f t="shared" si="82"/>
        <v>---</v>
      </c>
      <c r="R125" s="56" t="str">
        <f t="shared" si="82"/>
        <v>---</v>
      </c>
      <c r="S125" s="56" t="str">
        <f t="shared" si="82"/>
        <v>---</v>
      </c>
      <c r="T125" s="56" t="str">
        <f t="shared" si="82"/>
        <v>---</v>
      </c>
      <c r="U125" s="56" t="str">
        <f t="shared" si="82"/>
        <v>---</v>
      </c>
      <c r="V125" s="56" t="str">
        <f t="shared" si="82"/>
        <v>---</v>
      </c>
      <c r="W125" s="56" t="str">
        <f t="shared" si="82"/>
        <v>---</v>
      </c>
      <c r="X125" s="56" t="str">
        <f>IF(OR((X115=""),($E125=""),(ROUND((MAX(0,(MIN($E125,DATE(X109,X110,X111))-MAX($D125,DATE(X106,X107,X108))+1)))/30.41667,0)=0)),"---",ROUND((MAX(0,(MIN($E125,DATE(X109,X110,X111))-MAX($D125,DATE(X106,X107,X108))+1)))/30.41667,0))</f>
        <v>---</v>
      </c>
      <c r="Y125" s="721"/>
    </row>
    <row r="126" spans="1:25" hidden="1" outlineLevel="1">
      <c r="A126" s="196" t="str">
        <f>C126&amp;I134</f>
        <v>Option Year 10ESD</v>
      </c>
      <c r="B126" s="196"/>
      <c r="C126" s="133" t="str">
        <f t="shared" si="72"/>
        <v>Option Year 10</v>
      </c>
      <c r="D126" s="134">
        <f t="shared" si="72"/>
        <v>1827</v>
      </c>
      <c r="E126" s="134">
        <f t="shared" si="72"/>
        <v>2191</v>
      </c>
      <c r="F126" s="106" t="str">
        <f>IF(AND(($E102="MidPoint"),(ROUND(((D126-$E103)/30.41667),0)+ROUNDUP(((E126-D126)/30.41667/2),0)&gt;0)),ROUND(((D126-$E103)/30.41667),0)+ROUNDUP(((E126-D126)/30.41667/2),0),"DO NOT DELETE")</f>
        <v>DO NOT DELETE</v>
      </c>
      <c r="G126" s="93" t="str">
        <f>IF($E126-$D126&lt;0,"&lt;&lt; Check Dates",IF(AND(($E102="MidPoint"),(E126&lt;&gt;"")),((1+$E101)^(INT(F126/12)))*(((F126/12-INT(F126/12))*$E101)+1),IF(SUM($H126:$X126)=0,"",SUMPRODUCT($H115:$X115,$H126:$X126)/SUM($H126:$X126))))</f>
        <v/>
      </c>
      <c r="H126" s="94"/>
      <c r="I126" s="56" t="str">
        <f t="shared" ref="I126:W126" si="83">IF(OR((I115=""),($E126=""),(ROUND((MAX(0,(MIN($E126,DATE(I109,I110,I111))-MAX($D126,DATE(I106,I107,I108))+1)))/30.41667,0)=0)),"---",ROUND((MAX(0,(MIN($E126,DATE(I109,I110,I111))-MAX($D126,DATE(I106,I107,I108))+1)))/30.41667,0))</f>
        <v>---</v>
      </c>
      <c r="J126" s="56" t="str">
        <f t="shared" si="83"/>
        <v>---</v>
      </c>
      <c r="K126" s="56" t="str">
        <f t="shared" si="83"/>
        <v>---</v>
      </c>
      <c r="L126" s="56" t="str">
        <f t="shared" si="83"/>
        <v>---</v>
      </c>
      <c r="M126" s="56" t="str">
        <f t="shared" si="83"/>
        <v>---</v>
      </c>
      <c r="N126" s="56" t="str">
        <f t="shared" si="83"/>
        <v>---</v>
      </c>
      <c r="O126" s="56" t="str">
        <f t="shared" si="83"/>
        <v>---</v>
      </c>
      <c r="P126" s="56" t="str">
        <f t="shared" si="83"/>
        <v>---</v>
      </c>
      <c r="Q126" s="56" t="str">
        <f t="shared" si="83"/>
        <v>---</v>
      </c>
      <c r="R126" s="56" t="str">
        <f t="shared" si="83"/>
        <v>---</v>
      </c>
      <c r="S126" s="56" t="str">
        <f t="shared" si="83"/>
        <v>---</v>
      </c>
      <c r="T126" s="56" t="str">
        <f t="shared" si="83"/>
        <v>---</v>
      </c>
      <c r="U126" s="56" t="str">
        <f t="shared" si="83"/>
        <v>---</v>
      </c>
      <c r="V126" s="56" t="str">
        <f t="shared" si="83"/>
        <v>---</v>
      </c>
      <c r="W126" s="56" t="str">
        <f t="shared" si="83"/>
        <v>---</v>
      </c>
      <c r="X126" s="56" t="str">
        <f>IF(OR((X115=""),($E126=""),(ROUND((MAX(0,(MIN($E126,DATE(X109,X110,X111))-MAX($D126,DATE(X106,X107,X108))+1)))/30.41667,0)=0)),"---",ROUND((MAX(0,(MIN($E126,DATE(X109,X110,X111))-MAX($D126,DATE(X106,X107,X108))+1)))/30.41667,0))</f>
        <v>---</v>
      </c>
      <c r="Y126" s="721"/>
    </row>
    <row r="127" spans="1:25" hidden="1" outlineLevel="1">
      <c r="A127" s="196" t="str">
        <f>C127&amp;I134</f>
        <v>Option Year 11ESD</v>
      </c>
      <c r="B127" s="196"/>
      <c r="C127" s="133" t="str">
        <f t="shared" si="72"/>
        <v>Option Year 11</v>
      </c>
      <c r="D127" s="134">
        <f t="shared" si="72"/>
        <v>2192</v>
      </c>
      <c r="E127" s="134">
        <f t="shared" si="72"/>
        <v>2557</v>
      </c>
      <c r="F127" s="106" t="str">
        <f>IF(AND(($E102="MidPoint"),(ROUND(((D127-$E103)/30.41667),0)+ROUNDUP(((E127-D127)/30.41667/2),0)&gt;0)),ROUND(((D127-$E103)/30.41667),0)+ROUNDUP(((E127-D127)/30.41667/2),0),"DO NOT DELETE")</f>
        <v>DO NOT DELETE</v>
      </c>
      <c r="G127" s="93" t="str">
        <f>IF($E127-$D127&lt;0,"&lt;&lt; Check Dates",IF(AND(($E102="MidPoint"),(E127&lt;&gt;"")),((1+$E101)^(INT(F127/12)))*(((F127/12-INT(F127/12))*$E101)+1),IF(SUM($H127:$X127)=0,"",SUMPRODUCT($H115:$X115,$H127:$X127)/SUM($H127:$X127))))</f>
        <v/>
      </c>
      <c r="H127" s="94"/>
      <c r="I127" s="56" t="str">
        <f t="shared" ref="I127:W127" si="84">IF(OR((I115=""),($E127=""),(ROUND((MAX(0,(MIN($E127,DATE(I109,I110,I111))-MAX($D127,DATE(I106,I107,I108))+1)))/30.41667,0)=0)),"---",ROUND((MAX(0,(MIN($E127,DATE(I109,I110,I111))-MAX($D127,DATE(I106,I107,I108))+1)))/30.41667,0))</f>
        <v>---</v>
      </c>
      <c r="J127" s="56" t="str">
        <f t="shared" si="84"/>
        <v>---</v>
      </c>
      <c r="K127" s="56" t="str">
        <f t="shared" si="84"/>
        <v>---</v>
      </c>
      <c r="L127" s="56" t="str">
        <f t="shared" si="84"/>
        <v>---</v>
      </c>
      <c r="M127" s="56" t="str">
        <f t="shared" si="84"/>
        <v>---</v>
      </c>
      <c r="N127" s="56" t="str">
        <f t="shared" si="84"/>
        <v>---</v>
      </c>
      <c r="O127" s="56" t="str">
        <f t="shared" si="84"/>
        <v>---</v>
      </c>
      <c r="P127" s="56" t="str">
        <f t="shared" si="84"/>
        <v>---</v>
      </c>
      <c r="Q127" s="56" t="str">
        <f t="shared" si="84"/>
        <v>---</v>
      </c>
      <c r="R127" s="56" t="str">
        <f t="shared" si="84"/>
        <v>---</v>
      </c>
      <c r="S127" s="56" t="str">
        <f t="shared" si="84"/>
        <v>---</v>
      </c>
      <c r="T127" s="56" t="str">
        <f t="shared" si="84"/>
        <v>---</v>
      </c>
      <c r="U127" s="56" t="str">
        <f t="shared" si="84"/>
        <v>---</v>
      </c>
      <c r="V127" s="56" t="str">
        <f t="shared" si="84"/>
        <v>---</v>
      </c>
      <c r="W127" s="56" t="str">
        <f t="shared" si="84"/>
        <v>---</v>
      </c>
      <c r="X127" s="56" t="str">
        <f>IF(OR((X115=""),($E127=""),(ROUND((MAX(0,(MIN($E127,DATE(X109,X110,X111))-MAX($D127,DATE(X106,X107,X108))+1)))/30.41667,0)=0)),"---",ROUND((MAX(0,(MIN($E127,DATE(X109,X110,X111))-MAX($D127,DATE(X106,X107,X108))+1)))/30.41667,0))</f>
        <v>---</v>
      </c>
      <c r="Y127" s="721"/>
    </row>
    <row r="128" spans="1:25" hidden="1" outlineLevel="1">
      <c r="A128" s="196" t="str">
        <f>C128&amp;I134</f>
        <v>Option Year 12ESD</v>
      </c>
      <c r="B128" s="196"/>
      <c r="C128" s="133" t="str">
        <f t="shared" si="72"/>
        <v>Option Year 12</v>
      </c>
      <c r="D128" s="134">
        <f t="shared" si="72"/>
        <v>2558</v>
      </c>
      <c r="E128" s="134">
        <f t="shared" si="72"/>
        <v>2922</v>
      </c>
      <c r="F128" s="106" t="str">
        <f>IF(AND(($E102="MidPoint"),(ROUND(((D128-$E103)/30.41667),0)+ROUNDUP(((E128-D128)/30.41667/2),0)&gt;0)),ROUND(((D128-$E103)/30.41667),0)+ROUNDUP(((E128-D128)/30.41667/2),0),"DO NOT DELETE")</f>
        <v>DO NOT DELETE</v>
      </c>
      <c r="G128" s="93" t="str">
        <f>IF($E128-$D128&lt;0,"&lt;&lt; Check Dates",IF(AND(($E102="MidPoint"),(E128&lt;&gt;"")),((1+$E101)^(INT(F128/12)))*(((F128/12-INT(F128/12))*$E101)+1),IF(SUM($H128:$X128)=0,"",SUMPRODUCT($H115:$X115,$H128:$X128)/SUM($H128:$X128))))</f>
        <v/>
      </c>
      <c r="H128" s="94"/>
      <c r="I128" s="56" t="str">
        <f t="shared" ref="I128:W128" si="85">IF(OR((I115=""),($E128=""),(ROUND((MAX(0,(MIN($E128,DATE(I109,I110,I111))-MAX($D128,DATE(I106,I107,I108))+1)))/30.41667,0)=0)),"---",ROUND((MAX(0,(MIN($E128,DATE(I109,I110,I111))-MAX($D128,DATE(I106,I107,I108))+1)))/30.41667,0))</f>
        <v>---</v>
      </c>
      <c r="J128" s="56" t="str">
        <f t="shared" si="85"/>
        <v>---</v>
      </c>
      <c r="K128" s="56" t="str">
        <f t="shared" si="85"/>
        <v>---</v>
      </c>
      <c r="L128" s="56" t="str">
        <f t="shared" si="85"/>
        <v>---</v>
      </c>
      <c r="M128" s="56" t="str">
        <f t="shared" si="85"/>
        <v>---</v>
      </c>
      <c r="N128" s="56" t="str">
        <f t="shared" si="85"/>
        <v>---</v>
      </c>
      <c r="O128" s="56" t="str">
        <f t="shared" si="85"/>
        <v>---</v>
      </c>
      <c r="P128" s="56" t="str">
        <f t="shared" si="85"/>
        <v>---</v>
      </c>
      <c r="Q128" s="56" t="str">
        <f t="shared" si="85"/>
        <v>---</v>
      </c>
      <c r="R128" s="56" t="str">
        <f t="shared" si="85"/>
        <v>---</v>
      </c>
      <c r="S128" s="56" t="str">
        <f t="shared" si="85"/>
        <v>---</v>
      </c>
      <c r="T128" s="56" t="str">
        <f t="shared" si="85"/>
        <v>---</v>
      </c>
      <c r="U128" s="56" t="str">
        <f t="shared" si="85"/>
        <v>---</v>
      </c>
      <c r="V128" s="56" t="str">
        <f t="shared" si="85"/>
        <v>---</v>
      </c>
      <c r="W128" s="56" t="str">
        <f t="shared" si="85"/>
        <v>---</v>
      </c>
      <c r="X128" s="56" t="str">
        <f>IF(OR((X115=""),($E128=""),(ROUND((MAX(0,(MIN($E128,DATE(X109,X110,X111))-MAX($D128,DATE(X106,X107,X108))+1)))/30.41667,0)=0)),"---",ROUND((MAX(0,(MIN($E128,DATE(X109,X110,X111))-MAX($D128,DATE(X106,X107,X108))+1)))/30.41667,0))</f>
        <v>---</v>
      </c>
      <c r="Y128" s="721"/>
    </row>
    <row r="129" spans="1:35" hidden="1" outlineLevel="1">
      <c r="A129" s="196" t="str">
        <f>C129&amp;I134</f>
        <v>Option Year 13ESD</v>
      </c>
      <c r="B129" s="196"/>
      <c r="C129" s="133" t="str">
        <f t="shared" si="72"/>
        <v>Option Year 13</v>
      </c>
      <c r="D129" s="134">
        <f t="shared" si="72"/>
        <v>2923</v>
      </c>
      <c r="E129" s="134">
        <f t="shared" si="72"/>
        <v>3287</v>
      </c>
      <c r="F129" s="106" t="str">
        <f>IF(AND(($E102="MidPoint"),(ROUND(((D129-$E103)/30.41667),0)+ROUNDUP(((E129-D129)/30.41667/2),0)&gt;0)),ROUND(((D129-$E103)/30.41667),0)+ROUNDUP(((E129-D129)/30.41667/2),0),"DO NOT DELETE")</f>
        <v>DO NOT DELETE</v>
      </c>
      <c r="G129" s="93" t="str">
        <f>IF($E129-$D129&lt;0,"&lt;&lt; Check Dates",IF(AND(($E102="MidPoint"),(E129&lt;&gt;"")),((1+$E101)^(INT(F129/12)))*(((F129/12-INT(F129/12))*$E101)+1),IF(SUM($H129:$X129)=0,"",SUMPRODUCT($H115:$X115,$H129:$X129)/SUM($H129:$X129))))</f>
        <v/>
      </c>
      <c r="H129" s="94"/>
      <c r="I129" s="56" t="str">
        <f t="shared" ref="I129:W129" si="86">IF(OR((I115=""),($E129=""),(ROUND((MAX(0,(MIN($E129,DATE(I109,I110,I111))-MAX($D129,DATE(I106,I107,I108))+1)))/30.41667,0)=0)),"---",ROUND((MAX(0,(MIN($E129,DATE(I109,I110,I111))-MAX($D129,DATE(I106,I107,I108))+1)))/30.41667,0))</f>
        <v>---</v>
      </c>
      <c r="J129" s="56" t="str">
        <f t="shared" si="86"/>
        <v>---</v>
      </c>
      <c r="K129" s="56" t="str">
        <f t="shared" si="86"/>
        <v>---</v>
      </c>
      <c r="L129" s="56" t="str">
        <f t="shared" si="86"/>
        <v>---</v>
      </c>
      <c r="M129" s="56" t="str">
        <f t="shared" si="86"/>
        <v>---</v>
      </c>
      <c r="N129" s="56" t="str">
        <f t="shared" si="86"/>
        <v>---</v>
      </c>
      <c r="O129" s="56" t="str">
        <f t="shared" si="86"/>
        <v>---</v>
      </c>
      <c r="P129" s="56" t="str">
        <f t="shared" si="86"/>
        <v>---</v>
      </c>
      <c r="Q129" s="56" t="str">
        <f t="shared" si="86"/>
        <v>---</v>
      </c>
      <c r="R129" s="56" t="str">
        <f t="shared" si="86"/>
        <v>---</v>
      </c>
      <c r="S129" s="56" t="str">
        <f t="shared" si="86"/>
        <v>---</v>
      </c>
      <c r="T129" s="56" t="str">
        <f t="shared" si="86"/>
        <v>---</v>
      </c>
      <c r="U129" s="56" t="str">
        <f t="shared" si="86"/>
        <v>---</v>
      </c>
      <c r="V129" s="56" t="str">
        <f t="shared" si="86"/>
        <v>---</v>
      </c>
      <c r="W129" s="56" t="str">
        <f t="shared" si="86"/>
        <v>---</v>
      </c>
      <c r="X129" s="56" t="str">
        <f>IF(OR((X115=""),($E129=""),(ROUND((MAX(0,(MIN($E129,DATE(X109,X110,X111))-MAX($D129,DATE(X106,X107,X108))+1)))/30.41667,0)=0)),"---",ROUND((MAX(0,(MIN($E129,DATE(X109,X110,X111))-MAX($D129,DATE(X106,X107,X108))+1)))/30.41667,0))</f>
        <v>---</v>
      </c>
      <c r="Y129" s="721"/>
    </row>
    <row r="130" spans="1:35" hidden="1" outlineLevel="1">
      <c r="A130" s="196" t="str">
        <f>C130&amp;I134</f>
        <v>Option Year 14ESD</v>
      </c>
      <c r="B130" s="196"/>
      <c r="C130" s="133" t="str">
        <f>C83</f>
        <v>Option Year 14</v>
      </c>
      <c r="D130" s="134">
        <f>D83</f>
        <v>3288</v>
      </c>
      <c r="E130" s="134">
        <f>E83</f>
        <v>3652</v>
      </c>
      <c r="F130" s="106" t="str">
        <f>IF(AND(($E102="MidPoint"),(ROUND(((D130-$E103)/30.41667),0)+ROUNDUP(((E130-D130)/30.41667/2),0)&gt;0)),ROUND(((D130-$E103)/30.41667),0)+ROUNDUP(((E130-D130)/30.41667/2),0),"DO NOT DELETE")</f>
        <v>DO NOT DELETE</v>
      </c>
      <c r="G130" s="93" t="str">
        <f>IF($E130-$D130&lt;0,"&lt;&lt; Check Dates",IF(AND(($E102="MidPoint"),(E130&lt;&gt;"")),((1+$E101)^(INT(F130/12)))*(((F130/12-INT(F130/12))*$E101)+1),IF(SUM($H130:$X130)=0,"",SUMPRODUCT($H115:$X115,$H130:$X130)/SUM($H130:$X130))))</f>
        <v/>
      </c>
      <c r="H130" s="94"/>
      <c r="I130" s="56" t="str">
        <f t="shared" ref="I130:W130" si="87">IF(OR((I115=""),($E130=""),(ROUND((MAX(0,(MIN($E130,DATE(I109,I110,I111))-MAX($D130,DATE(I106,I107,I108))+1)))/30.41667,0)=0)),"---",ROUND((MAX(0,(MIN($E130,DATE(I109,I110,I111))-MAX($D130,DATE(I106,I107,I108))+1)))/30.41667,0))</f>
        <v>---</v>
      </c>
      <c r="J130" s="56" t="str">
        <f t="shared" si="87"/>
        <v>---</v>
      </c>
      <c r="K130" s="56" t="str">
        <f t="shared" si="87"/>
        <v>---</v>
      </c>
      <c r="L130" s="56" t="str">
        <f t="shared" si="87"/>
        <v>---</v>
      </c>
      <c r="M130" s="56" t="str">
        <f t="shared" si="87"/>
        <v>---</v>
      </c>
      <c r="N130" s="56" t="str">
        <f t="shared" si="87"/>
        <v>---</v>
      </c>
      <c r="O130" s="56" t="str">
        <f t="shared" si="87"/>
        <v>---</v>
      </c>
      <c r="P130" s="56" t="str">
        <f t="shared" si="87"/>
        <v>---</v>
      </c>
      <c r="Q130" s="56" t="str">
        <f t="shared" si="87"/>
        <v>---</v>
      </c>
      <c r="R130" s="56" t="str">
        <f t="shared" si="87"/>
        <v>---</v>
      </c>
      <c r="S130" s="56" t="str">
        <f t="shared" si="87"/>
        <v>---</v>
      </c>
      <c r="T130" s="56" t="str">
        <f t="shared" si="87"/>
        <v>---</v>
      </c>
      <c r="U130" s="56" t="str">
        <f t="shared" si="87"/>
        <v>---</v>
      </c>
      <c r="V130" s="56" t="str">
        <f t="shared" si="87"/>
        <v>---</v>
      </c>
      <c r="W130" s="56" t="str">
        <f t="shared" si="87"/>
        <v>---</v>
      </c>
      <c r="X130" s="56" t="str">
        <f>IF(OR((X115=""),($E130=""),(ROUND((MAX(0,(MIN($E130,DATE(X109,X110,X111))-MAX($D130,DATE(X106,X107,X108))+1)))/30.41667,0)=0)),"---",ROUND((MAX(0,(MIN($E130,DATE(X109,X110,X111))-MAX($D130,DATE(X106,X107,X108))+1)))/30.41667,0))</f>
        <v>---</v>
      </c>
      <c r="Y130" s="721"/>
    </row>
    <row r="131" spans="1:35" s="4" customFormat="1" hidden="1" outlineLevel="1">
      <c r="A131" s="198"/>
      <c r="B131" s="198"/>
      <c r="C131" s="124"/>
      <c r="D131" s="135"/>
      <c r="E131" s="135"/>
      <c r="F131" s="137"/>
      <c r="G131" s="138"/>
      <c r="H131" s="136"/>
      <c r="I131" s="47"/>
      <c r="J131" s="47"/>
      <c r="K131" s="47"/>
      <c r="L131" s="47"/>
      <c r="M131" s="47"/>
      <c r="N131" s="47"/>
      <c r="O131" s="47"/>
      <c r="P131" s="47"/>
      <c r="Q131" s="47"/>
      <c r="R131" s="47"/>
      <c r="S131" s="47"/>
      <c r="T131" s="47"/>
      <c r="U131" s="47"/>
      <c r="V131" s="47"/>
      <c r="W131" s="47"/>
      <c r="X131" s="98"/>
      <c r="Y131" s="98"/>
      <c r="AI131" s="140"/>
    </row>
    <row r="132" spans="1:35" s="4" customFormat="1" hidden="1" outlineLevel="1">
      <c r="A132" s="198"/>
      <c r="B132" s="198"/>
      <c r="C132" s="124"/>
      <c r="D132" s="135"/>
      <c r="E132" s="135"/>
      <c r="F132" s="137"/>
      <c r="G132" s="138"/>
      <c r="H132" s="136"/>
      <c r="I132" s="47"/>
      <c r="J132" s="47"/>
      <c r="K132" s="47"/>
      <c r="L132" s="47"/>
      <c r="M132" s="47"/>
      <c r="N132" s="47"/>
      <c r="O132" s="47"/>
      <c r="P132" s="47"/>
      <c r="Q132" s="47"/>
      <c r="R132" s="47"/>
      <c r="S132" s="47"/>
      <c r="T132" s="47"/>
      <c r="U132" s="47"/>
      <c r="V132" s="47"/>
      <c r="W132" s="47"/>
      <c r="X132" s="98"/>
      <c r="Y132" s="98"/>
      <c r="AI132" s="140"/>
    </row>
    <row r="133" spans="1:35" hidden="1" outlineLevel="1">
      <c r="A133" s="196"/>
      <c r="B133" s="197"/>
      <c r="F133" s="15" t="s">
        <v>590</v>
      </c>
      <c r="G133" s="6" t="s">
        <v>591</v>
      </c>
      <c r="H133" s="97"/>
      <c r="I133" s="818">
        <f>$I$12</f>
        <v>2008</v>
      </c>
      <c r="J133" s="818">
        <f t="shared" ref="J133:W133" si="88">I133+1</f>
        <v>2009</v>
      </c>
      <c r="K133" s="818">
        <f t="shared" si="88"/>
        <v>2010</v>
      </c>
      <c r="L133" s="818">
        <f t="shared" si="88"/>
        <v>2011</v>
      </c>
      <c r="M133" s="50">
        <f t="shared" si="88"/>
        <v>2012</v>
      </c>
      <c r="N133" s="50">
        <f t="shared" si="88"/>
        <v>2013</v>
      </c>
      <c r="O133" s="12">
        <f t="shared" si="88"/>
        <v>2014</v>
      </c>
      <c r="P133" s="12">
        <f t="shared" si="88"/>
        <v>2015</v>
      </c>
      <c r="Q133" s="12">
        <f t="shared" si="88"/>
        <v>2016</v>
      </c>
      <c r="R133" s="12">
        <f t="shared" si="88"/>
        <v>2017</v>
      </c>
      <c r="S133" s="12">
        <f t="shared" si="88"/>
        <v>2018</v>
      </c>
      <c r="T133" s="12">
        <f t="shared" si="88"/>
        <v>2019</v>
      </c>
      <c r="U133" s="12">
        <f t="shared" si="88"/>
        <v>2020</v>
      </c>
      <c r="V133" s="12">
        <f t="shared" si="88"/>
        <v>2021</v>
      </c>
      <c r="W133" s="12">
        <f t="shared" si="88"/>
        <v>2022</v>
      </c>
      <c r="X133" s="12">
        <f>W133+1</f>
        <v>2023</v>
      </c>
    </row>
    <row r="134" spans="1:35" ht="28.5" hidden="1" customHeight="1" outlineLevel="1">
      <c r="A134" s="196"/>
      <c r="B134" s="197"/>
      <c r="F134" s="15" t="s">
        <v>592</v>
      </c>
      <c r="G134" s="6" t="s">
        <v>593</v>
      </c>
      <c r="H134" s="97"/>
      <c r="I134" s="40" t="s">
        <v>42</v>
      </c>
      <c r="J134" s="816" t="str">
        <f>IF(I134="NEW","Enter new indirect rates by overwriting the formulas below.  Also, rename new Cost Center","")</f>
        <v/>
      </c>
      <c r="K134" s="817"/>
      <c r="L134" s="817"/>
      <c r="M134" s="817"/>
      <c r="N134" s="16"/>
      <c r="O134" s="17"/>
      <c r="P134" s="17"/>
      <c r="Q134" s="17"/>
      <c r="R134" s="17"/>
      <c r="S134" s="17"/>
      <c r="T134" s="17"/>
      <c r="U134" s="17"/>
      <c r="V134" s="17"/>
      <c r="W134" s="17"/>
      <c r="X134" s="18"/>
      <c r="Y134" s="722"/>
    </row>
    <row r="135" spans="1:35" hidden="1" outlineLevel="1">
      <c r="A135" s="196" t="str">
        <f t="shared" ref="A135:A142" si="89">I$134&amp;$G135</f>
        <v>ESDPRB</v>
      </c>
      <c r="B135" s="196"/>
      <c r="G135" s="13" t="str">
        <f t="shared" ref="G135:G142" si="90">G88</f>
        <v>PRB</v>
      </c>
      <c r="H135" s="97"/>
      <c r="I135" s="130">
        <f t="shared" ref="I135:R135" si="91">IF((ISERROR(INDEX(CCRates,MATCH((I$39&amp;$G135),YrBurden,0),MATCH($I134,CostCtr,0)))),0,(INDEX(CCRates,MATCH((I$39&amp;$G135),YrBurden,0),MATCH($I134,CostCtr,0))))</f>
        <v>0</v>
      </c>
      <c r="J135" s="130">
        <f t="shared" si="91"/>
        <v>0</v>
      </c>
      <c r="K135" s="130">
        <f t="shared" si="91"/>
        <v>0</v>
      </c>
      <c r="L135" s="130">
        <f t="shared" si="91"/>
        <v>0</v>
      </c>
      <c r="M135" s="130">
        <f t="shared" si="91"/>
        <v>0</v>
      </c>
      <c r="N135" s="130">
        <f t="shared" si="91"/>
        <v>0</v>
      </c>
      <c r="O135" s="130">
        <f t="shared" si="91"/>
        <v>0</v>
      </c>
      <c r="P135" s="130">
        <f t="shared" si="91"/>
        <v>0</v>
      </c>
      <c r="Q135" s="130">
        <f t="shared" si="91"/>
        <v>0</v>
      </c>
      <c r="R135" s="130">
        <f t="shared" si="91"/>
        <v>0</v>
      </c>
      <c r="S135" s="131">
        <f t="shared" ref="S135:W139" si="92">R135</f>
        <v>0</v>
      </c>
      <c r="T135" s="131">
        <f t="shared" si="92"/>
        <v>0</v>
      </c>
      <c r="U135" s="131">
        <f t="shared" si="92"/>
        <v>0</v>
      </c>
      <c r="V135" s="131">
        <f t="shared" si="92"/>
        <v>0</v>
      </c>
      <c r="W135" s="131">
        <f t="shared" si="92"/>
        <v>0</v>
      </c>
      <c r="X135" s="131">
        <f>W135</f>
        <v>0</v>
      </c>
      <c r="Y135" s="722"/>
    </row>
    <row r="136" spans="1:35" s="4" customFormat="1" hidden="1" outlineLevel="1">
      <c r="A136" s="198" t="str">
        <f t="shared" si="89"/>
        <v>ESDOverhead - Offsite</v>
      </c>
      <c r="B136" s="198"/>
      <c r="G136" s="13" t="str">
        <f t="shared" si="90"/>
        <v>Overhead - Offsite</v>
      </c>
      <c r="H136" s="97"/>
      <c r="I136" s="130">
        <f t="shared" ref="I136:R136" si="93">IF((ISERROR(INDEX(CCRates,MATCH((I$39&amp;$G136),YrBurden,0),MATCH($I134,CostCtr,0)))),0,(INDEX(CCRates,MATCH((I$39&amp;$G136),YrBurden,0),MATCH($I134,CostCtr,0))))</f>
        <v>0</v>
      </c>
      <c r="J136" s="130">
        <f t="shared" si="93"/>
        <v>0</v>
      </c>
      <c r="K136" s="130">
        <f t="shared" si="93"/>
        <v>0</v>
      </c>
      <c r="L136" s="130">
        <f t="shared" si="93"/>
        <v>0</v>
      </c>
      <c r="M136" s="130">
        <f t="shared" si="93"/>
        <v>0</v>
      </c>
      <c r="N136" s="130">
        <f t="shared" si="93"/>
        <v>0</v>
      </c>
      <c r="O136" s="130">
        <f t="shared" si="93"/>
        <v>0</v>
      </c>
      <c r="P136" s="130">
        <f t="shared" si="93"/>
        <v>0</v>
      </c>
      <c r="Q136" s="130">
        <f t="shared" si="93"/>
        <v>0</v>
      </c>
      <c r="R136" s="130">
        <f t="shared" si="93"/>
        <v>0</v>
      </c>
      <c r="S136" s="131">
        <f t="shared" si="92"/>
        <v>0</v>
      </c>
      <c r="T136" s="131">
        <f t="shared" si="92"/>
        <v>0</v>
      </c>
      <c r="U136" s="131">
        <f t="shared" si="92"/>
        <v>0</v>
      </c>
      <c r="V136" s="131">
        <f t="shared" si="92"/>
        <v>0</v>
      </c>
      <c r="W136" s="131">
        <f t="shared" si="92"/>
        <v>0</v>
      </c>
      <c r="X136" s="131">
        <f>W136</f>
        <v>0</v>
      </c>
      <c r="Y136" s="821"/>
      <c r="AI136" s="140"/>
    </row>
    <row r="137" spans="1:35" s="4" customFormat="1" hidden="1" outlineLevel="1">
      <c r="A137" s="198" t="str">
        <f t="shared" si="89"/>
        <v>ESDOverhead - Onsite</v>
      </c>
      <c r="B137" s="198"/>
      <c r="G137" s="13" t="str">
        <f t="shared" si="90"/>
        <v>Overhead - Onsite</v>
      </c>
      <c r="H137" s="97"/>
      <c r="I137" s="130">
        <f t="shared" ref="I137:R137" si="94">IF((ISERROR(INDEX(CCRates,MATCH((I$39&amp;$G137),YrBurden,0),MATCH($I134,CostCtr,0)))),0,(INDEX(CCRates,MATCH((I$39&amp;$G137),YrBurden,0),MATCH($I134,CostCtr,0))))</f>
        <v>0</v>
      </c>
      <c r="J137" s="130">
        <f t="shared" si="94"/>
        <v>0</v>
      </c>
      <c r="K137" s="130">
        <f t="shared" si="94"/>
        <v>0</v>
      </c>
      <c r="L137" s="130">
        <f t="shared" si="94"/>
        <v>0</v>
      </c>
      <c r="M137" s="130">
        <f t="shared" si="94"/>
        <v>0</v>
      </c>
      <c r="N137" s="130">
        <f t="shared" si="94"/>
        <v>0</v>
      </c>
      <c r="O137" s="130">
        <f t="shared" si="94"/>
        <v>0</v>
      </c>
      <c r="P137" s="130">
        <f t="shared" si="94"/>
        <v>0</v>
      </c>
      <c r="Q137" s="130">
        <f t="shared" si="94"/>
        <v>0</v>
      </c>
      <c r="R137" s="130">
        <f t="shared" si="94"/>
        <v>0</v>
      </c>
      <c r="S137" s="131">
        <f t="shared" si="92"/>
        <v>0</v>
      </c>
      <c r="T137" s="131">
        <f t="shared" si="92"/>
        <v>0</v>
      </c>
      <c r="U137" s="131">
        <f t="shared" si="92"/>
        <v>0</v>
      </c>
      <c r="V137" s="131">
        <f t="shared" si="92"/>
        <v>0</v>
      </c>
      <c r="W137" s="131">
        <f t="shared" si="92"/>
        <v>0</v>
      </c>
      <c r="X137" s="131">
        <f>W137</f>
        <v>0</v>
      </c>
      <c r="Y137" s="821"/>
      <c r="AI137" s="140"/>
    </row>
    <row r="138" spans="1:35" s="4" customFormat="1" hidden="1" outlineLevel="1">
      <c r="A138" s="198" t="str">
        <f t="shared" si="89"/>
        <v>ESDMaterial Handling</v>
      </c>
      <c r="B138" s="198"/>
      <c r="G138" s="13" t="str">
        <f t="shared" si="90"/>
        <v>Material Handling</v>
      </c>
      <c r="H138" s="97"/>
      <c r="I138" s="130">
        <f t="shared" ref="I138:R138" si="95">IF((ISERROR(INDEX(CCRates,MATCH((I$39&amp;$G138),YrBurden,0),MATCH($I134,CostCtr,0)))),0,(INDEX(CCRates,MATCH((I$39&amp;$G138),YrBurden,0),MATCH($I134,CostCtr,0))))</f>
        <v>0</v>
      </c>
      <c r="J138" s="130">
        <f t="shared" si="95"/>
        <v>0</v>
      </c>
      <c r="K138" s="130">
        <f t="shared" si="95"/>
        <v>0</v>
      </c>
      <c r="L138" s="130">
        <f t="shared" si="95"/>
        <v>0</v>
      </c>
      <c r="M138" s="130">
        <f t="shared" si="95"/>
        <v>0</v>
      </c>
      <c r="N138" s="130">
        <f t="shared" si="95"/>
        <v>0</v>
      </c>
      <c r="O138" s="130">
        <f t="shared" si="95"/>
        <v>0</v>
      </c>
      <c r="P138" s="130">
        <f t="shared" si="95"/>
        <v>0</v>
      </c>
      <c r="Q138" s="130">
        <f t="shared" si="95"/>
        <v>0</v>
      </c>
      <c r="R138" s="130">
        <f t="shared" si="95"/>
        <v>0</v>
      </c>
      <c r="S138" s="131">
        <f t="shared" si="92"/>
        <v>0</v>
      </c>
      <c r="T138" s="131">
        <f t="shared" si="92"/>
        <v>0</v>
      </c>
      <c r="U138" s="131">
        <f t="shared" si="92"/>
        <v>0</v>
      </c>
      <c r="V138" s="131">
        <f t="shared" si="92"/>
        <v>0</v>
      </c>
      <c r="W138" s="131">
        <f t="shared" si="92"/>
        <v>0</v>
      </c>
      <c r="X138" s="131">
        <f>W138</f>
        <v>0</v>
      </c>
      <c r="Y138" s="821"/>
      <c r="AI138" s="140"/>
    </row>
    <row r="139" spans="1:35" s="4" customFormat="1" hidden="1" outlineLevel="1">
      <c r="A139" s="198" t="str">
        <f t="shared" si="89"/>
        <v>ESDG&amp;A</v>
      </c>
      <c r="B139" s="198"/>
      <c r="G139" s="13" t="str">
        <f t="shared" si="90"/>
        <v>G&amp;A</v>
      </c>
      <c r="H139" s="97"/>
      <c r="I139" s="130">
        <f t="shared" ref="I139:R139" si="96">IF((ISERROR(INDEX(CCRates,MATCH((I$39&amp;$G139),YrBurden,0),MATCH($I134,CostCtr,0)))),0,(INDEX(CCRates,MATCH((I$39&amp;$G139),YrBurden,0),MATCH($I134,CostCtr,0))))</f>
        <v>0</v>
      </c>
      <c r="J139" s="130">
        <f t="shared" si="96"/>
        <v>0</v>
      </c>
      <c r="K139" s="130">
        <f t="shared" si="96"/>
        <v>0</v>
      </c>
      <c r="L139" s="130">
        <f t="shared" si="96"/>
        <v>0</v>
      </c>
      <c r="M139" s="130">
        <f t="shared" si="96"/>
        <v>0</v>
      </c>
      <c r="N139" s="130">
        <f t="shared" si="96"/>
        <v>0</v>
      </c>
      <c r="O139" s="130">
        <f t="shared" si="96"/>
        <v>0</v>
      </c>
      <c r="P139" s="130">
        <f t="shared" si="96"/>
        <v>0</v>
      </c>
      <c r="Q139" s="130">
        <f t="shared" si="96"/>
        <v>0</v>
      </c>
      <c r="R139" s="130">
        <f t="shared" si="96"/>
        <v>0</v>
      </c>
      <c r="S139" s="131">
        <f t="shared" si="92"/>
        <v>0</v>
      </c>
      <c r="T139" s="131">
        <f t="shared" si="92"/>
        <v>0</v>
      </c>
      <c r="U139" s="131">
        <f t="shared" si="92"/>
        <v>0</v>
      </c>
      <c r="V139" s="131">
        <f t="shared" si="92"/>
        <v>0</v>
      </c>
      <c r="W139" s="131">
        <f t="shared" si="92"/>
        <v>0</v>
      </c>
      <c r="X139" s="131">
        <f>W139</f>
        <v>0</v>
      </c>
      <c r="Y139" s="821"/>
      <c r="AI139" s="140"/>
    </row>
    <row r="140" spans="1:35" s="4" customFormat="1" hidden="1" outlineLevel="1">
      <c r="A140" s="198" t="str">
        <f t="shared" si="89"/>
        <v>ESDTBD1</v>
      </c>
      <c r="B140" s="198"/>
      <c r="G140" s="13" t="str">
        <f t="shared" si="90"/>
        <v>TBD1</v>
      </c>
      <c r="H140" s="97"/>
      <c r="I140" s="130">
        <v>0</v>
      </c>
      <c r="J140" s="130">
        <f>I140</f>
        <v>0</v>
      </c>
      <c r="K140" s="130">
        <f t="shared" ref="K140:W140" si="97">+J140</f>
        <v>0</v>
      </c>
      <c r="L140" s="130">
        <f t="shared" si="97"/>
        <v>0</v>
      </c>
      <c r="M140" s="132">
        <f t="shared" si="97"/>
        <v>0</v>
      </c>
      <c r="N140" s="132">
        <f t="shared" si="97"/>
        <v>0</v>
      </c>
      <c r="O140" s="131">
        <f t="shared" si="97"/>
        <v>0</v>
      </c>
      <c r="P140" s="131">
        <f t="shared" si="97"/>
        <v>0</v>
      </c>
      <c r="Q140" s="131">
        <f t="shared" si="97"/>
        <v>0</v>
      </c>
      <c r="R140" s="131">
        <f t="shared" si="97"/>
        <v>0</v>
      </c>
      <c r="S140" s="131">
        <f t="shared" si="97"/>
        <v>0</v>
      </c>
      <c r="T140" s="131">
        <f t="shared" si="97"/>
        <v>0</v>
      </c>
      <c r="U140" s="131">
        <f t="shared" si="97"/>
        <v>0</v>
      </c>
      <c r="V140" s="131">
        <f t="shared" si="97"/>
        <v>0</v>
      </c>
      <c r="W140" s="131">
        <f t="shared" si="97"/>
        <v>0</v>
      </c>
      <c r="X140" s="131">
        <f>+W140</f>
        <v>0</v>
      </c>
      <c r="Y140" s="821"/>
      <c r="AI140" s="140"/>
    </row>
    <row r="141" spans="1:35" s="4" customFormat="1" hidden="1" outlineLevel="1">
      <c r="A141" s="198" t="str">
        <f t="shared" si="89"/>
        <v>ESDTBD2</v>
      </c>
      <c r="B141" s="198"/>
      <c r="G141" s="13" t="str">
        <f t="shared" si="90"/>
        <v>TBD2</v>
      </c>
      <c r="H141" s="97"/>
      <c r="I141" s="130">
        <v>0</v>
      </c>
      <c r="J141" s="130">
        <f>I141</f>
        <v>0</v>
      </c>
      <c r="K141" s="130">
        <f t="shared" ref="K141:W141" si="98">+J141</f>
        <v>0</v>
      </c>
      <c r="L141" s="130">
        <f t="shared" si="98"/>
        <v>0</v>
      </c>
      <c r="M141" s="132">
        <f t="shared" si="98"/>
        <v>0</v>
      </c>
      <c r="N141" s="132">
        <f t="shared" si="98"/>
        <v>0</v>
      </c>
      <c r="O141" s="131">
        <f t="shared" si="98"/>
        <v>0</v>
      </c>
      <c r="P141" s="131">
        <f t="shared" si="98"/>
        <v>0</v>
      </c>
      <c r="Q141" s="131">
        <f t="shared" si="98"/>
        <v>0</v>
      </c>
      <c r="R141" s="131">
        <f t="shared" si="98"/>
        <v>0</v>
      </c>
      <c r="S141" s="131">
        <f t="shared" si="98"/>
        <v>0</v>
      </c>
      <c r="T141" s="131">
        <f t="shared" si="98"/>
        <v>0</v>
      </c>
      <c r="U141" s="131">
        <f t="shared" si="98"/>
        <v>0</v>
      </c>
      <c r="V141" s="131">
        <f t="shared" si="98"/>
        <v>0</v>
      </c>
      <c r="W141" s="131">
        <f t="shared" si="98"/>
        <v>0</v>
      </c>
      <c r="X141" s="131">
        <f>+W141</f>
        <v>0</v>
      </c>
      <c r="Y141" s="821"/>
      <c r="AI141" s="140"/>
    </row>
    <row r="142" spans="1:35" s="4" customFormat="1" hidden="1" outlineLevel="1">
      <c r="A142" s="198" t="str">
        <f t="shared" si="89"/>
        <v>ESDTBD3</v>
      </c>
      <c r="B142" s="198"/>
      <c r="G142" s="13" t="str">
        <f t="shared" si="90"/>
        <v>TBD3</v>
      </c>
      <c r="H142" s="97"/>
      <c r="I142" s="130">
        <v>0</v>
      </c>
      <c r="J142" s="130">
        <f>I142</f>
        <v>0</v>
      </c>
      <c r="K142" s="130">
        <f t="shared" ref="K142:W142" si="99">+J142</f>
        <v>0</v>
      </c>
      <c r="L142" s="130">
        <f t="shared" si="99"/>
        <v>0</v>
      </c>
      <c r="M142" s="132">
        <f t="shared" si="99"/>
        <v>0</v>
      </c>
      <c r="N142" s="132">
        <f t="shared" si="99"/>
        <v>0</v>
      </c>
      <c r="O142" s="131">
        <f t="shared" si="99"/>
        <v>0</v>
      </c>
      <c r="P142" s="131">
        <f t="shared" si="99"/>
        <v>0</v>
      </c>
      <c r="Q142" s="131">
        <f t="shared" si="99"/>
        <v>0</v>
      </c>
      <c r="R142" s="131">
        <f t="shared" si="99"/>
        <v>0</v>
      </c>
      <c r="S142" s="131">
        <f t="shared" si="99"/>
        <v>0</v>
      </c>
      <c r="T142" s="131">
        <f t="shared" si="99"/>
        <v>0</v>
      </c>
      <c r="U142" s="131">
        <f t="shared" si="99"/>
        <v>0</v>
      </c>
      <c r="V142" s="131">
        <f t="shared" si="99"/>
        <v>0</v>
      </c>
      <c r="W142" s="131">
        <f t="shared" si="99"/>
        <v>0</v>
      </c>
      <c r="X142" s="131">
        <f>+W142</f>
        <v>0</v>
      </c>
      <c r="Y142" s="821"/>
      <c r="AI142" s="140"/>
    </row>
    <row r="143" spans="1:35" s="4" customFormat="1" hidden="1" outlineLevel="1">
      <c r="A143" s="198"/>
      <c r="B143" s="199"/>
      <c r="C143" s="28"/>
      <c r="D143" s="27"/>
      <c r="E143" s="19"/>
      <c r="F143" s="19"/>
      <c r="G143" s="19"/>
      <c r="H143" s="97"/>
      <c r="I143" s="20"/>
      <c r="J143" s="20"/>
      <c r="K143" s="20"/>
      <c r="L143" s="20"/>
      <c r="M143" s="21"/>
      <c r="N143" s="21"/>
      <c r="O143" s="21"/>
      <c r="AI143" s="140"/>
    </row>
    <row r="144" spans="1:35" hidden="1" outlineLevel="1">
      <c r="A144" s="196"/>
      <c r="B144" s="197"/>
      <c r="C144" s="28"/>
      <c r="D144" s="27"/>
      <c r="E144" s="19"/>
      <c r="F144" s="19"/>
      <c r="G144" s="11" t="s">
        <v>651</v>
      </c>
      <c r="H144" s="97"/>
      <c r="I144" s="38">
        <f>IF(ISERROR((((1+I135)*(1+I136))*(1+I139))),"n/a",(((1+I135)*(1+I136))*(1+I139)))</f>
        <v>1</v>
      </c>
      <c r="J144" s="38">
        <f t="shared" ref="J144:X144" si="100">IF(ISERROR((((1+J135)*(1+J136))*(1+J139))),"n/a",(((1+J135)*(1+J136))*(1+J139)))</f>
        <v>1</v>
      </c>
      <c r="K144" s="38">
        <f t="shared" si="100"/>
        <v>1</v>
      </c>
      <c r="L144" s="38">
        <f t="shared" si="100"/>
        <v>1</v>
      </c>
      <c r="M144" s="38">
        <f t="shared" si="100"/>
        <v>1</v>
      </c>
      <c r="N144" s="38">
        <f t="shared" si="100"/>
        <v>1</v>
      </c>
      <c r="O144" s="38">
        <f t="shared" si="100"/>
        <v>1</v>
      </c>
      <c r="P144" s="38">
        <f t="shared" si="100"/>
        <v>1</v>
      </c>
      <c r="Q144" s="38">
        <f t="shared" si="100"/>
        <v>1</v>
      </c>
      <c r="R144" s="38">
        <f t="shared" si="100"/>
        <v>1</v>
      </c>
      <c r="S144" s="38">
        <f t="shared" si="100"/>
        <v>1</v>
      </c>
      <c r="T144" s="38">
        <f t="shared" si="100"/>
        <v>1</v>
      </c>
      <c r="U144" s="38">
        <f t="shared" si="100"/>
        <v>1</v>
      </c>
      <c r="V144" s="38">
        <f t="shared" si="100"/>
        <v>1</v>
      </c>
      <c r="W144" s="38">
        <f t="shared" si="100"/>
        <v>1</v>
      </c>
      <c r="X144" s="38">
        <f t="shared" si="100"/>
        <v>1</v>
      </c>
      <c r="Y144" s="722"/>
    </row>
    <row r="145" spans="1:35" hidden="1" outlineLevel="1">
      <c r="A145" s="196"/>
      <c r="B145" s="197"/>
      <c r="C145" s="28"/>
      <c r="D145" s="27"/>
      <c r="E145" s="19"/>
      <c r="F145" s="19"/>
      <c r="G145" s="11" t="s">
        <v>652</v>
      </c>
      <c r="H145" s="97"/>
      <c r="I145" s="38">
        <f>IF(ISERROR((((1+I135)*(1+I137))*(1+I139))),"n/a",(((1+I135)*(1+I137))*(1+I139)))</f>
        <v>1</v>
      </c>
      <c r="J145" s="38">
        <f t="shared" ref="J145:X145" si="101">IF(ISERROR((((1+J135)*(1+J137))*(1+J139))),"n/a",(((1+J135)*(1+J137))*(1+J139)))</f>
        <v>1</v>
      </c>
      <c r="K145" s="38">
        <f t="shared" si="101"/>
        <v>1</v>
      </c>
      <c r="L145" s="38">
        <f t="shared" si="101"/>
        <v>1</v>
      </c>
      <c r="M145" s="38">
        <f t="shared" si="101"/>
        <v>1</v>
      </c>
      <c r="N145" s="38">
        <f t="shared" si="101"/>
        <v>1</v>
      </c>
      <c r="O145" s="38">
        <f t="shared" si="101"/>
        <v>1</v>
      </c>
      <c r="P145" s="38">
        <f t="shared" si="101"/>
        <v>1</v>
      </c>
      <c r="Q145" s="38">
        <f t="shared" si="101"/>
        <v>1</v>
      </c>
      <c r="R145" s="38">
        <f t="shared" si="101"/>
        <v>1</v>
      </c>
      <c r="S145" s="38">
        <f t="shared" si="101"/>
        <v>1</v>
      </c>
      <c r="T145" s="38">
        <f t="shared" si="101"/>
        <v>1</v>
      </c>
      <c r="U145" s="38">
        <f t="shared" si="101"/>
        <v>1</v>
      </c>
      <c r="V145" s="38">
        <f t="shared" si="101"/>
        <v>1</v>
      </c>
      <c r="W145" s="38">
        <f t="shared" si="101"/>
        <v>1</v>
      </c>
      <c r="X145" s="38">
        <f t="shared" si="101"/>
        <v>1</v>
      </c>
      <c r="Y145" s="722"/>
    </row>
    <row r="146" spans="1:35" s="704" customFormat="1" ht="13.5" hidden="1" outlineLevel="1" thickBot="1">
      <c r="A146" s="709"/>
      <c r="B146" s="709"/>
      <c r="C146" s="379"/>
      <c r="D146" s="253"/>
      <c r="E146" s="253"/>
      <c r="F146" s="253"/>
      <c r="G146" s="342" t="s">
        <v>653</v>
      </c>
      <c r="H146" s="711"/>
      <c r="I146" s="712">
        <f>(I138*(1+I139))+1</f>
        <v>1</v>
      </c>
      <c r="J146" s="712">
        <f t="shared" ref="J146:W146" si="102">(J138*(1+J139))+1</f>
        <v>1</v>
      </c>
      <c r="K146" s="712">
        <f t="shared" si="102"/>
        <v>1</v>
      </c>
      <c r="L146" s="712">
        <f t="shared" si="102"/>
        <v>1</v>
      </c>
      <c r="M146" s="712">
        <f t="shared" si="102"/>
        <v>1</v>
      </c>
      <c r="N146" s="712">
        <f t="shared" si="102"/>
        <v>1</v>
      </c>
      <c r="O146" s="712">
        <f t="shared" si="102"/>
        <v>1</v>
      </c>
      <c r="P146" s="712">
        <f t="shared" si="102"/>
        <v>1</v>
      </c>
      <c r="Q146" s="712">
        <f t="shared" si="102"/>
        <v>1</v>
      </c>
      <c r="R146" s="712">
        <f t="shared" si="102"/>
        <v>1</v>
      </c>
      <c r="S146" s="712">
        <f t="shared" si="102"/>
        <v>1</v>
      </c>
      <c r="T146" s="712">
        <f t="shared" si="102"/>
        <v>1</v>
      </c>
      <c r="U146" s="712">
        <f t="shared" si="102"/>
        <v>1</v>
      </c>
      <c r="V146" s="712">
        <f t="shared" si="102"/>
        <v>1</v>
      </c>
      <c r="W146" s="712">
        <f t="shared" si="102"/>
        <v>1</v>
      </c>
      <c r="X146" s="712">
        <f>(X138*(1+X139))+1</f>
        <v>1</v>
      </c>
      <c r="Y146" s="723"/>
      <c r="AI146" s="708"/>
    </row>
    <row r="147" spans="1:35" collapsed="1">
      <c r="A147" s="196"/>
      <c r="B147" s="197"/>
      <c r="C147" s="124" t="s">
        <v>39</v>
      </c>
      <c r="D147" s="27"/>
      <c r="E147" s="19"/>
      <c r="F147" s="27"/>
      <c r="G147" s="27"/>
      <c r="H147" s="97"/>
      <c r="I147" s="58"/>
      <c r="J147" s="58"/>
      <c r="K147" s="58"/>
      <c r="L147" s="58"/>
      <c r="M147" s="59"/>
      <c r="N147" s="59"/>
      <c r="O147" s="59"/>
      <c r="P147" s="28"/>
      <c r="Q147" s="28"/>
      <c r="R147" s="28"/>
      <c r="S147" s="28"/>
      <c r="T147" s="28"/>
      <c r="U147" s="28"/>
      <c r="V147" s="28"/>
      <c r="W147" s="28"/>
      <c r="X147" s="28"/>
    </row>
    <row r="148" spans="1:35" outlineLevel="1">
      <c r="A148" s="196"/>
      <c r="B148" s="197"/>
      <c r="D148" s="23" t="s">
        <v>1</v>
      </c>
      <c r="E148" s="48"/>
      <c r="G148" s="37"/>
      <c r="H148" s="37"/>
      <c r="I148" s="61"/>
      <c r="J148" s="61"/>
      <c r="K148" s="61"/>
      <c r="L148" s="39"/>
      <c r="M148" s="39"/>
      <c r="N148" s="34"/>
      <c r="O148" s="34"/>
      <c r="P148" s="28"/>
      <c r="Q148" s="28"/>
      <c r="R148" s="28"/>
      <c r="S148" s="28"/>
      <c r="T148" s="28"/>
      <c r="U148" s="28"/>
      <c r="V148" s="28"/>
      <c r="W148" s="28"/>
      <c r="X148" s="28"/>
    </row>
    <row r="149" spans="1:35" outlineLevel="1">
      <c r="A149" s="196"/>
      <c r="B149" s="196"/>
      <c r="C149" s="830" t="s">
        <v>904</v>
      </c>
      <c r="D149" s="107"/>
      <c r="E149" s="108"/>
      <c r="H149" s="8"/>
      <c r="I149" s="9"/>
      <c r="J149" s="9"/>
      <c r="K149" s="58"/>
      <c r="L149" s="58"/>
      <c r="M149" s="60"/>
      <c r="N149" s="62"/>
      <c r="O149" s="29"/>
      <c r="P149" s="28"/>
      <c r="Q149" s="28"/>
      <c r="R149" s="28"/>
      <c r="S149" s="28"/>
      <c r="T149" s="28"/>
      <c r="U149" s="28"/>
      <c r="V149" s="28"/>
      <c r="W149" s="28"/>
      <c r="X149" s="28"/>
    </row>
    <row r="150" spans="1:35" outlineLevel="1">
      <c r="A150" s="196"/>
      <c r="B150" s="196"/>
      <c r="C150" s="830" t="s">
        <v>903</v>
      </c>
      <c r="D150" s="107"/>
      <c r="E150" s="108"/>
      <c r="H150" s="8"/>
      <c r="I150" s="9"/>
      <c r="J150" s="9"/>
      <c r="K150" s="58"/>
      <c r="L150" s="58"/>
      <c r="M150" s="60"/>
      <c r="N150" s="62"/>
      <c r="O150" s="29"/>
      <c r="P150" s="28"/>
      <c r="Q150" s="28"/>
      <c r="R150" s="28"/>
      <c r="S150" s="28"/>
      <c r="T150" s="28"/>
      <c r="U150" s="28"/>
      <c r="V150" s="28"/>
      <c r="W150" s="28"/>
      <c r="X150" s="28"/>
    </row>
    <row r="151" spans="1:35" outlineLevel="1">
      <c r="A151" s="196"/>
      <c r="B151" s="196"/>
      <c r="C151" s="830" t="s">
        <v>997</v>
      </c>
      <c r="D151" s="107"/>
      <c r="E151" s="108"/>
      <c r="H151" s="8"/>
      <c r="I151" s="9"/>
      <c r="J151" s="9"/>
      <c r="K151" s="58"/>
      <c r="L151" s="58"/>
      <c r="M151" s="60"/>
      <c r="N151" s="62"/>
      <c r="O151" s="29"/>
      <c r="P151" s="28"/>
      <c r="Q151" s="28"/>
      <c r="R151" s="28"/>
      <c r="S151" s="28"/>
      <c r="T151" s="28"/>
      <c r="U151" s="28"/>
      <c r="V151" s="28"/>
      <c r="W151" s="28"/>
      <c r="X151" s="28"/>
    </row>
    <row r="152" spans="1:35" hidden="1" outlineLevel="1">
      <c r="A152" s="196"/>
      <c r="B152" s="196"/>
      <c r="C152" s="830" t="s">
        <v>603</v>
      </c>
      <c r="D152" s="107"/>
      <c r="E152" s="108"/>
      <c r="H152" s="63"/>
      <c r="I152" s="9"/>
      <c r="J152" s="9"/>
      <c r="K152" s="58"/>
      <c r="L152" s="58"/>
      <c r="M152" s="60"/>
      <c r="N152" s="62"/>
      <c r="O152" s="29"/>
      <c r="P152" s="28"/>
      <c r="Q152" s="28"/>
      <c r="R152" s="28"/>
      <c r="S152" s="28"/>
      <c r="T152" s="28"/>
      <c r="U152" s="28"/>
      <c r="V152" s="28"/>
      <c r="W152" s="28"/>
      <c r="X152" s="28"/>
    </row>
    <row r="153" spans="1:35" hidden="1" outlineLevel="1">
      <c r="A153" s="196"/>
      <c r="B153" s="196"/>
      <c r="C153" s="830" t="s">
        <v>604</v>
      </c>
      <c r="D153" s="107"/>
      <c r="E153" s="108"/>
      <c r="H153" s="63"/>
      <c r="I153" s="9"/>
      <c r="J153" s="9"/>
      <c r="K153" s="58"/>
      <c r="L153" s="58"/>
      <c r="M153" s="60"/>
      <c r="N153" s="62"/>
      <c r="O153" s="29"/>
      <c r="P153" s="28"/>
      <c r="Q153" s="28"/>
      <c r="R153" s="28"/>
      <c r="S153" s="28"/>
      <c r="T153" s="28"/>
      <c r="U153" s="28"/>
      <c r="V153" s="28"/>
      <c r="W153" s="28"/>
      <c r="X153" s="28"/>
    </row>
    <row r="154" spans="1:35" hidden="1" outlineLevel="1">
      <c r="A154" s="196"/>
      <c r="B154" s="196"/>
      <c r="C154" s="830" t="s">
        <v>605</v>
      </c>
      <c r="D154" s="107"/>
      <c r="E154" s="108"/>
      <c r="H154" s="63"/>
      <c r="I154" s="9"/>
      <c r="J154" s="9"/>
      <c r="K154" s="58"/>
      <c r="L154" s="58"/>
      <c r="M154" s="60"/>
      <c r="N154" s="62"/>
      <c r="O154" s="29"/>
      <c r="P154" s="28"/>
      <c r="Q154" s="28"/>
      <c r="R154" s="28"/>
      <c r="S154" s="28"/>
      <c r="T154" s="28"/>
      <c r="U154" s="28"/>
      <c r="V154" s="28"/>
      <c r="W154" s="28"/>
      <c r="X154" s="28"/>
    </row>
    <row r="155" spans="1:35" hidden="1" outlineLevel="1">
      <c r="A155" s="196"/>
      <c r="B155" s="196"/>
      <c r="C155" s="830" t="s">
        <v>606</v>
      </c>
      <c r="D155" s="107"/>
      <c r="E155" s="108"/>
      <c r="H155" s="63"/>
      <c r="I155" s="9"/>
      <c r="J155" s="9"/>
      <c r="K155" s="58"/>
      <c r="L155" s="58"/>
      <c r="M155" s="60"/>
      <c r="N155" s="62"/>
      <c r="O155" s="29"/>
      <c r="P155" s="28"/>
      <c r="Q155" s="28"/>
      <c r="R155" s="28"/>
      <c r="S155" s="28"/>
      <c r="T155" s="28"/>
      <c r="U155" s="28"/>
      <c r="V155" s="28"/>
      <c r="W155" s="28"/>
      <c r="X155" s="28"/>
    </row>
    <row r="156" spans="1:35" hidden="1" outlineLevel="1">
      <c r="A156" s="196"/>
      <c r="B156" s="196"/>
      <c r="C156" s="830" t="s">
        <v>607</v>
      </c>
      <c r="D156" s="107"/>
      <c r="E156" s="108"/>
      <c r="H156" s="63"/>
      <c r="I156" s="9"/>
      <c r="J156" s="9"/>
      <c r="K156" s="58"/>
      <c r="L156" s="58"/>
      <c r="M156" s="60"/>
      <c r="N156" s="62"/>
      <c r="O156" s="29"/>
      <c r="P156" s="28"/>
      <c r="Q156" s="28"/>
      <c r="R156" s="28"/>
      <c r="S156" s="28"/>
      <c r="T156" s="28"/>
      <c r="U156" s="28"/>
      <c r="V156" s="28"/>
      <c r="W156" s="28"/>
      <c r="X156" s="28"/>
    </row>
    <row r="157" spans="1:35" hidden="1" outlineLevel="1">
      <c r="A157" s="196"/>
      <c r="B157" s="196"/>
      <c r="C157" s="830" t="s">
        <v>674</v>
      </c>
      <c r="D157" s="107"/>
      <c r="E157" s="108"/>
      <c r="H157" s="63"/>
      <c r="I157" s="9"/>
      <c r="J157" s="9"/>
      <c r="K157" s="58"/>
      <c r="L157" s="58"/>
      <c r="M157" s="60"/>
      <c r="N157" s="62"/>
      <c r="O157" s="29"/>
      <c r="P157" s="28"/>
      <c r="Q157" s="28"/>
      <c r="R157" s="28"/>
      <c r="S157" s="28"/>
      <c r="T157" s="28"/>
      <c r="U157" s="28"/>
      <c r="V157" s="28"/>
      <c r="W157" s="28"/>
      <c r="X157" s="28"/>
    </row>
    <row r="158" spans="1:35" hidden="1" outlineLevel="1">
      <c r="A158" s="196"/>
      <c r="B158" s="196"/>
      <c r="C158" s="830" t="s">
        <v>675</v>
      </c>
      <c r="D158" s="107"/>
      <c r="E158" s="108"/>
      <c r="H158" s="63"/>
      <c r="I158" s="9"/>
      <c r="J158" s="9"/>
      <c r="K158" s="58"/>
      <c r="L158" s="58"/>
      <c r="M158" s="60"/>
      <c r="N158" s="62"/>
      <c r="O158" s="29"/>
      <c r="P158" s="28"/>
      <c r="Q158" s="28"/>
      <c r="R158" s="28"/>
      <c r="S158" s="28"/>
      <c r="T158" s="28"/>
      <c r="U158" s="28"/>
      <c r="V158" s="28"/>
      <c r="W158" s="28"/>
      <c r="X158" s="28"/>
    </row>
    <row r="159" spans="1:35" hidden="1" outlineLevel="1">
      <c r="A159" s="196"/>
      <c r="B159" s="196"/>
      <c r="C159" s="830" t="s">
        <v>676</v>
      </c>
      <c r="D159" s="107"/>
      <c r="E159" s="108"/>
      <c r="H159" s="63"/>
      <c r="I159" s="9"/>
      <c r="J159" s="9"/>
      <c r="K159" s="58"/>
      <c r="L159" s="58"/>
      <c r="M159" s="60"/>
      <c r="N159" s="62"/>
      <c r="O159" s="29"/>
      <c r="P159" s="28"/>
      <c r="Q159" s="28"/>
      <c r="R159" s="28"/>
      <c r="S159" s="28"/>
      <c r="T159" s="28"/>
      <c r="U159" s="28"/>
      <c r="V159" s="28"/>
      <c r="W159" s="28"/>
      <c r="X159" s="28"/>
    </row>
    <row r="160" spans="1:35" hidden="1" outlineLevel="1">
      <c r="A160" s="196"/>
      <c r="B160" s="196"/>
      <c r="C160" s="830" t="s">
        <v>677</v>
      </c>
      <c r="D160" s="107"/>
      <c r="E160" s="108"/>
      <c r="H160" s="63"/>
      <c r="I160" s="9"/>
      <c r="J160" s="9"/>
      <c r="K160" s="58"/>
      <c r="L160" s="58"/>
      <c r="M160" s="60"/>
      <c r="N160" s="62"/>
      <c r="O160" s="29"/>
      <c r="P160" s="28"/>
      <c r="Q160" s="28"/>
      <c r="R160" s="28"/>
      <c r="S160" s="28"/>
      <c r="T160" s="28"/>
      <c r="U160" s="28"/>
      <c r="V160" s="28"/>
      <c r="W160" s="28"/>
      <c r="X160" s="28"/>
    </row>
    <row r="161" spans="1:35" hidden="1" outlineLevel="1">
      <c r="A161" s="196"/>
      <c r="B161" s="196"/>
      <c r="C161" s="830" t="s">
        <v>678</v>
      </c>
      <c r="D161" s="107"/>
      <c r="E161" s="108"/>
      <c r="H161" s="63"/>
      <c r="I161" s="9"/>
      <c r="J161" s="9"/>
      <c r="K161" s="58"/>
      <c r="L161" s="58"/>
      <c r="M161" s="60"/>
      <c r="N161" s="62"/>
      <c r="O161" s="29"/>
      <c r="P161" s="28"/>
      <c r="Q161" s="28"/>
      <c r="R161" s="28"/>
      <c r="S161" s="28"/>
      <c r="T161" s="28"/>
      <c r="U161" s="28"/>
      <c r="V161" s="28"/>
      <c r="W161" s="28"/>
      <c r="X161" s="28"/>
    </row>
    <row r="162" spans="1:35" hidden="1" outlineLevel="1">
      <c r="A162" s="196"/>
      <c r="B162" s="196"/>
      <c r="C162" s="830" t="s">
        <v>679</v>
      </c>
      <c r="D162" s="107"/>
      <c r="E162" s="108"/>
      <c r="H162" s="63"/>
      <c r="I162" s="9"/>
      <c r="J162" s="9"/>
      <c r="K162" s="58"/>
      <c r="L162" s="58"/>
      <c r="M162" s="60"/>
      <c r="N162" s="62"/>
      <c r="O162" s="29"/>
      <c r="P162" s="28"/>
      <c r="Q162" s="28"/>
      <c r="R162" s="28"/>
      <c r="S162" s="28"/>
      <c r="T162" s="28"/>
      <c r="U162" s="28"/>
      <c r="V162" s="28"/>
      <c r="W162" s="28"/>
      <c r="X162" s="28"/>
    </row>
    <row r="163" spans="1:35" hidden="1" outlineLevel="1">
      <c r="A163" s="196"/>
      <c r="B163" s="196"/>
      <c r="C163" s="830" t="s">
        <v>680</v>
      </c>
      <c r="D163" s="107"/>
      <c r="E163" s="108"/>
      <c r="H163" s="63"/>
      <c r="I163" s="9"/>
      <c r="J163" s="9"/>
      <c r="K163" s="58"/>
      <c r="L163" s="58"/>
      <c r="M163" s="60"/>
      <c r="N163" s="62"/>
      <c r="O163" s="29"/>
      <c r="P163" s="28"/>
      <c r="Q163" s="28"/>
      <c r="R163" s="28"/>
      <c r="S163" s="28"/>
      <c r="T163" s="28"/>
      <c r="U163" s="28"/>
      <c r="V163" s="28"/>
      <c r="W163" s="28"/>
      <c r="X163" s="28"/>
    </row>
    <row r="164" spans="1:35" hidden="1" outlineLevel="1">
      <c r="A164" s="196"/>
      <c r="B164" s="196"/>
      <c r="C164" s="830" t="s">
        <v>681</v>
      </c>
      <c r="D164" s="107"/>
      <c r="E164" s="108"/>
      <c r="H164" s="63"/>
      <c r="I164" s="9"/>
      <c r="J164" s="9"/>
      <c r="K164" s="58"/>
      <c r="L164" s="58"/>
      <c r="M164" s="60"/>
      <c r="N164" s="62"/>
      <c r="O164" s="29"/>
      <c r="P164" s="28"/>
      <c r="Q164" s="28"/>
      <c r="R164" s="28"/>
      <c r="S164" s="28"/>
      <c r="T164" s="28"/>
      <c r="U164" s="28"/>
      <c r="V164" s="28"/>
      <c r="W164" s="28"/>
      <c r="X164" s="28"/>
    </row>
    <row r="165" spans="1:35" hidden="1" outlineLevel="1">
      <c r="A165" s="196"/>
      <c r="B165" s="196"/>
      <c r="C165" s="830" t="s">
        <v>682</v>
      </c>
      <c r="D165" s="107"/>
      <c r="E165" s="108"/>
      <c r="H165" s="63"/>
      <c r="I165" s="9"/>
      <c r="J165" s="9"/>
      <c r="K165" s="58"/>
      <c r="L165" s="58"/>
      <c r="M165" s="60"/>
      <c r="N165" s="62"/>
      <c r="O165" s="29"/>
      <c r="P165" s="28"/>
      <c r="Q165" s="28"/>
      <c r="R165" s="28"/>
      <c r="S165" s="28"/>
      <c r="T165" s="28"/>
      <c r="U165" s="28"/>
      <c r="V165" s="28"/>
      <c r="W165" s="28"/>
      <c r="X165" s="28"/>
    </row>
    <row r="166" spans="1:35" hidden="1" outlineLevel="1">
      <c r="A166" s="196"/>
      <c r="B166" s="196"/>
      <c r="C166" s="830" t="s">
        <v>683</v>
      </c>
      <c r="D166" s="107"/>
      <c r="E166" s="108"/>
      <c r="H166" s="63"/>
      <c r="I166" s="9"/>
      <c r="J166" s="9"/>
      <c r="K166" s="58"/>
      <c r="L166" s="58"/>
      <c r="M166" s="60"/>
      <c r="N166" s="62"/>
      <c r="O166" s="29"/>
      <c r="P166" s="28"/>
      <c r="Q166" s="28"/>
      <c r="R166" s="28"/>
      <c r="S166" s="28"/>
      <c r="T166" s="28"/>
      <c r="U166" s="28"/>
      <c r="V166" s="28"/>
      <c r="W166" s="28"/>
      <c r="X166" s="28"/>
    </row>
    <row r="167" spans="1:35" hidden="1" outlineLevel="1">
      <c r="A167" s="196"/>
      <c r="B167" s="196"/>
      <c r="C167" s="830" t="s">
        <v>788</v>
      </c>
      <c r="D167" s="107"/>
      <c r="E167" s="108"/>
      <c r="H167" s="63"/>
      <c r="I167" s="9"/>
      <c r="J167" s="9"/>
      <c r="K167" s="58"/>
      <c r="L167" s="58"/>
      <c r="M167" s="60"/>
      <c r="N167" s="62"/>
      <c r="O167" s="29"/>
      <c r="P167" s="28"/>
      <c r="Q167" s="28"/>
      <c r="R167" s="28"/>
      <c r="S167" s="28"/>
      <c r="T167" s="28"/>
      <c r="U167" s="28"/>
      <c r="V167" s="28"/>
      <c r="W167" s="28"/>
      <c r="X167" s="28"/>
    </row>
    <row r="168" spans="1:35" s="704" customFormat="1" ht="13.5" hidden="1" outlineLevel="1" thickBot="1">
      <c r="A168" s="709"/>
      <c r="B168" s="709"/>
      <c r="C168" s="831" t="s">
        <v>789</v>
      </c>
      <c r="D168" s="714"/>
      <c r="E168" s="715"/>
      <c r="H168" s="716"/>
      <c r="I168" s="717"/>
      <c r="J168" s="717"/>
      <c r="K168" s="257"/>
      <c r="L168" s="257"/>
      <c r="M168" s="718"/>
      <c r="N168" s="719"/>
      <c r="O168" s="720"/>
      <c r="P168" s="379"/>
      <c r="Q168" s="379"/>
      <c r="R168" s="379"/>
      <c r="S168" s="379"/>
      <c r="T168" s="379"/>
      <c r="U168" s="379"/>
      <c r="V168" s="379"/>
      <c r="W168" s="379"/>
      <c r="X168" s="379"/>
      <c r="AI168" s="708"/>
    </row>
    <row r="169" spans="1:35" collapsed="1">
      <c r="A169" s="196"/>
      <c r="B169" s="197"/>
      <c r="C169" s="124"/>
      <c r="G169" s="8"/>
      <c r="H169" s="8"/>
      <c r="I169" s="9"/>
      <c r="J169" s="9"/>
      <c r="K169" s="58"/>
      <c r="L169" s="58"/>
      <c r="M169" s="320">
        <v>12</v>
      </c>
      <c r="N169" s="62"/>
      <c r="O169" s="28"/>
      <c r="P169" s="28"/>
      <c r="Q169" s="28"/>
      <c r="R169" s="28"/>
      <c r="S169" s="28"/>
      <c r="T169" s="28"/>
      <c r="U169" s="28"/>
      <c r="V169" s="28"/>
      <c r="W169" s="28"/>
      <c r="X169" s="28"/>
    </row>
    <row r="170" spans="1:35">
      <c r="A170" s="198"/>
      <c r="B170" s="197"/>
      <c r="G170" s="39"/>
      <c r="I170" s="9"/>
      <c r="J170" s="9"/>
      <c r="K170" s="58"/>
      <c r="L170" s="58"/>
      <c r="M170" s="60" t="s">
        <v>893</v>
      </c>
      <c r="N170" s="62"/>
      <c r="O170" s="35"/>
      <c r="P170" s="35"/>
      <c r="Q170" s="64"/>
      <c r="R170" s="28"/>
      <c r="S170" s="28"/>
      <c r="T170" s="28"/>
      <c r="U170" s="28"/>
      <c r="V170" s="28"/>
      <c r="W170" s="28"/>
      <c r="X170" s="28"/>
      <c r="AA170" t="s">
        <v>905</v>
      </c>
    </row>
    <row r="171" spans="1:35">
      <c r="A171" s="198"/>
      <c r="B171" s="197"/>
      <c r="C171" s="26" t="s">
        <v>779</v>
      </c>
      <c r="D171" s="8"/>
      <c r="E171" s="7"/>
      <c r="F171" s="8"/>
      <c r="G171" s="57"/>
      <c r="H171" s="4"/>
      <c r="I171" s="9"/>
      <c r="J171" s="9"/>
      <c r="K171" s="58"/>
      <c r="L171" s="58"/>
      <c r="M171" s="60"/>
      <c r="N171" s="62"/>
      <c r="O171" s="28"/>
      <c r="P171" s="28"/>
      <c r="Q171" s="28"/>
      <c r="R171" s="28"/>
      <c r="S171" s="28"/>
      <c r="T171" s="28"/>
      <c r="U171" s="28"/>
      <c r="V171" s="28"/>
      <c r="W171" s="28"/>
      <c r="X171" s="28"/>
      <c r="AA171" s="1194" t="s">
        <v>906</v>
      </c>
      <c r="AB171" s="1194"/>
      <c r="AC171" s="1194" t="s">
        <v>909</v>
      </c>
      <c r="AD171" s="1194"/>
      <c r="AE171" s="1194" t="s">
        <v>910</v>
      </c>
      <c r="AF171" s="1194"/>
    </row>
    <row r="172" spans="1:35">
      <c r="A172" s="198"/>
      <c r="B172" s="197"/>
      <c r="C172" s="23" t="s">
        <v>608</v>
      </c>
      <c r="D172" s="23"/>
      <c r="E172" t="s">
        <v>633</v>
      </c>
      <c r="F172" s="37" t="s">
        <v>634</v>
      </c>
      <c r="G172" s="39" t="s">
        <v>609</v>
      </c>
      <c r="H172" s="37" t="s">
        <v>628</v>
      </c>
      <c r="I172" s="9" t="s">
        <v>894</v>
      </c>
      <c r="J172" s="9" t="s">
        <v>849</v>
      </c>
      <c r="K172" s="9" t="s">
        <v>850</v>
      </c>
      <c r="L172" s="9" t="s">
        <v>851</v>
      </c>
      <c r="M172" s="9" t="s">
        <v>849</v>
      </c>
      <c r="N172" s="9" t="s">
        <v>850</v>
      </c>
      <c r="O172" s="9" t="s">
        <v>851</v>
      </c>
      <c r="P172" s="28"/>
      <c r="Q172" s="28"/>
      <c r="R172" s="28"/>
      <c r="S172" s="49"/>
      <c r="T172" s="28"/>
      <c r="U172" s="28"/>
      <c r="V172" s="28"/>
      <c r="W172" s="28"/>
      <c r="X172" s="28"/>
      <c r="AA172" t="s">
        <v>907</v>
      </c>
      <c r="AB172" t="s">
        <v>908</v>
      </c>
      <c r="AC172" t="s">
        <v>907</v>
      </c>
      <c r="AD172" t="s">
        <v>908</v>
      </c>
      <c r="AE172" t="s">
        <v>907</v>
      </c>
      <c r="AF172" t="s">
        <v>908</v>
      </c>
    </row>
    <row r="173" spans="1:35">
      <c r="A173" s="8"/>
      <c r="B173" s="195">
        <v>1</v>
      </c>
      <c r="C173" s="109" t="str">
        <f>VLOOKUP($B173,[5]BOE!$A$13:$P$28,2,FALSE)</f>
        <v xml:space="preserve">LAN/Wan Engineer </v>
      </c>
      <c r="D173" s="109"/>
      <c r="E173" s="2" t="s">
        <v>643</v>
      </c>
      <c r="F173" s="148">
        <v>0</v>
      </c>
      <c r="G173" s="110">
        <v>29</v>
      </c>
      <c r="H173" s="4" t="s">
        <v>623</v>
      </c>
      <c r="I173" s="148">
        <f>SUM(J173:L173)</f>
        <v>750</v>
      </c>
      <c r="J173" s="320">
        <f>VLOOKUP($B173,[5]BOE!$A$13:$R$35,16,FALSE)</f>
        <v>290</v>
      </c>
      <c r="K173" s="320">
        <f>VLOOKUP($B173,[5]BOE!$A$13:$R$35,17,FALSE)</f>
        <v>290</v>
      </c>
      <c r="L173" s="320">
        <f>VLOOKUP($B173,[5]BOE!$A$13:$R$35,18,FALSE)</f>
        <v>170</v>
      </c>
      <c r="M173" s="320">
        <f>J173*$M$169</f>
        <v>3480</v>
      </c>
      <c r="N173" s="320">
        <f t="shared" ref="N173:N187" si="103">K173*$M$169</f>
        <v>3480</v>
      </c>
      <c r="O173" s="320">
        <f t="shared" ref="O173:O187" si="104">L173*$M$169</f>
        <v>2040</v>
      </c>
      <c r="P173" s="28"/>
      <c r="Q173" s="28"/>
      <c r="R173" s="28"/>
      <c r="S173" s="28"/>
      <c r="T173" s="28"/>
      <c r="U173" s="28"/>
      <c r="V173" s="28"/>
      <c r="W173" s="28"/>
      <c r="X173" s="28"/>
      <c r="Y173" s="877">
        <f>+M173*G173</f>
        <v>100920</v>
      </c>
      <c r="Z173">
        <f>+Y173*1.7</f>
        <v>171564</v>
      </c>
      <c r="AA173" s="845"/>
      <c r="AB173" s="845"/>
      <c r="AC173" s="845"/>
      <c r="AD173" s="845"/>
      <c r="AE173" s="845"/>
      <c r="AF173" s="845"/>
      <c r="AG173" s="1011">
        <v>5000</v>
      </c>
      <c r="AH173" s="1011">
        <f>+AG173+Z173</f>
        <v>176564</v>
      </c>
    </row>
    <row r="174" spans="1:35">
      <c r="A174" s="8"/>
      <c r="B174" s="195">
        <f t="shared" ref="B174:B187" si="105">+B173+1</f>
        <v>2</v>
      </c>
      <c r="C174" s="109" t="str">
        <f>VLOOKUP(B174,[5]BOE!$A$13:$P$28,2,FALSE)</f>
        <v>Functional Services Administrator</v>
      </c>
      <c r="D174" s="109"/>
      <c r="E174" s="2" t="s">
        <v>643</v>
      </c>
      <c r="F174" s="148">
        <v>0</v>
      </c>
      <c r="G174" s="110">
        <v>33.81</v>
      </c>
      <c r="H174" s="4" t="s">
        <v>623</v>
      </c>
      <c r="I174" s="148">
        <f t="shared" ref="I174:I182" si="106">SUM(J174:L174)</f>
        <v>750</v>
      </c>
      <c r="J174" s="320">
        <f>VLOOKUP($B174,[5]BOE!$A$13:$R$35,16,FALSE)</f>
        <v>290</v>
      </c>
      <c r="K174" s="320">
        <f>VLOOKUP($B174,[5]BOE!$A$13:$R$35,17,FALSE)</f>
        <v>290</v>
      </c>
      <c r="L174" s="320">
        <f>VLOOKUP($B174,[5]BOE!$A$13:$R$35,18,FALSE)</f>
        <v>170</v>
      </c>
      <c r="M174" s="320">
        <f t="shared" ref="M174:M187" si="107">J174*$M$169</f>
        <v>3480</v>
      </c>
      <c r="N174" s="320">
        <f t="shared" si="103"/>
        <v>3480</v>
      </c>
      <c r="O174" s="320">
        <f t="shared" si="104"/>
        <v>2040</v>
      </c>
      <c r="P174" s="28"/>
      <c r="Q174" s="28"/>
      <c r="R174" s="28"/>
      <c r="S174" s="28"/>
      <c r="T174" s="28"/>
      <c r="U174" s="28"/>
      <c r="V174" s="28"/>
      <c r="W174" s="28"/>
      <c r="X174" s="28"/>
      <c r="Y174" s="877">
        <f t="shared" ref="Y174:Y187" si="108">+M174*G174</f>
        <v>117658.8</v>
      </c>
      <c r="Z174">
        <f t="shared" ref="Z174:Z187" si="109">+Y174*1.7</f>
        <v>200019.96</v>
      </c>
      <c r="AA174" s="845"/>
      <c r="AB174" s="845"/>
      <c r="AC174" s="845"/>
      <c r="AD174" s="845"/>
      <c r="AE174" s="845"/>
      <c r="AF174" s="845"/>
      <c r="AG174" s="1011">
        <v>5000</v>
      </c>
      <c r="AH174" s="1011">
        <f t="shared" ref="AH174:AH187" si="110">+AG174+Z174</f>
        <v>205019.96</v>
      </c>
    </row>
    <row r="175" spans="1:35">
      <c r="A175" s="8"/>
      <c r="B175" s="195">
        <f t="shared" si="105"/>
        <v>3</v>
      </c>
      <c r="C175" s="109" t="str">
        <f>VLOOKUP(B175,[5]BOE!$A$13:$P$28,2,FALSE)</f>
        <v>Functional Services Administrator</v>
      </c>
      <c r="D175" s="109"/>
      <c r="E175" s="2" t="s">
        <v>643</v>
      </c>
      <c r="F175" s="148">
        <v>0</v>
      </c>
      <c r="G175" s="110">
        <v>33.81</v>
      </c>
      <c r="H175" s="4" t="s">
        <v>623</v>
      </c>
      <c r="I175" s="148">
        <f t="shared" si="106"/>
        <v>750</v>
      </c>
      <c r="J175" s="320">
        <f>VLOOKUP($B175,[5]BOE!$A$13:$R$35,16,FALSE)</f>
        <v>290</v>
      </c>
      <c r="K175" s="320">
        <f>VLOOKUP($B175,[5]BOE!$A$13:$R$35,17,FALSE)</f>
        <v>290</v>
      </c>
      <c r="L175" s="320">
        <f>VLOOKUP($B175,[5]BOE!$A$13:$R$35,18,FALSE)</f>
        <v>170</v>
      </c>
      <c r="M175" s="320">
        <f t="shared" si="107"/>
        <v>3480</v>
      </c>
      <c r="N175" s="320">
        <f t="shared" si="103"/>
        <v>3480</v>
      </c>
      <c r="O175" s="320">
        <f t="shared" si="104"/>
        <v>2040</v>
      </c>
      <c r="P175" s="28"/>
      <c r="Q175" s="28"/>
      <c r="R175" s="28"/>
      <c r="S175" s="49"/>
      <c r="T175" s="28"/>
      <c r="U175" s="28"/>
      <c r="V175" s="28"/>
      <c r="W175" s="28"/>
      <c r="X175" s="28"/>
      <c r="Y175" s="877">
        <f t="shared" si="108"/>
        <v>117658.8</v>
      </c>
      <c r="Z175">
        <f t="shared" si="109"/>
        <v>200019.96</v>
      </c>
      <c r="AA175" s="845"/>
      <c r="AB175" s="845"/>
      <c r="AC175" s="845"/>
      <c r="AD175" s="845"/>
      <c r="AE175" s="845"/>
      <c r="AF175" s="845"/>
      <c r="AG175" s="1011">
        <v>5000</v>
      </c>
      <c r="AH175" s="1011">
        <f t="shared" si="110"/>
        <v>205019.96</v>
      </c>
    </row>
    <row r="176" spans="1:35">
      <c r="A176" s="8"/>
      <c r="B176" s="195">
        <f t="shared" si="105"/>
        <v>4</v>
      </c>
      <c r="C176" s="109" t="str">
        <f>VLOOKUP(B176,[5]BOE!$A$13:$P$28,2,FALSE)</f>
        <v>Functional Services Administrator</v>
      </c>
      <c r="D176" s="109"/>
      <c r="E176" s="2" t="s">
        <v>643</v>
      </c>
      <c r="F176" s="148">
        <v>0</v>
      </c>
      <c r="G176" s="110">
        <v>33.81</v>
      </c>
      <c r="H176" s="4" t="s">
        <v>623</v>
      </c>
      <c r="I176" s="148">
        <f t="shared" si="106"/>
        <v>750</v>
      </c>
      <c r="J176" s="320">
        <f>VLOOKUP($B176,[5]BOE!$A$13:$R$35,16,FALSE)</f>
        <v>290</v>
      </c>
      <c r="K176" s="320">
        <f>VLOOKUP($B176,[5]BOE!$A$13:$R$35,17,FALSE)</f>
        <v>290</v>
      </c>
      <c r="L176" s="320">
        <f>VLOOKUP($B176,[5]BOE!$A$13:$R$35,18,FALSE)</f>
        <v>170</v>
      </c>
      <c r="M176" s="320">
        <f t="shared" si="107"/>
        <v>3480</v>
      </c>
      <c r="N176" s="320">
        <f t="shared" si="103"/>
        <v>3480</v>
      </c>
      <c r="O176" s="320">
        <f t="shared" si="104"/>
        <v>2040</v>
      </c>
      <c r="P176" s="28"/>
      <c r="Q176" s="28"/>
      <c r="R176" s="28"/>
      <c r="S176" s="49"/>
      <c r="T176" s="28"/>
      <c r="U176" s="28"/>
      <c r="V176" s="28"/>
      <c r="W176" s="28"/>
      <c r="X176" s="28"/>
      <c r="Y176" s="877">
        <f t="shared" si="108"/>
        <v>117658.8</v>
      </c>
      <c r="Z176">
        <f t="shared" si="109"/>
        <v>200019.96</v>
      </c>
      <c r="AA176" s="1013">
        <v>680</v>
      </c>
      <c r="AB176" s="1011">
        <f>AA176/$M$169</f>
        <v>56.666666666666664</v>
      </c>
      <c r="AC176" s="1013">
        <v>680</v>
      </c>
      <c r="AD176" s="1011">
        <f>AC176/$M$169</f>
        <v>56.666666666666664</v>
      </c>
      <c r="AE176" s="1013">
        <v>680</v>
      </c>
      <c r="AF176" s="1011">
        <f>AE176/$M$169</f>
        <v>56.666666666666664</v>
      </c>
      <c r="AG176" s="1011"/>
      <c r="AH176" s="1011">
        <f t="shared" si="110"/>
        <v>200019.96</v>
      </c>
    </row>
    <row r="177" spans="1:35">
      <c r="A177" s="8"/>
      <c r="B177" s="195">
        <f t="shared" si="105"/>
        <v>5</v>
      </c>
      <c r="C177" s="109" t="str">
        <f>VLOOKUP(B177,[5]BOE!$A$13:$P$28,2,FALSE)</f>
        <v>Service Desk</v>
      </c>
      <c r="D177" s="109"/>
      <c r="E177" s="2" t="s">
        <v>643</v>
      </c>
      <c r="F177" s="148">
        <v>0</v>
      </c>
      <c r="G177" s="110">
        <v>26</v>
      </c>
      <c r="H177" s="4" t="s">
        <v>623</v>
      </c>
      <c r="I177" s="148">
        <f t="shared" si="106"/>
        <v>750</v>
      </c>
      <c r="J177" s="320">
        <f>VLOOKUP($B177,[5]BOE!$A$13:$R$35,16,FALSE)</f>
        <v>290</v>
      </c>
      <c r="K177" s="320">
        <f>VLOOKUP($B177,[5]BOE!$A$13:$R$35,17,FALSE)</f>
        <v>290</v>
      </c>
      <c r="L177" s="320">
        <f>VLOOKUP($B177,[5]BOE!$A$13:$R$35,18,FALSE)</f>
        <v>170</v>
      </c>
      <c r="M177" s="320">
        <f t="shared" si="107"/>
        <v>3480</v>
      </c>
      <c r="N177" s="320">
        <f t="shared" si="103"/>
        <v>3480</v>
      </c>
      <c r="O177" s="320">
        <f t="shared" si="104"/>
        <v>2040</v>
      </c>
      <c r="P177" s="28"/>
      <c r="Q177" s="28"/>
      <c r="R177" s="28"/>
      <c r="S177" s="49"/>
      <c r="T177" s="28"/>
      <c r="U177" s="28"/>
      <c r="V177" s="28"/>
      <c r="W177" s="28"/>
      <c r="X177" s="28"/>
      <c r="Y177" s="877">
        <f t="shared" si="108"/>
        <v>90480</v>
      </c>
      <c r="Z177">
        <f t="shared" si="109"/>
        <v>153816</v>
      </c>
      <c r="AA177" s="845"/>
      <c r="AB177" s="845"/>
      <c r="AC177" s="845"/>
      <c r="AD177" s="845"/>
      <c r="AE177" s="845"/>
      <c r="AF177" s="845"/>
      <c r="AG177" s="1011">
        <v>5000</v>
      </c>
      <c r="AH177" s="1011">
        <f t="shared" si="110"/>
        <v>158816</v>
      </c>
    </row>
    <row r="178" spans="1:35">
      <c r="A178" s="8"/>
      <c r="B178" s="195">
        <f t="shared" si="105"/>
        <v>6</v>
      </c>
      <c r="C178" s="109" t="str">
        <f>VLOOKUP(B178,[5]BOE!$A$13:$P$28,2,FALSE)</f>
        <v>Service Desk</v>
      </c>
      <c r="D178" s="109"/>
      <c r="E178" s="2" t="s">
        <v>643</v>
      </c>
      <c r="F178" s="148">
        <v>0</v>
      </c>
      <c r="G178" s="110">
        <v>26</v>
      </c>
      <c r="H178" s="4" t="s">
        <v>623</v>
      </c>
      <c r="I178" s="148">
        <f t="shared" si="106"/>
        <v>750</v>
      </c>
      <c r="J178" s="320">
        <f>VLOOKUP($B178,[5]BOE!$A$13:$R$35,16,FALSE)</f>
        <v>290</v>
      </c>
      <c r="K178" s="320">
        <f>VLOOKUP($B178,[5]BOE!$A$13:$R$35,17,FALSE)</f>
        <v>290</v>
      </c>
      <c r="L178" s="320">
        <f>VLOOKUP($B178,[5]BOE!$A$13:$R$35,18,FALSE)</f>
        <v>170</v>
      </c>
      <c r="M178" s="320">
        <f t="shared" si="107"/>
        <v>3480</v>
      </c>
      <c r="N178" s="320">
        <f t="shared" si="103"/>
        <v>3480</v>
      </c>
      <c r="O178" s="320">
        <f t="shared" si="104"/>
        <v>2040</v>
      </c>
      <c r="P178" s="28"/>
      <c r="Q178" s="28"/>
      <c r="R178" s="28"/>
      <c r="S178" s="28"/>
      <c r="T178" s="28"/>
      <c r="U178" s="28"/>
      <c r="V178" s="28"/>
      <c r="W178" s="28"/>
      <c r="X178" s="28"/>
      <c r="Y178" s="877">
        <f t="shared" si="108"/>
        <v>90480</v>
      </c>
      <c r="Z178">
        <f t="shared" si="109"/>
        <v>153816</v>
      </c>
      <c r="AA178" s="845"/>
      <c r="AB178" s="845"/>
      <c r="AC178" s="845"/>
      <c r="AD178" s="845"/>
      <c r="AE178" s="845"/>
      <c r="AF178" s="845"/>
      <c r="AG178" s="1011">
        <v>5000</v>
      </c>
      <c r="AH178" s="1011">
        <f t="shared" si="110"/>
        <v>158816</v>
      </c>
    </row>
    <row r="179" spans="1:35">
      <c r="A179" s="8"/>
      <c r="B179" s="195">
        <f t="shared" si="105"/>
        <v>7</v>
      </c>
      <c r="C179" s="109" t="str">
        <f>VLOOKUP(B179,[5]BOE!$A$13:$P$28,2,FALSE)</f>
        <v>CIS Training Supervisor</v>
      </c>
      <c r="D179" s="109"/>
      <c r="E179" s="2" t="s">
        <v>904</v>
      </c>
      <c r="F179" s="148">
        <v>0</v>
      </c>
      <c r="G179" s="110"/>
      <c r="H179" s="4" t="s">
        <v>623</v>
      </c>
      <c r="I179" s="148">
        <f t="shared" si="106"/>
        <v>750</v>
      </c>
      <c r="J179" s="320">
        <f>VLOOKUP($B179,[5]BOE!$A$13:$R$35,16,FALSE)</f>
        <v>290</v>
      </c>
      <c r="K179" s="320">
        <f>VLOOKUP($B179,[5]BOE!$A$13:$R$35,17,FALSE)</f>
        <v>290</v>
      </c>
      <c r="L179" s="320">
        <f>VLOOKUP($B179,[5]BOE!$A$13:$R$35,18,FALSE)</f>
        <v>170</v>
      </c>
      <c r="M179" s="320">
        <f t="shared" si="107"/>
        <v>3480</v>
      </c>
      <c r="N179" s="320">
        <f t="shared" si="103"/>
        <v>3480</v>
      </c>
      <c r="O179" s="320">
        <f t="shared" si="104"/>
        <v>2040</v>
      </c>
      <c r="P179" s="28"/>
      <c r="Q179" s="28"/>
      <c r="R179" s="28"/>
      <c r="S179" s="28"/>
      <c r="T179" s="28"/>
      <c r="U179" s="28"/>
      <c r="V179" s="28"/>
      <c r="W179" s="28"/>
      <c r="X179" s="28"/>
      <c r="Y179" s="877">
        <f t="shared" si="108"/>
        <v>0</v>
      </c>
      <c r="Z179">
        <f t="shared" si="109"/>
        <v>0</v>
      </c>
      <c r="AA179" s="1012">
        <v>921</v>
      </c>
      <c r="AB179" s="1011">
        <f t="shared" ref="AB179:AD182" si="111">AA179/$M$169</f>
        <v>76.75</v>
      </c>
      <c r="AC179" s="1012">
        <v>949</v>
      </c>
      <c r="AD179" s="1011">
        <f t="shared" si="111"/>
        <v>79.083333333333329</v>
      </c>
      <c r="AE179" s="1012">
        <v>972</v>
      </c>
      <c r="AF179" s="1011">
        <f>AE179/$M$169</f>
        <v>81</v>
      </c>
      <c r="AG179" s="1011"/>
      <c r="AH179" s="1011">
        <f t="shared" si="110"/>
        <v>0</v>
      </c>
    </row>
    <row r="180" spans="1:35">
      <c r="A180" s="8"/>
      <c r="B180" s="195">
        <f t="shared" si="105"/>
        <v>8</v>
      </c>
      <c r="C180" s="109" t="str">
        <f>VLOOKUP(B180,[5]BOE!$A$13:$P$28,2,FALSE)</f>
        <v>CIS Trainer</v>
      </c>
      <c r="D180" s="109"/>
      <c r="E180" s="2" t="s">
        <v>904</v>
      </c>
      <c r="F180" s="148">
        <v>0</v>
      </c>
      <c r="G180" s="110"/>
      <c r="H180" s="4" t="s">
        <v>623</v>
      </c>
      <c r="I180" s="148">
        <f t="shared" si="106"/>
        <v>750</v>
      </c>
      <c r="J180" s="320">
        <f>VLOOKUP($B180,[5]BOE!$A$13:$R$35,16,FALSE)</f>
        <v>290</v>
      </c>
      <c r="K180" s="320">
        <f>VLOOKUP($B180,[5]BOE!$A$13:$R$35,17,FALSE)</f>
        <v>290</v>
      </c>
      <c r="L180" s="320">
        <f>VLOOKUP($B180,[5]BOE!$A$13:$R$35,18,FALSE)</f>
        <v>170</v>
      </c>
      <c r="M180" s="320">
        <f t="shared" si="107"/>
        <v>3480</v>
      </c>
      <c r="N180" s="320">
        <f t="shared" si="103"/>
        <v>3480</v>
      </c>
      <c r="O180" s="320">
        <f t="shared" si="104"/>
        <v>2040</v>
      </c>
      <c r="P180" s="28"/>
      <c r="Q180" s="28"/>
      <c r="R180" s="28"/>
      <c r="S180" s="28"/>
      <c r="T180" s="28"/>
      <c r="U180" s="28"/>
      <c r="V180" s="28"/>
      <c r="W180" s="28"/>
      <c r="X180" s="28"/>
      <c r="Y180" s="877">
        <f t="shared" si="108"/>
        <v>0</v>
      </c>
      <c r="Z180">
        <f t="shared" si="109"/>
        <v>0</v>
      </c>
      <c r="AA180" s="1012">
        <v>785</v>
      </c>
      <c r="AB180" s="1011">
        <f t="shared" si="111"/>
        <v>65.416666666666671</v>
      </c>
      <c r="AC180" s="1012">
        <v>809</v>
      </c>
      <c r="AD180" s="1011">
        <f t="shared" si="111"/>
        <v>67.416666666666671</v>
      </c>
      <c r="AE180" s="1012">
        <v>829</v>
      </c>
      <c r="AF180" s="1011">
        <f>AE180/$M$169</f>
        <v>69.083333333333329</v>
      </c>
      <c r="AG180" s="1011"/>
      <c r="AH180" s="1011">
        <f t="shared" si="110"/>
        <v>0</v>
      </c>
    </row>
    <row r="181" spans="1:35">
      <c r="A181" s="8"/>
      <c r="B181" s="195">
        <f t="shared" si="105"/>
        <v>9</v>
      </c>
      <c r="C181" s="109" t="str">
        <f>VLOOKUP(B181,[5]BOE!$A$13:$P$28,2,FALSE)</f>
        <v>Radio Technician</v>
      </c>
      <c r="D181" s="109"/>
      <c r="E181" s="2" t="s">
        <v>904</v>
      </c>
      <c r="F181" s="148">
        <v>0</v>
      </c>
      <c r="G181" s="110"/>
      <c r="H181" s="4" t="s">
        <v>623</v>
      </c>
      <c r="I181" s="148">
        <f t="shared" si="106"/>
        <v>750</v>
      </c>
      <c r="J181" s="320">
        <f>VLOOKUP($B181,[5]BOE!$A$13:$R$35,16,FALSE)</f>
        <v>290</v>
      </c>
      <c r="K181" s="320">
        <f>VLOOKUP($B181,[5]BOE!$A$13:$R$35,17,FALSE)</f>
        <v>290</v>
      </c>
      <c r="L181" s="320">
        <f>VLOOKUP($B181,[5]BOE!$A$13:$R$35,18,FALSE)</f>
        <v>170</v>
      </c>
      <c r="M181" s="320">
        <f t="shared" si="107"/>
        <v>3480</v>
      </c>
      <c r="N181" s="320">
        <f t="shared" si="103"/>
        <v>3480</v>
      </c>
      <c r="O181" s="320">
        <f t="shared" si="104"/>
        <v>2040</v>
      </c>
      <c r="P181" s="28"/>
      <c r="Q181" s="28"/>
      <c r="R181" s="28"/>
      <c r="S181" s="49"/>
      <c r="T181" s="28"/>
      <c r="U181" s="28"/>
      <c r="V181" s="28"/>
      <c r="W181" s="28"/>
      <c r="X181" s="28"/>
      <c r="Y181" s="877">
        <f t="shared" si="108"/>
        <v>0</v>
      </c>
      <c r="Z181">
        <f t="shared" si="109"/>
        <v>0</v>
      </c>
      <c r="AA181" s="1012">
        <v>689</v>
      </c>
      <c r="AB181" s="1011">
        <f t="shared" si="111"/>
        <v>57.416666666666664</v>
      </c>
      <c r="AC181" s="1012">
        <v>709</v>
      </c>
      <c r="AD181" s="1011">
        <f t="shared" si="111"/>
        <v>59.083333333333336</v>
      </c>
      <c r="AE181" s="1012">
        <v>727</v>
      </c>
      <c r="AF181" s="1011">
        <f>AE181/$M$169</f>
        <v>60.583333333333336</v>
      </c>
      <c r="AG181" s="1011"/>
      <c r="AH181" s="1011">
        <f t="shared" si="110"/>
        <v>0</v>
      </c>
    </row>
    <row r="182" spans="1:35">
      <c r="A182" s="8"/>
      <c r="B182" s="195">
        <f t="shared" si="105"/>
        <v>10</v>
      </c>
      <c r="C182" s="109" t="str">
        <f>VLOOKUP(B182,[5]BOE!$A$13:$P$28,2,FALSE)</f>
        <v>Radio Technician</v>
      </c>
      <c r="D182" s="109"/>
      <c r="E182" s="2" t="s">
        <v>904</v>
      </c>
      <c r="F182" s="148">
        <v>0</v>
      </c>
      <c r="G182" s="110"/>
      <c r="H182" s="4" t="s">
        <v>623</v>
      </c>
      <c r="I182" s="148">
        <f t="shared" si="106"/>
        <v>750</v>
      </c>
      <c r="J182" s="320">
        <f>VLOOKUP($B182,[5]BOE!$A$13:$R$35,16,FALSE)</f>
        <v>290</v>
      </c>
      <c r="K182" s="320">
        <f>VLOOKUP($B182,[5]BOE!$A$13:$R$35,17,FALSE)</f>
        <v>290</v>
      </c>
      <c r="L182" s="320">
        <f>VLOOKUP($B182,[5]BOE!$A$13:$R$35,18,FALSE)</f>
        <v>170</v>
      </c>
      <c r="M182" s="320">
        <f t="shared" si="107"/>
        <v>3480</v>
      </c>
      <c r="N182" s="320">
        <f t="shared" si="103"/>
        <v>3480</v>
      </c>
      <c r="O182" s="320">
        <f t="shared" si="104"/>
        <v>2040</v>
      </c>
      <c r="P182" s="28"/>
      <c r="Q182" s="28"/>
      <c r="R182" s="28"/>
      <c r="S182" s="28"/>
      <c r="T182" s="28"/>
      <c r="U182" s="28"/>
      <c r="V182" s="28"/>
      <c r="W182" s="28"/>
      <c r="X182" s="28"/>
      <c r="Y182" s="877">
        <f t="shared" si="108"/>
        <v>0</v>
      </c>
      <c r="Z182">
        <f t="shared" si="109"/>
        <v>0</v>
      </c>
      <c r="AA182" s="1012">
        <v>689</v>
      </c>
      <c r="AB182" s="1011">
        <f t="shared" si="111"/>
        <v>57.416666666666664</v>
      </c>
      <c r="AC182" s="1012">
        <v>709</v>
      </c>
      <c r="AD182" s="1011">
        <f t="shared" si="111"/>
        <v>59.083333333333336</v>
      </c>
      <c r="AE182" s="1012">
        <v>727</v>
      </c>
      <c r="AF182" s="1011">
        <f>AE182/$M$169</f>
        <v>60.583333333333336</v>
      </c>
      <c r="AG182" s="1011"/>
      <c r="AH182" s="1011">
        <f t="shared" si="110"/>
        <v>0</v>
      </c>
    </row>
    <row r="183" spans="1:35">
      <c r="A183" s="8"/>
      <c r="B183" s="195">
        <f t="shared" si="105"/>
        <v>11</v>
      </c>
      <c r="C183" s="109" t="str">
        <f>VLOOKUP(B183,[5]BOE!$A$13:$P$28,2,FALSE)</f>
        <v>Network Administrator</v>
      </c>
      <c r="D183" s="109"/>
      <c r="E183" s="2" t="s">
        <v>643</v>
      </c>
      <c r="F183" s="148">
        <v>0</v>
      </c>
      <c r="G183" s="110">
        <v>27.5</v>
      </c>
      <c r="H183" s="4" t="s">
        <v>623</v>
      </c>
      <c r="I183" s="148">
        <f>SUM(J183:L183)</f>
        <v>750</v>
      </c>
      <c r="J183" s="320">
        <f>VLOOKUP($B183,[5]BOE!$A$13:$R$35,16,FALSE)</f>
        <v>290</v>
      </c>
      <c r="K183" s="320">
        <f>VLOOKUP($B183,[5]BOE!$A$13:$R$35,17,FALSE)</f>
        <v>290</v>
      </c>
      <c r="L183" s="320">
        <f>VLOOKUP($B183,[5]BOE!$A$13:$R$35,18,FALSE)</f>
        <v>170</v>
      </c>
      <c r="M183" s="320">
        <f t="shared" si="107"/>
        <v>3480</v>
      </c>
      <c r="N183" s="320">
        <f t="shared" si="103"/>
        <v>3480</v>
      </c>
      <c r="O183" s="320">
        <f t="shared" si="104"/>
        <v>2040</v>
      </c>
      <c r="P183" s="28"/>
      <c r="Q183" s="28"/>
      <c r="R183" s="28"/>
      <c r="S183" s="28"/>
      <c r="T183" s="28"/>
      <c r="U183" s="28"/>
      <c r="V183" s="28"/>
      <c r="W183" s="28"/>
      <c r="X183" s="28"/>
      <c r="Y183" s="877">
        <f t="shared" si="108"/>
        <v>95700</v>
      </c>
      <c r="Z183">
        <f t="shared" si="109"/>
        <v>162690</v>
      </c>
      <c r="AA183" s="845"/>
      <c r="AB183" s="845"/>
      <c r="AC183" s="845"/>
      <c r="AD183" s="845"/>
      <c r="AE183" s="845"/>
      <c r="AF183" s="845"/>
      <c r="AG183" s="1011">
        <v>5000</v>
      </c>
      <c r="AH183" s="1011">
        <f t="shared" si="110"/>
        <v>167690</v>
      </c>
    </row>
    <row r="184" spans="1:35">
      <c r="A184" s="8"/>
      <c r="B184" s="195">
        <f t="shared" si="105"/>
        <v>12</v>
      </c>
      <c r="C184" s="109" t="str">
        <f>VLOOKUP(B184,[5]BOE!$A$13:$P$28,2,FALSE)</f>
        <v>System Administrator</v>
      </c>
      <c r="D184" s="109"/>
      <c r="E184" s="2" t="s">
        <v>643</v>
      </c>
      <c r="F184" s="148">
        <v>0</v>
      </c>
      <c r="G184" s="110">
        <v>28</v>
      </c>
      <c r="H184" s="4" t="s">
        <v>623</v>
      </c>
      <c r="I184" s="148">
        <f>SUM(J184:L184)</f>
        <v>750</v>
      </c>
      <c r="J184" s="320">
        <f>VLOOKUP($B184,[5]BOE!$A$13:$R$35,16,FALSE)</f>
        <v>290</v>
      </c>
      <c r="K184" s="320">
        <f>VLOOKUP($B184,[5]BOE!$A$13:$R$35,17,FALSE)</f>
        <v>290</v>
      </c>
      <c r="L184" s="320">
        <f>VLOOKUP($B184,[5]BOE!$A$13:$R$35,18,FALSE)</f>
        <v>170</v>
      </c>
      <c r="M184" s="320">
        <f t="shared" si="107"/>
        <v>3480</v>
      </c>
      <c r="N184" s="320">
        <f t="shared" si="103"/>
        <v>3480</v>
      </c>
      <c r="O184" s="320">
        <f t="shared" si="104"/>
        <v>2040</v>
      </c>
      <c r="P184" s="28"/>
      <c r="Q184" s="28"/>
      <c r="R184" s="28"/>
      <c r="S184" s="28"/>
      <c r="T184" s="28"/>
      <c r="U184" s="28"/>
      <c r="V184" s="28"/>
      <c r="W184" s="28"/>
      <c r="X184" s="28"/>
      <c r="Y184" s="877">
        <f t="shared" si="108"/>
        <v>97440</v>
      </c>
      <c r="Z184">
        <f t="shared" si="109"/>
        <v>165648</v>
      </c>
      <c r="AG184" s="1011">
        <v>5000</v>
      </c>
      <c r="AH184" s="1011">
        <f t="shared" si="110"/>
        <v>170648</v>
      </c>
    </row>
    <row r="185" spans="1:35">
      <c r="A185" s="8"/>
      <c r="B185" s="195">
        <f t="shared" si="105"/>
        <v>13</v>
      </c>
      <c r="C185" s="109" t="str">
        <f>VLOOKUP(B185,[5]BOE!$A$13:$P$28,2,FALSE)</f>
        <v>Configuration Manager</v>
      </c>
      <c r="D185" s="109"/>
      <c r="E185" s="2" t="s">
        <v>643</v>
      </c>
      <c r="F185" s="148">
        <v>0</v>
      </c>
      <c r="G185" s="110">
        <v>26</v>
      </c>
      <c r="H185" s="4" t="s">
        <v>623</v>
      </c>
      <c r="I185" s="148">
        <f>SUM(J185:L185)</f>
        <v>750</v>
      </c>
      <c r="J185" s="320">
        <f>VLOOKUP($B185,[5]BOE!$A$13:$R$35,16,FALSE)</f>
        <v>290</v>
      </c>
      <c r="K185" s="320">
        <f>VLOOKUP($B185,[5]BOE!$A$13:$R$35,17,FALSE)</f>
        <v>290</v>
      </c>
      <c r="L185" s="320">
        <f>VLOOKUP($B185,[5]BOE!$A$13:$R$35,18,FALSE)</f>
        <v>170</v>
      </c>
      <c r="M185" s="320">
        <f t="shared" si="107"/>
        <v>3480</v>
      </c>
      <c r="N185" s="320">
        <f t="shared" si="103"/>
        <v>3480</v>
      </c>
      <c r="O185" s="320">
        <f t="shared" si="104"/>
        <v>2040</v>
      </c>
      <c r="P185" s="28"/>
      <c r="Q185" s="28"/>
      <c r="R185" s="28"/>
      <c r="S185" s="28"/>
      <c r="T185" s="28"/>
      <c r="U185" s="28"/>
      <c r="V185" s="28"/>
      <c r="W185" s="28"/>
      <c r="X185" s="28"/>
      <c r="Y185" s="877">
        <f t="shared" si="108"/>
        <v>90480</v>
      </c>
      <c r="Z185">
        <f t="shared" si="109"/>
        <v>153816</v>
      </c>
      <c r="AG185" s="1011">
        <v>5000</v>
      </c>
      <c r="AH185" s="1011">
        <f t="shared" si="110"/>
        <v>158816</v>
      </c>
    </row>
    <row r="186" spans="1:35">
      <c r="A186" s="8"/>
      <c r="B186" s="195">
        <f t="shared" si="105"/>
        <v>14</v>
      </c>
      <c r="C186" s="109" t="str">
        <f>VLOOKUP(B186,[5]BOE!$A$13:$P$28,2,FALSE)</f>
        <v>Hardware Technician</v>
      </c>
      <c r="D186" s="109"/>
      <c r="E186" s="2" t="s">
        <v>643</v>
      </c>
      <c r="F186" s="148">
        <v>0</v>
      </c>
      <c r="G186" s="110">
        <v>26</v>
      </c>
      <c r="H186" s="4" t="s">
        <v>623</v>
      </c>
      <c r="I186" s="148">
        <f>SUM(J186:L186)</f>
        <v>750</v>
      </c>
      <c r="J186" s="320">
        <f>VLOOKUP($B186,[5]BOE!$A$13:$R$35,16,FALSE)</f>
        <v>290</v>
      </c>
      <c r="K186" s="320">
        <f>VLOOKUP($B186,[5]BOE!$A$13:$R$35,17,FALSE)</f>
        <v>290</v>
      </c>
      <c r="L186" s="320">
        <f>VLOOKUP($B186,[5]BOE!$A$13:$R$35,18,FALSE)</f>
        <v>170</v>
      </c>
      <c r="M186" s="320">
        <f t="shared" si="107"/>
        <v>3480</v>
      </c>
      <c r="N186" s="320">
        <f t="shared" si="103"/>
        <v>3480</v>
      </c>
      <c r="O186" s="320">
        <f t="shared" si="104"/>
        <v>2040</v>
      </c>
      <c r="P186" s="28"/>
      <c r="Q186" s="28"/>
      <c r="R186" s="28"/>
      <c r="S186" s="28"/>
      <c r="T186" s="28"/>
      <c r="U186" s="28"/>
      <c r="V186" s="28"/>
      <c r="W186" s="28"/>
      <c r="X186" s="28"/>
      <c r="Y186" s="877">
        <f t="shared" si="108"/>
        <v>90480</v>
      </c>
      <c r="Z186">
        <f t="shared" si="109"/>
        <v>153816</v>
      </c>
      <c r="AG186" s="1011">
        <v>5000</v>
      </c>
      <c r="AH186" s="1011">
        <f t="shared" si="110"/>
        <v>158816</v>
      </c>
    </row>
    <row r="187" spans="1:35">
      <c r="A187" s="8"/>
      <c r="B187" s="195">
        <f t="shared" si="105"/>
        <v>15</v>
      </c>
      <c r="C187" s="109" t="str">
        <f>VLOOKUP(B187,[5]BOE!$A$13:$P$28,2,FALSE)</f>
        <v>Repair/Exchange Specialist</v>
      </c>
      <c r="D187" s="109"/>
      <c r="E187" s="2" t="s">
        <v>643</v>
      </c>
      <c r="F187" s="148">
        <v>0</v>
      </c>
      <c r="G187" s="110">
        <v>25</v>
      </c>
      <c r="H187" s="4" t="s">
        <v>623</v>
      </c>
      <c r="I187" s="148">
        <f>SUM(J187:L187)</f>
        <v>750</v>
      </c>
      <c r="J187" s="320">
        <f>VLOOKUP($B187,[5]BOE!$A$13:$R$35,16,FALSE)</f>
        <v>290</v>
      </c>
      <c r="K187" s="320">
        <f>VLOOKUP($B187,[5]BOE!$A$13:$R$35,17,FALSE)</f>
        <v>290</v>
      </c>
      <c r="L187" s="320">
        <f>VLOOKUP($B187,[5]BOE!$A$13:$R$35,18,FALSE)</f>
        <v>170</v>
      </c>
      <c r="M187" s="320">
        <f t="shared" si="107"/>
        <v>3480</v>
      </c>
      <c r="N187" s="320">
        <f t="shared" si="103"/>
        <v>3480</v>
      </c>
      <c r="O187" s="320">
        <f t="shared" si="104"/>
        <v>2040</v>
      </c>
      <c r="P187" s="28"/>
      <c r="Q187" s="28"/>
      <c r="R187" s="28"/>
      <c r="S187" s="28"/>
      <c r="T187" s="28"/>
      <c r="U187" s="28"/>
      <c r="V187" s="28"/>
      <c r="W187" s="28"/>
      <c r="X187" s="28"/>
      <c r="Y187" s="877">
        <f t="shared" si="108"/>
        <v>87000</v>
      </c>
      <c r="Z187">
        <f t="shared" si="109"/>
        <v>147900</v>
      </c>
      <c r="AG187" s="1011">
        <v>5000</v>
      </c>
      <c r="AH187" s="1011">
        <f t="shared" si="110"/>
        <v>152900</v>
      </c>
    </row>
    <row r="188" spans="1:35">
      <c r="A188" s="8"/>
      <c r="B188" s="195"/>
      <c r="C188" s="109"/>
      <c r="D188" s="109"/>
      <c r="E188" s="2"/>
      <c r="F188" s="148"/>
      <c r="G188" s="110"/>
      <c r="H188" s="4"/>
      <c r="I188" s="148"/>
      <c r="J188" s="320"/>
      <c r="K188" s="320"/>
      <c r="L188" s="320"/>
      <c r="M188" s="60"/>
      <c r="N188" s="62"/>
      <c r="O188" s="28"/>
      <c r="P188" s="28"/>
      <c r="Q188" s="28"/>
      <c r="R188" s="28"/>
      <c r="S188" s="28"/>
      <c r="T188" s="28"/>
      <c r="U188" s="28"/>
      <c r="V188" s="28"/>
      <c r="W188" s="28"/>
      <c r="X188" s="28"/>
    </row>
    <row r="189" spans="1:35" s="4" customFormat="1">
      <c r="A189" s="6"/>
      <c r="B189" s="195">
        <v>16</v>
      </c>
      <c r="C189" s="109" t="s">
        <v>995</v>
      </c>
      <c r="D189" s="109"/>
      <c r="E189" s="1089" t="s">
        <v>643</v>
      </c>
      <c r="F189" s="148" t="s">
        <v>998</v>
      </c>
      <c r="G189" s="110">
        <f>VLOOKUP(F189,[8]sheet1!$B$3:$C$7653,2,FALSE)</f>
        <v>108.5</v>
      </c>
      <c r="H189" s="4" t="s">
        <v>641</v>
      </c>
      <c r="I189" s="320">
        <f>SUM(I173:I187)</f>
        <v>11250</v>
      </c>
      <c r="J189" s="320">
        <f t="shared" ref="J189:O189" si="112">SUM(J173:J187)</f>
        <v>4350</v>
      </c>
      <c r="K189" s="320">
        <f t="shared" si="112"/>
        <v>4350</v>
      </c>
      <c r="L189" s="320">
        <f t="shared" si="112"/>
        <v>2550</v>
      </c>
      <c r="M189" s="320">
        <f t="shared" si="112"/>
        <v>52200</v>
      </c>
      <c r="N189" s="320">
        <f t="shared" si="112"/>
        <v>52200</v>
      </c>
      <c r="O189" s="320">
        <f t="shared" si="112"/>
        <v>30600</v>
      </c>
      <c r="P189" s="28"/>
      <c r="Q189" s="28"/>
      <c r="R189" s="28"/>
      <c r="S189" s="49"/>
      <c r="T189" s="28"/>
      <c r="U189" s="28"/>
      <c r="V189" s="28"/>
      <c r="W189" s="28"/>
      <c r="X189" s="28"/>
      <c r="AI189" s="140"/>
    </row>
    <row r="190" spans="1:35" s="4" customFormat="1">
      <c r="A190" s="6"/>
      <c r="B190" s="195">
        <v>17</v>
      </c>
      <c r="C190" s="109" t="s">
        <v>996</v>
      </c>
      <c r="D190" s="109"/>
      <c r="E190" s="2" t="s">
        <v>997</v>
      </c>
      <c r="F190" s="148"/>
      <c r="G190" s="110"/>
      <c r="I190" s="9"/>
      <c r="J190" s="9"/>
      <c r="K190" s="58"/>
      <c r="L190" s="58"/>
      <c r="M190" s="60"/>
      <c r="N190" s="62"/>
      <c r="O190" s="28"/>
      <c r="P190" s="28"/>
      <c r="Q190" s="28"/>
      <c r="R190" s="28"/>
      <c r="S190" s="49"/>
      <c r="T190" s="28"/>
      <c r="U190" s="28"/>
      <c r="V190" s="28"/>
      <c r="W190" s="28"/>
      <c r="X190" s="28"/>
      <c r="AI190" s="140"/>
    </row>
    <row r="191" spans="1:35" s="4" customFormat="1">
      <c r="A191" s="6"/>
      <c r="B191" s="195"/>
      <c r="C191" s="109"/>
      <c r="D191" s="109"/>
      <c r="E191" s="2"/>
      <c r="F191" s="148"/>
      <c r="G191" s="110"/>
      <c r="I191" s="9"/>
      <c r="J191" s="9"/>
      <c r="K191" s="58"/>
      <c r="L191" s="58"/>
      <c r="M191" s="60"/>
      <c r="N191" s="62"/>
      <c r="O191" s="28"/>
      <c r="P191" s="28"/>
      <c r="Q191" s="28"/>
      <c r="R191" s="28"/>
      <c r="S191" s="49"/>
      <c r="T191" s="28"/>
      <c r="U191" s="28"/>
      <c r="V191" s="28"/>
      <c r="W191" s="28"/>
      <c r="X191" s="28"/>
      <c r="AI191" s="140"/>
    </row>
    <row r="192" spans="1:35" s="4" customFormat="1">
      <c r="A192" s="6"/>
      <c r="B192" s="195"/>
      <c r="C192" s="109"/>
      <c r="D192" s="109"/>
      <c r="E192" s="2"/>
      <c r="F192" s="148"/>
      <c r="G192" s="110"/>
      <c r="I192" s="9"/>
      <c r="J192" s="9"/>
      <c r="K192" s="58"/>
      <c r="L192" s="58"/>
      <c r="M192" s="60"/>
      <c r="N192" s="62"/>
      <c r="O192" s="28"/>
      <c r="P192" s="28"/>
      <c r="Q192" s="28"/>
      <c r="R192" s="28"/>
      <c r="S192" s="49"/>
      <c r="T192" s="28"/>
      <c r="U192" s="28"/>
      <c r="V192" s="28"/>
      <c r="W192" s="28"/>
      <c r="X192" s="28"/>
      <c r="AI192" s="140"/>
    </row>
    <row r="193" spans="2:24">
      <c r="B193" s="195"/>
      <c r="C193" s="109"/>
      <c r="D193" s="109"/>
      <c r="E193" s="2"/>
      <c r="F193" s="148"/>
      <c r="G193" s="110"/>
      <c r="H193" s="4"/>
      <c r="I193" s="9"/>
      <c r="J193" s="321">
        <v>29</v>
      </c>
      <c r="K193" s="58"/>
      <c r="L193" s="58"/>
      <c r="M193" s="60"/>
      <c r="N193" s="62"/>
      <c r="O193" s="28"/>
      <c r="P193" s="28"/>
      <c r="Q193" s="28"/>
      <c r="R193" s="28"/>
      <c r="S193" s="28"/>
      <c r="T193" s="28"/>
      <c r="U193" s="28"/>
      <c r="V193" s="28"/>
      <c r="W193" s="28"/>
      <c r="X193" s="28"/>
    </row>
    <row r="194" spans="2:24">
      <c r="B194" s="195"/>
      <c r="C194" s="109"/>
      <c r="D194" s="109"/>
      <c r="E194" s="2"/>
      <c r="F194" s="148"/>
      <c r="G194" s="110"/>
      <c r="H194" s="4"/>
      <c r="I194" s="9"/>
      <c r="J194" s="321">
        <v>33.81</v>
      </c>
      <c r="K194" s="58"/>
      <c r="L194" s="58"/>
      <c r="M194" s="60"/>
      <c r="N194" s="62"/>
      <c r="O194" s="28"/>
      <c r="P194" s="28"/>
      <c r="Q194" s="28"/>
      <c r="R194" s="28"/>
      <c r="S194" s="28"/>
      <c r="T194" s="28"/>
      <c r="U194" s="28"/>
      <c r="V194" s="28"/>
      <c r="W194" s="28"/>
      <c r="X194" s="28"/>
    </row>
    <row r="195" spans="2:24">
      <c r="B195" s="195"/>
      <c r="C195" s="109"/>
      <c r="D195" s="109"/>
      <c r="E195" s="2"/>
      <c r="F195" s="148"/>
      <c r="G195" s="110"/>
      <c r="H195" s="4"/>
      <c r="I195" s="9"/>
      <c r="J195" s="321">
        <v>33.81</v>
      </c>
      <c r="K195" s="58"/>
      <c r="L195" s="58"/>
      <c r="M195" s="60"/>
      <c r="N195" s="62"/>
      <c r="O195" s="28"/>
      <c r="P195" s="28"/>
      <c r="Q195" s="28"/>
      <c r="R195" s="28"/>
      <c r="S195" s="28"/>
      <c r="T195" s="28"/>
      <c r="U195" s="28"/>
      <c r="V195" s="28"/>
      <c r="W195" s="28"/>
      <c r="X195" s="28"/>
    </row>
    <row r="196" spans="2:24">
      <c r="B196" s="195"/>
      <c r="C196" s="109"/>
      <c r="D196" s="109"/>
      <c r="E196" s="2"/>
      <c r="F196" s="148"/>
      <c r="G196" s="110"/>
      <c r="H196" s="4"/>
      <c r="I196" s="9"/>
      <c r="J196" s="321"/>
      <c r="K196" s="58"/>
      <c r="L196" s="58"/>
      <c r="M196" s="60"/>
      <c r="N196" s="62"/>
      <c r="O196" s="28"/>
      <c r="P196" s="28"/>
      <c r="Q196" s="28"/>
      <c r="R196" s="28"/>
      <c r="S196" s="28"/>
      <c r="T196" s="28"/>
      <c r="U196" s="28"/>
      <c r="V196" s="28"/>
      <c r="W196" s="28"/>
      <c r="X196" s="28"/>
    </row>
    <row r="197" spans="2:24">
      <c r="B197" s="195"/>
      <c r="C197" s="109"/>
      <c r="D197" s="109"/>
      <c r="E197" s="2"/>
      <c r="F197" s="148"/>
      <c r="G197" s="110"/>
      <c r="H197" s="4"/>
      <c r="I197" s="9"/>
      <c r="J197" s="321">
        <v>27</v>
      </c>
      <c r="K197" s="58"/>
      <c r="L197" s="58"/>
      <c r="M197" s="60"/>
      <c r="N197" s="62"/>
      <c r="O197" s="28"/>
      <c r="P197" s="28"/>
      <c r="Q197" s="28"/>
      <c r="R197" s="28"/>
      <c r="S197" s="28"/>
      <c r="T197" s="28"/>
      <c r="U197" s="28"/>
      <c r="V197" s="28"/>
      <c r="W197" s="28"/>
      <c r="X197" s="28"/>
    </row>
    <row r="198" spans="2:24">
      <c r="B198" s="195"/>
      <c r="C198" s="109"/>
      <c r="D198" s="109"/>
      <c r="E198" s="2"/>
      <c r="F198" s="148"/>
      <c r="G198" s="110"/>
      <c r="H198" s="4"/>
      <c r="I198" s="9"/>
      <c r="J198" s="321">
        <v>27</v>
      </c>
      <c r="K198" s="58"/>
      <c r="L198" s="58"/>
      <c r="M198" s="60"/>
      <c r="N198" s="62"/>
      <c r="O198" s="28"/>
      <c r="P198" s="28"/>
      <c r="Q198" s="28"/>
      <c r="R198" s="28"/>
      <c r="S198" s="28"/>
      <c r="T198" s="28"/>
      <c r="U198" s="28"/>
      <c r="V198" s="28"/>
      <c r="W198" s="28"/>
      <c r="X198" s="28"/>
    </row>
    <row r="199" spans="2:24">
      <c r="B199" s="195"/>
      <c r="C199" s="109"/>
      <c r="D199" s="109"/>
      <c r="E199" s="2"/>
      <c r="F199" s="148"/>
      <c r="G199" s="110"/>
      <c r="H199" s="4"/>
      <c r="I199" s="9"/>
      <c r="J199" s="321"/>
      <c r="K199" s="58"/>
      <c r="L199" s="58"/>
      <c r="M199" s="60"/>
      <c r="N199" s="62"/>
      <c r="O199" s="28"/>
      <c r="P199" s="28"/>
      <c r="Q199" s="28"/>
      <c r="R199" s="28"/>
      <c r="S199" s="28"/>
      <c r="T199" s="28"/>
      <c r="U199" s="28"/>
      <c r="V199" s="28"/>
      <c r="W199" s="28"/>
      <c r="X199" s="28"/>
    </row>
    <row r="200" spans="2:24">
      <c r="B200" s="195"/>
      <c r="C200" s="109"/>
      <c r="D200" s="109"/>
      <c r="E200" s="2"/>
      <c r="F200" s="148"/>
      <c r="G200" s="110"/>
      <c r="H200" s="4"/>
      <c r="I200" s="9"/>
      <c r="J200" s="321"/>
      <c r="K200" s="58"/>
      <c r="L200" s="58"/>
      <c r="M200" s="60"/>
      <c r="N200" s="62"/>
      <c r="O200" s="28"/>
      <c r="P200" s="28"/>
      <c r="Q200" s="28"/>
      <c r="R200" s="28"/>
      <c r="S200" s="28"/>
      <c r="T200" s="28"/>
      <c r="U200" s="28"/>
      <c r="V200" s="28"/>
      <c r="W200" s="28"/>
      <c r="X200" s="28"/>
    </row>
    <row r="201" spans="2:24">
      <c r="B201" s="195"/>
      <c r="C201" s="109"/>
      <c r="D201" s="109"/>
      <c r="E201" s="2"/>
      <c r="F201" s="148"/>
      <c r="G201" s="110"/>
      <c r="H201" s="4"/>
      <c r="I201" s="9"/>
      <c r="J201" s="321"/>
      <c r="K201" s="58"/>
      <c r="L201" s="58"/>
      <c r="M201" s="60"/>
      <c r="N201" s="62"/>
      <c r="O201" s="28"/>
      <c r="P201" s="28"/>
      <c r="Q201" s="28"/>
      <c r="R201" s="28"/>
      <c r="S201" s="28"/>
      <c r="T201" s="28"/>
      <c r="U201" s="28"/>
      <c r="V201" s="28"/>
      <c r="W201" s="28"/>
      <c r="X201" s="28"/>
    </row>
    <row r="202" spans="2:24">
      <c r="B202" s="195"/>
      <c r="C202" s="109"/>
      <c r="D202" s="109"/>
      <c r="E202" s="2"/>
      <c r="F202" s="148"/>
      <c r="G202" s="110"/>
      <c r="H202" s="4"/>
      <c r="I202" s="9"/>
      <c r="J202" s="321"/>
      <c r="K202" s="58"/>
      <c r="L202" s="58"/>
      <c r="M202" s="60"/>
      <c r="N202" s="62"/>
      <c r="O202" s="28"/>
      <c r="P202" s="28"/>
      <c r="Q202" s="28"/>
      <c r="R202" s="28"/>
      <c r="S202" s="28"/>
      <c r="T202" s="28"/>
      <c r="U202" s="28"/>
      <c r="V202" s="28"/>
      <c r="W202" s="28"/>
      <c r="X202" s="28"/>
    </row>
    <row r="203" spans="2:24">
      <c r="B203" s="195"/>
      <c r="C203" s="109"/>
      <c r="D203" s="109"/>
      <c r="E203" s="2"/>
      <c r="F203" s="148"/>
      <c r="G203" s="110"/>
      <c r="H203" s="4"/>
      <c r="I203" s="9"/>
      <c r="J203" s="321">
        <v>30</v>
      </c>
      <c r="K203" s="58"/>
      <c r="L203" s="58"/>
      <c r="M203" s="60"/>
      <c r="N203" s="62"/>
      <c r="O203" s="28"/>
      <c r="P203" s="28"/>
      <c r="Q203" s="28"/>
      <c r="R203" s="28"/>
      <c r="S203" s="28"/>
      <c r="T203" s="28"/>
      <c r="U203" s="28"/>
      <c r="V203" s="28"/>
      <c r="W203" s="28"/>
      <c r="X203" s="28"/>
    </row>
    <row r="204" spans="2:24">
      <c r="B204" s="195"/>
      <c r="C204" s="109"/>
      <c r="D204" s="109"/>
      <c r="E204" s="2"/>
      <c r="F204" s="148"/>
      <c r="G204" s="110"/>
      <c r="H204" s="4"/>
      <c r="I204" s="9"/>
      <c r="J204" s="321">
        <v>29</v>
      </c>
      <c r="K204" s="58"/>
      <c r="L204" s="58"/>
      <c r="M204" s="60"/>
      <c r="N204" s="62"/>
      <c r="O204" s="28"/>
      <c r="P204" s="28"/>
      <c r="Q204" s="28"/>
      <c r="R204" s="28"/>
      <c r="S204" s="28"/>
      <c r="T204" s="28"/>
      <c r="U204" s="28"/>
      <c r="V204" s="28"/>
      <c r="W204" s="28"/>
      <c r="X204" s="28"/>
    </row>
    <row r="205" spans="2:24">
      <c r="B205" s="195"/>
      <c r="C205" s="109"/>
      <c r="D205" s="109"/>
      <c r="E205" s="2"/>
      <c r="F205" s="148"/>
      <c r="G205" s="110"/>
      <c r="H205" s="4"/>
      <c r="I205" s="9"/>
      <c r="J205" s="321">
        <v>29</v>
      </c>
      <c r="K205" s="58"/>
      <c r="L205" s="58"/>
      <c r="M205" s="60"/>
      <c r="N205" s="62"/>
      <c r="O205" s="28"/>
      <c r="P205" s="28"/>
      <c r="Q205" s="28"/>
      <c r="R205" s="28"/>
      <c r="S205" s="28"/>
      <c r="T205" s="28"/>
      <c r="U205" s="28"/>
      <c r="V205" s="28"/>
      <c r="W205" s="28"/>
      <c r="X205" s="28"/>
    </row>
    <row r="206" spans="2:24">
      <c r="B206" s="195"/>
      <c r="C206" s="109"/>
      <c r="D206" s="109"/>
      <c r="E206" s="2"/>
      <c r="F206" s="148"/>
      <c r="G206" s="110"/>
      <c r="H206" s="4"/>
      <c r="I206" s="9"/>
      <c r="J206" s="321">
        <v>29</v>
      </c>
      <c r="K206" s="58"/>
      <c r="L206" s="58"/>
      <c r="M206" s="60"/>
      <c r="N206" s="62"/>
      <c r="O206" s="28"/>
      <c r="P206" s="28"/>
      <c r="Q206" s="28"/>
      <c r="R206" s="28"/>
      <c r="S206" s="28"/>
      <c r="T206" s="28"/>
      <c r="U206" s="28"/>
      <c r="V206" s="28"/>
      <c r="W206" s="28"/>
      <c r="X206" s="28"/>
    </row>
    <row r="207" spans="2:24">
      <c r="B207" s="195"/>
      <c r="C207" s="109"/>
      <c r="D207" s="109"/>
      <c r="E207" s="2"/>
      <c r="F207" s="148"/>
      <c r="G207" s="110"/>
      <c r="H207" s="4"/>
      <c r="I207" s="9"/>
      <c r="J207" s="321">
        <v>27</v>
      </c>
      <c r="K207" s="58"/>
      <c r="L207" s="58"/>
      <c r="M207" s="60"/>
      <c r="N207" s="62"/>
      <c r="O207" s="28"/>
      <c r="P207" s="28"/>
      <c r="Q207" s="28"/>
      <c r="R207" s="28"/>
      <c r="S207" s="28"/>
      <c r="T207" s="28"/>
      <c r="U207" s="28"/>
      <c r="V207" s="28"/>
      <c r="W207" s="28"/>
      <c r="X207" s="28"/>
    </row>
    <row r="208" spans="2:24">
      <c r="B208" s="195"/>
      <c r="C208" s="109"/>
      <c r="D208" s="109"/>
      <c r="E208" s="2"/>
      <c r="F208" s="148"/>
      <c r="G208" s="110"/>
      <c r="H208" s="4"/>
      <c r="I208" s="9"/>
      <c r="J208" s="9"/>
      <c r="K208" s="58"/>
      <c r="L208" s="58"/>
      <c r="M208" s="60"/>
      <c r="N208" s="62"/>
      <c r="O208" s="28"/>
      <c r="P208" s="28"/>
      <c r="Q208" s="28"/>
      <c r="R208" s="28"/>
      <c r="S208" s="28"/>
      <c r="T208" s="28"/>
      <c r="U208" s="28"/>
      <c r="V208" s="28"/>
      <c r="W208" s="28"/>
      <c r="X208" s="28"/>
    </row>
    <row r="209" spans="2:24">
      <c r="B209" s="195"/>
      <c r="C209" s="109"/>
      <c r="D209" s="109"/>
      <c r="E209" s="2"/>
      <c r="F209" s="148"/>
      <c r="G209" s="110"/>
      <c r="H209" s="4"/>
      <c r="I209" s="9"/>
      <c r="J209" s="9"/>
      <c r="K209" s="58"/>
      <c r="L209" s="58"/>
      <c r="M209" s="60"/>
      <c r="N209" s="62"/>
      <c r="O209" s="28"/>
      <c r="P209" s="28"/>
      <c r="Q209" s="28"/>
      <c r="R209" s="28"/>
      <c r="S209" s="28"/>
      <c r="T209" s="28"/>
      <c r="U209" s="28"/>
      <c r="V209" s="28"/>
      <c r="W209" s="28"/>
      <c r="X209" s="28"/>
    </row>
    <row r="210" spans="2:24">
      <c r="B210" s="195"/>
      <c r="C210" s="109"/>
      <c r="D210" s="109"/>
      <c r="E210" s="2"/>
      <c r="F210" s="148"/>
      <c r="G210" s="110"/>
      <c r="H210" s="4"/>
      <c r="I210" s="9"/>
      <c r="J210" s="9"/>
      <c r="K210" s="58"/>
      <c r="L210" s="58"/>
      <c r="M210" s="60"/>
      <c r="N210" s="62"/>
      <c r="O210" s="28"/>
      <c r="P210" s="28"/>
      <c r="Q210" s="28"/>
      <c r="R210" s="28"/>
      <c r="S210" s="28"/>
      <c r="T210" s="28"/>
      <c r="U210" s="28"/>
      <c r="V210" s="28"/>
      <c r="W210" s="28"/>
      <c r="X210" s="28"/>
    </row>
    <row r="211" spans="2:24">
      <c r="B211" s="195"/>
      <c r="C211" s="109"/>
      <c r="D211" s="109"/>
      <c r="E211" s="2"/>
      <c r="F211" s="148"/>
      <c r="G211" s="110"/>
      <c r="H211" s="4"/>
      <c r="I211" s="9"/>
      <c r="J211" s="9"/>
      <c r="K211" s="58"/>
      <c r="L211" s="58"/>
      <c r="M211" s="60"/>
      <c r="N211" s="62"/>
      <c r="O211" s="28"/>
      <c r="P211" s="28"/>
      <c r="Q211" s="28"/>
      <c r="R211" s="28"/>
      <c r="S211" s="28"/>
      <c r="T211" s="28"/>
      <c r="U211" s="28"/>
      <c r="V211" s="28"/>
      <c r="W211" s="28"/>
      <c r="X211" s="28"/>
    </row>
    <row r="212" spans="2:24">
      <c r="B212" s="195"/>
      <c r="C212" s="109"/>
      <c r="D212" s="109"/>
      <c r="E212" s="2"/>
      <c r="F212" s="148"/>
      <c r="G212" s="110"/>
      <c r="H212" s="4"/>
      <c r="I212" s="9"/>
      <c r="J212" s="9"/>
      <c r="K212" s="58"/>
      <c r="L212" s="58"/>
      <c r="M212" s="60"/>
      <c r="N212" s="62"/>
      <c r="O212" s="28"/>
      <c r="P212" s="28"/>
      <c r="Q212" s="28"/>
      <c r="R212" s="28"/>
      <c r="S212" s="28"/>
      <c r="T212" s="28"/>
      <c r="U212" s="28"/>
      <c r="V212" s="28"/>
      <c r="W212" s="28"/>
      <c r="X212" s="28"/>
    </row>
    <row r="213" spans="2:24">
      <c r="B213" s="195"/>
      <c r="C213" s="109"/>
      <c r="D213" s="109"/>
      <c r="E213" s="2"/>
      <c r="F213" s="148"/>
      <c r="G213" s="110"/>
      <c r="H213" s="4"/>
      <c r="I213" s="9"/>
      <c r="J213" s="9"/>
      <c r="K213" s="58"/>
      <c r="L213" s="58"/>
      <c r="M213" s="60"/>
      <c r="N213" s="62"/>
      <c r="O213" s="28"/>
      <c r="P213" s="28"/>
      <c r="Q213" s="28"/>
      <c r="R213" s="28"/>
      <c r="S213" s="28"/>
      <c r="T213" s="28"/>
      <c r="U213" s="28"/>
      <c r="V213" s="28"/>
      <c r="W213" s="28"/>
      <c r="X213" s="28"/>
    </row>
    <row r="214" spans="2:24">
      <c r="B214" s="195"/>
      <c r="C214" s="109"/>
      <c r="D214" s="109"/>
      <c r="E214" s="2"/>
      <c r="F214" s="148"/>
      <c r="G214" s="110"/>
      <c r="H214" s="4"/>
      <c r="I214" s="9"/>
      <c r="J214" s="9"/>
      <c r="K214" s="58"/>
      <c r="L214" s="58"/>
      <c r="M214" s="60"/>
      <c r="N214" s="62"/>
      <c r="O214" s="28"/>
      <c r="P214" s="28"/>
      <c r="Q214" s="28"/>
      <c r="R214" s="28"/>
      <c r="S214" s="28"/>
      <c r="T214" s="28"/>
      <c r="U214" s="28"/>
      <c r="V214" s="28"/>
      <c r="W214" s="28"/>
      <c r="X214" s="28"/>
    </row>
    <row r="215" spans="2:24">
      <c r="B215" s="195"/>
      <c r="C215" s="109"/>
      <c r="D215" s="109"/>
      <c r="E215" s="2"/>
      <c r="F215" s="148"/>
      <c r="G215" s="110"/>
      <c r="H215" s="4"/>
      <c r="I215" s="9"/>
      <c r="J215" s="9"/>
      <c r="K215" s="58"/>
      <c r="L215" s="58"/>
      <c r="M215" s="60"/>
      <c r="N215" s="62"/>
      <c r="O215" s="28"/>
      <c r="P215" s="28"/>
      <c r="Q215" s="28"/>
      <c r="R215" s="28"/>
      <c r="S215" s="28"/>
      <c r="T215" s="28"/>
      <c r="U215" s="28"/>
      <c r="V215" s="28"/>
      <c r="W215" s="28"/>
      <c r="X215" s="28"/>
    </row>
    <row r="216" spans="2:24">
      <c r="B216" s="195"/>
      <c r="C216" s="109"/>
      <c r="D216" s="109"/>
      <c r="E216" s="2"/>
      <c r="F216" s="148"/>
      <c r="G216" s="110"/>
      <c r="H216" s="4"/>
      <c r="I216" s="9"/>
      <c r="J216" s="9"/>
      <c r="K216" s="58"/>
      <c r="L216" s="58"/>
      <c r="M216" s="60"/>
      <c r="N216" s="62"/>
      <c r="O216" s="28"/>
      <c r="P216" s="28"/>
      <c r="Q216" s="28"/>
      <c r="R216" s="28"/>
      <c r="S216" s="28"/>
      <c r="T216" s="28"/>
      <c r="U216" s="28"/>
      <c r="V216" s="28"/>
      <c r="W216" s="28"/>
      <c r="X216" s="28"/>
    </row>
    <row r="217" spans="2:24">
      <c r="B217" s="195"/>
      <c r="C217" s="109"/>
      <c r="D217" s="109"/>
      <c r="E217" s="2"/>
      <c r="F217" s="148"/>
      <c r="G217" s="110"/>
      <c r="H217" s="4"/>
      <c r="I217" s="9"/>
      <c r="J217" s="9"/>
      <c r="K217" s="58"/>
      <c r="L217" s="58"/>
      <c r="M217" s="60"/>
      <c r="N217" s="62"/>
      <c r="O217" s="28"/>
      <c r="P217" s="28"/>
      <c r="Q217" s="28"/>
      <c r="R217" s="28"/>
      <c r="S217" s="28"/>
      <c r="T217" s="28"/>
      <c r="U217" s="28"/>
      <c r="V217" s="28"/>
      <c r="W217" s="28"/>
      <c r="X217" s="28"/>
    </row>
    <row r="218" spans="2:24">
      <c r="B218" s="195"/>
      <c r="C218" s="109"/>
      <c r="D218" s="109"/>
      <c r="E218" s="2"/>
      <c r="F218" s="148"/>
      <c r="G218" s="110"/>
      <c r="H218" s="4"/>
      <c r="I218" s="9"/>
      <c r="J218" s="9"/>
      <c r="K218" s="58"/>
      <c r="L218" s="58"/>
      <c r="M218" s="60"/>
      <c r="N218" s="62"/>
      <c r="O218" s="28"/>
      <c r="P218" s="28"/>
      <c r="Q218" s="28"/>
      <c r="R218" s="28"/>
      <c r="S218" s="28"/>
      <c r="T218" s="28"/>
      <c r="U218" s="28"/>
      <c r="V218" s="28"/>
      <c r="W218" s="28"/>
      <c r="X218" s="28"/>
    </row>
    <row r="219" spans="2:24">
      <c r="B219" s="195"/>
      <c r="C219" s="109"/>
      <c r="D219" s="109"/>
      <c r="E219" s="2"/>
      <c r="F219" s="148"/>
      <c r="G219" s="110"/>
      <c r="H219" s="4"/>
      <c r="I219" s="9"/>
      <c r="J219" s="9"/>
      <c r="K219" s="58"/>
      <c r="L219" s="58"/>
      <c r="M219" s="60"/>
      <c r="N219" s="62"/>
      <c r="O219" s="28"/>
      <c r="P219" s="28"/>
      <c r="Q219" s="28"/>
      <c r="R219" s="28"/>
      <c r="S219" s="28"/>
      <c r="T219" s="28"/>
      <c r="U219" s="28"/>
      <c r="V219" s="28"/>
      <c r="W219" s="28"/>
      <c r="X219" s="28"/>
    </row>
    <row r="220" spans="2:24">
      <c r="B220" s="195"/>
      <c r="C220" s="109"/>
      <c r="D220" s="109"/>
      <c r="E220" s="2"/>
      <c r="F220" s="148"/>
      <c r="G220" s="110"/>
      <c r="H220" s="4"/>
      <c r="I220" s="9"/>
      <c r="J220" s="9"/>
      <c r="K220" s="58"/>
      <c r="L220" s="58"/>
      <c r="M220" s="60"/>
      <c r="N220" s="62"/>
      <c r="O220" s="28"/>
      <c r="P220" s="28"/>
      <c r="Q220" s="28"/>
      <c r="R220" s="28"/>
      <c r="S220" s="28"/>
      <c r="T220" s="28"/>
      <c r="U220" s="28"/>
      <c r="V220" s="28"/>
      <c r="W220" s="28"/>
      <c r="X220" s="28"/>
    </row>
    <row r="221" spans="2:24">
      <c r="B221" s="195"/>
      <c r="C221" s="109"/>
      <c r="D221" s="109"/>
      <c r="E221" s="2"/>
      <c r="F221" s="148"/>
      <c r="G221" s="110"/>
      <c r="H221" s="4"/>
      <c r="I221" s="9"/>
      <c r="J221" s="9"/>
      <c r="K221" s="58"/>
      <c r="L221" s="58"/>
      <c r="M221" s="60"/>
      <c r="N221" s="62"/>
      <c r="O221" s="28"/>
      <c r="P221" s="28"/>
      <c r="Q221" s="28"/>
      <c r="R221" s="28"/>
      <c r="S221" s="28"/>
      <c r="T221" s="28"/>
      <c r="U221" s="28"/>
      <c r="V221" s="28"/>
      <c r="W221" s="28"/>
      <c r="X221" s="28"/>
    </row>
    <row r="222" spans="2:24">
      <c r="B222" s="195"/>
      <c r="C222" s="109"/>
      <c r="D222" s="109"/>
      <c r="E222" s="2"/>
      <c r="F222" s="148"/>
      <c r="G222" s="110"/>
      <c r="H222" s="4"/>
      <c r="I222" s="9"/>
      <c r="J222" s="9"/>
      <c r="K222" s="58"/>
      <c r="L222" s="58"/>
      <c r="M222" s="60"/>
      <c r="N222" s="62"/>
      <c r="O222" s="28"/>
      <c r="P222" s="28"/>
      <c r="Q222" s="28"/>
      <c r="R222" s="28"/>
      <c r="S222" s="28"/>
      <c r="T222" s="28"/>
      <c r="U222" s="28"/>
      <c r="V222" s="28"/>
      <c r="W222" s="28"/>
      <c r="X222" s="28"/>
    </row>
    <row r="223" spans="2:24">
      <c r="B223" s="145"/>
      <c r="C223" s="24"/>
      <c r="D223" s="111"/>
      <c r="E223" s="6"/>
      <c r="F223" s="30"/>
      <c r="G223" s="57"/>
      <c r="H223" s="4"/>
      <c r="I223" s="9"/>
      <c r="J223" s="9"/>
      <c r="K223" s="58"/>
      <c r="L223" s="58"/>
      <c r="M223" s="60"/>
      <c r="N223" s="62"/>
      <c r="O223" s="28"/>
      <c r="P223" s="28"/>
      <c r="Q223" s="28"/>
      <c r="R223" s="28"/>
      <c r="S223" s="28"/>
      <c r="T223" s="28"/>
      <c r="U223" s="28"/>
      <c r="V223" s="28"/>
      <c r="W223" s="28"/>
      <c r="X223" s="28"/>
    </row>
    <row r="224" spans="2:24">
      <c r="C224" s="24"/>
      <c r="D224" s="111"/>
      <c r="E224" s="6"/>
      <c r="F224" s="112"/>
      <c r="G224" s="57"/>
      <c r="H224" s="4"/>
      <c r="I224" s="9"/>
      <c r="J224" s="9"/>
      <c r="K224" s="58"/>
      <c r="L224" s="58"/>
      <c r="M224" s="60"/>
      <c r="N224" s="62"/>
      <c r="O224" s="28"/>
      <c r="P224" s="28"/>
      <c r="Q224" s="28"/>
      <c r="R224" s="28"/>
      <c r="S224" s="28"/>
      <c r="T224" s="28"/>
      <c r="U224" s="28"/>
      <c r="V224" s="28"/>
      <c r="W224" s="28"/>
      <c r="X224" s="28"/>
    </row>
    <row r="225" spans="1:35">
      <c r="C225" s="24"/>
      <c r="D225" s="24"/>
      <c r="E225" s="24"/>
      <c r="F225" s="25"/>
      <c r="G225" s="28"/>
      <c r="H225" s="28"/>
      <c r="I225" s="24"/>
      <c r="J225" s="28"/>
      <c r="K225" s="28"/>
      <c r="L225" s="28"/>
      <c r="N225" s="28"/>
      <c r="O225" s="28"/>
      <c r="P225" s="28"/>
      <c r="Q225" s="28"/>
      <c r="R225" s="28"/>
      <c r="S225" s="28"/>
      <c r="T225" s="28"/>
      <c r="U225" s="28"/>
      <c r="V225" s="28"/>
      <c r="W225" s="28"/>
      <c r="X225" s="28"/>
    </row>
    <row r="226" spans="1:35">
      <c r="C226" s="24"/>
      <c r="D226" s="24"/>
      <c r="E226" s="24"/>
      <c r="F226" s="25"/>
      <c r="G226" s="28"/>
      <c r="H226" s="28"/>
      <c r="I226" s="24"/>
      <c r="J226" s="28"/>
      <c r="K226" s="28"/>
      <c r="L226" s="28"/>
      <c r="N226" s="28"/>
      <c r="O226" s="28"/>
      <c r="P226" s="28"/>
      <c r="Q226" s="28"/>
      <c r="R226" s="28"/>
      <c r="S226" s="28"/>
      <c r="T226" s="28"/>
      <c r="U226" s="28"/>
      <c r="V226" s="28"/>
      <c r="W226" s="28"/>
      <c r="X226" s="28"/>
    </row>
    <row r="227" spans="1:35">
      <c r="C227" s="24"/>
      <c r="D227" s="24"/>
      <c r="E227" s="24"/>
      <c r="F227" s="25"/>
      <c r="G227" s="28"/>
      <c r="H227" s="28"/>
      <c r="I227" s="24"/>
      <c r="J227" s="28"/>
      <c r="K227" s="28"/>
      <c r="L227" s="28"/>
      <c r="N227" s="28"/>
      <c r="O227" s="28"/>
      <c r="P227" s="28"/>
      <c r="Q227" s="28"/>
      <c r="R227" s="28"/>
      <c r="S227" s="28"/>
      <c r="T227" s="28"/>
      <c r="U227" s="28"/>
      <c r="V227" s="28"/>
      <c r="W227" s="28"/>
      <c r="X227" s="28"/>
    </row>
    <row r="228" spans="1:35">
      <c r="C228" s="24"/>
      <c r="D228" s="24"/>
      <c r="E228" s="24"/>
      <c r="F228" s="25"/>
      <c r="G228" s="28"/>
      <c r="H228" s="28"/>
      <c r="I228" s="24"/>
      <c r="J228" s="28"/>
      <c r="K228" s="28"/>
      <c r="L228" s="28"/>
      <c r="N228" s="28"/>
      <c r="O228" s="28"/>
      <c r="P228" s="28"/>
      <c r="Q228" s="28"/>
      <c r="R228" s="28"/>
      <c r="S228" s="28"/>
      <c r="T228" s="28"/>
      <c r="U228" s="28"/>
      <c r="V228" s="28"/>
      <c r="W228" s="28"/>
      <c r="X228" s="28"/>
    </row>
    <row r="229" spans="1:35">
      <c r="C229" s="4"/>
      <c r="D229" s="4"/>
      <c r="E229" s="4"/>
      <c r="F229" s="30"/>
      <c r="G229" s="28"/>
      <c r="H229" s="28"/>
      <c r="I229" s="28"/>
      <c r="J229" s="28"/>
      <c r="K229" s="28"/>
      <c r="L229" s="28"/>
      <c r="N229" s="28"/>
      <c r="O229" s="28"/>
      <c r="P229" s="28"/>
      <c r="Q229" s="28"/>
      <c r="R229" s="28"/>
      <c r="S229" s="28"/>
      <c r="T229" s="28"/>
      <c r="U229" s="28"/>
      <c r="V229" s="28"/>
      <c r="W229" s="28"/>
      <c r="X229" s="28"/>
    </row>
    <row r="230" spans="1:35">
      <c r="F230" s="30"/>
      <c r="G230" s="28"/>
      <c r="H230" s="28"/>
      <c r="I230" s="28"/>
      <c r="J230" s="28"/>
      <c r="K230" s="28"/>
      <c r="L230" s="28"/>
      <c r="N230" s="28"/>
      <c r="O230" s="28"/>
      <c r="P230" s="28"/>
      <c r="Q230" s="28"/>
      <c r="R230" s="28"/>
      <c r="S230" s="28"/>
      <c r="T230" s="28"/>
      <c r="U230" s="28"/>
      <c r="V230" s="28"/>
      <c r="W230" s="28"/>
      <c r="X230" s="28"/>
    </row>
    <row r="231" spans="1:35">
      <c r="F231" s="30"/>
      <c r="G231" s="28"/>
      <c r="H231" s="28"/>
      <c r="I231" s="28"/>
      <c r="J231" s="28"/>
      <c r="K231" s="28"/>
      <c r="L231" s="28"/>
      <c r="N231" s="28"/>
      <c r="O231" s="28"/>
      <c r="P231" s="28"/>
      <c r="Q231" s="28"/>
      <c r="R231" s="28"/>
      <c r="S231" s="28"/>
      <c r="T231" s="28"/>
      <c r="U231" s="28"/>
      <c r="V231" s="28"/>
      <c r="W231" s="28"/>
      <c r="X231" s="28"/>
    </row>
    <row r="232" spans="1:35">
      <c r="F232" s="30"/>
      <c r="G232" s="28"/>
      <c r="H232" s="28"/>
      <c r="I232" s="28"/>
      <c r="J232" s="28"/>
      <c r="K232" s="28"/>
      <c r="L232" s="28"/>
      <c r="N232" s="28"/>
      <c r="O232" s="28"/>
      <c r="P232" s="28"/>
      <c r="Q232" s="28"/>
      <c r="R232" s="28"/>
      <c r="S232" s="28"/>
      <c r="T232" s="28"/>
      <c r="U232" s="28"/>
      <c r="V232" s="28"/>
      <c r="W232" s="28"/>
      <c r="X232" s="28"/>
    </row>
    <row r="233" spans="1:35" s="122" customFormat="1" ht="13.5" customHeight="1">
      <c r="A233" s="147"/>
      <c r="B233" s="146"/>
      <c r="AI233" s="142"/>
    </row>
    <row r="234" spans="1:35" ht="13.5" customHeight="1">
      <c r="F234" s="30"/>
      <c r="G234" s="28"/>
      <c r="H234" s="28"/>
      <c r="I234" s="28"/>
      <c r="J234" s="28"/>
      <c r="K234" s="28"/>
      <c r="L234" s="28"/>
      <c r="N234" s="28"/>
      <c r="O234" s="28"/>
      <c r="P234" s="28"/>
      <c r="Q234" s="28"/>
      <c r="R234" s="28"/>
      <c r="X234" s="28"/>
    </row>
    <row r="235" spans="1:35">
      <c r="F235" s="30"/>
      <c r="G235" s="28"/>
      <c r="H235" s="28"/>
      <c r="I235" s="28"/>
      <c r="J235" s="28"/>
      <c r="K235" s="28"/>
      <c r="L235" s="28"/>
      <c r="N235" s="28"/>
      <c r="O235" s="28"/>
      <c r="P235" s="28"/>
      <c r="Q235" s="28"/>
      <c r="R235" s="28"/>
      <c r="S235" s="28"/>
      <c r="T235" s="28"/>
      <c r="U235" s="28"/>
      <c r="V235" s="28"/>
      <c r="W235" s="28"/>
      <c r="X235" s="28"/>
    </row>
    <row r="236" spans="1:35">
      <c r="F236" s="30"/>
      <c r="G236" s="28"/>
      <c r="H236" s="28"/>
      <c r="I236" s="28"/>
      <c r="J236" s="28"/>
      <c r="K236" s="28"/>
      <c r="L236" s="28"/>
      <c r="N236" s="28"/>
      <c r="O236" s="28"/>
      <c r="P236" s="28"/>
      <c r="Q236" s="28"/>
      <c r="R236" s="28"/>
      <c r="S236" s="28"/>
      <c r="T236" s="28"/>
      <c r="U236" s="28"/>
      <c r="V236" s="28"/>
      <c r="W236" s="28"/>
      <c r="X236" s="28"/>
    </row>
    <row r="237" spans="1:35">
      <c r="J237" s="4"/>
      <c r="K237" s="4"/>
      <c r="N237" s="4"/>
      <c r="O237" s="4"/>
      <c r="P237" s="4"/>
      <c r="Q237" s="4"/>
      <c r="R237" s="4"/>
      <c r="S237" s="4"/>
    </row>
    <row r="238" spans="1:35">
      <c r="D238" s="28"/>
      <c r="E238" s="28"/>
      <c r="F238" s="28"/>
      <c r="G238" s="28"/>
      <c r="H238" s="28"/>
      <c r="J238" s="4"/>
      <c r="K238" s="4"/>
      <c r="N238" s="4"/>
      <c r="O238" s="4"/>
      <c r="P238" s="4"/>
      <c r="Q238" s="4"/>
      <c r="R238" s="4"/>
      <c r="S238" s="4"/>
    </row>
    <row r="239" spans="1:35">
      <c r="F239" s="36"/>
      <c r="G239" s="4"/>
      <c r="J239" s="4"/>
      <c r="K239" s="4"/>
      <c r="N239" s="4"/>
      <c r="O239" s="4"/>
      <c r="P239" s="4"/>
      <c r="Q239" s="4"/>
      <c r="R239" s="4"/>
      <c r="S239" s="4"/>
    </row>
    <row r="240" spans="1:35">
      <c r="F240" s="36"/>
      <c r="G240" s="4"/>
      <c r="J240" s="4"/>
      <c r="K240" s="4"/>
      <c r="N240" s="4"/>
      <c r="O240" s="4"/>
      <c r="P240" s="4"/>
      <c r="Q240" s="4"/>
      <c r="R240" s="4"/>
      <c r="S240" s="4"/>
    </row>
    <row r="241" spans="6:19">
      <c r="F241" s="36"/>
      <c r="G241" s="4"/>
      <c r="J241" s="4"/>
      <c r="K241" s="4"/>
      <c r="N241" s="4"/>
      <c r="O241" s="4"/>
      <c r="P241" s="4"/>
      <c r="Q241" s="4"/>
      <c r="R241" s="4"/>
      <c r="S241" s="4"/>
    </row>
    <row r="242" spans="6:19">
      <c r="F242" s="36"/>
      <c r="J242" s="4"/>
      <c r="K242" s="4"/>
      <c r="M242" s="4"/>
      <c r="N242" s="4"/>
      <c r="O242" s="4"/>
      <c r="P242" s="4"/>
      <c r="Q242" s="4"/>
      <c r="R242" s="4"/>
      <c r="S242" s="4"/>
    </row>
    <row r="243" spans="6:19">
      <c r="F243" s="36"/>
      <c r="J243" s="4"/>
      <c r="K243" s="4"/>
      <c r="M243" s="4"/>
      <c r="N243" s="4"/>
      <c r="O243" s="4"/>
      <c r="P243" s="4"/>
      <c r="Q243" s="4"/>
      <c r="R243" s="4"/>
      <c r="S243" s="4"/>
    </row>
    <row r="244" spans="6:19">
      <c r="F244" s="36"/>
      <c r="J244" s="4"/>
      <c r="K244" s="4"/>
      <c r="M244" s="4"/>
      <c r="N244" s="4"/>
      <c r="O244" s="4"/>
      <c r="P244" s="4"/>
      <c r="Q244" s="4"/>
      <c r="R244" s="4"/>
      <c r="S244" s="4"/>
    </row>
    <row r="245" spans="6:19">
      <c r="F245" s="36"/>
      <c r="J245" s="4"/>
      <c r="K245" s="4"/>
      <c r="M245" s="4"/>
      <c r="N245" s="4"/>
      <c r="O245" s="4"/>
      <c r="P245" s="4"/>
      <c r="Q245" s="4"/>
      <c r="R245" s="4"/>
      <c r="S245" s="4"/>
    </row>
    <row r="246" spans="6:19">
      <c r="F246" s="36"/>
      <c r="J246" s="4"/>
      <c r="K246" s="4"/>
      <c r="M246" s="4"/>
      <c r="N246" s="4"/>
      <c r="O246" s="4"/>
      <c r="P246" s="4"/>
      <c r="Q246" s="4"/>
      <c r="R246" s="4"/>
      <c r="S246" s="4"/>
    </row>
    <row r="247" spans="6:19">
      <c r="F247" s="36"/>
      <c r="J247" s="4"/>
      <c r="K247" s="4"/>
      <c r="M247" s="4"/>
      <c r="N247" s="4"/>
      <c r="O247" s="4"/>
      <c r="P247" s="4"/>
      <c r="Q247" s="4"/>
      <c r="R247" s="4"/>
      <c r="S247" s="4"/>
    </row>
    <row r="248" spans="6:19">
      <c r="F248" s="36"/>
      <c r="J248" s="4"/>
      <c r="K248" s="4"/>
      <c r="M248" s="4"/>
      <c r="N248" s="4"/>
      <c r="O248" s="4"/>
      <c r="P248" s="4"/>
      <c r="Q248" s="4"/>
      <c r="R248" s="4"/>
      <c r="S248" s="4"/>
    </row>
    <row r="249" spans="6:19">
      <c r="F249" s="36"/>
      <c r="J249" s="4"/>
      <c r="K249" s="4"/>
      <c r="M249" s="4"/>
      <c r="N249" s="4"/>
      <c r="O249" s="4"/>
      <c r="P249" s="4"/>
      <c r="Q249" s="4"/>
      <c r="R249" s="4"/>
      <c r="S249" s="4"/>
    </row>
    <row r="250" spans="6:19">
      <c r="F250" s="36"/>
      <c r="J250" s="4"/>
      <c r="K250" s="4"/>
      <c r="M250" s="4"/>
      <c r="N250" s="4"/>
      <c r="O250" s="4"/>
      <c r="P250" s="4"/>
      <c r="Q250" s="4"/>
      <c r="R250" s="4"/>
      <c r="S250" s="4"/>
    </row>
    <row r="251" spans="6:19">
      <c r="F251" s="36"/>
      <c r="J251" s="4"/>
      <c r="K251" s="4"/>
      <c r="M251" s="4"/>
      <c r="N251" s="4"/>
      <c r="O251" s="4"/>
      <c r="P251" s="4"/>
      <c r="Q251" s="4"/>
      <c r="R251" s="4"/>
      <c r="S251" s="4"/>
    </row>
    <row r="252" spans="6:19">
      <c r="F252" s="36"/>
      <c r="J252" s="4"/>
      <c r="K252" s="4"/>
      <c r="M252" s="4"/>
      <c r="N252" s="4"/>
      <c r="O252" s="4"/>
      <c r="P252" s="4"/>
      <c r="Q252" s="4"/>
      <c r="R252" s="4"/>
      <c r="S252" s="4"/>
    </row>
    <row r="253" spans="6:19">
      <c r="F253" s="36"/>
      <c r="J253" s="4"/>
      <c r="K253" s="4"/>
      <c r="M253" s="4"/>
      <c r="N253" s="4"/>
      <c r="O253" s="4"/>
      <c r="P253" s="4"/>
      <c r="Q253" s="4"/>
      <c r="R253" s="4"/>
      <c r="S253" s="4"/>
    </row>
    <row r="254" spans="6:19">
      <c r="F254" s="36"/>
      <c r="J254" s="4"/>
      <c r="K254" s="4"/>
      <c r="M254" s="4"/>
      <c r="N254" s="4"/>
      <c r="O254" s="4"/>
      <c r="P254" s="4"/>
      <c r="Q254" s="4"/>
      <c r="R254" s="4"/>
      <c r="S254" s="4"/>
    </row>
    <row r="255" spans="6:19">
      <c r="F255" s="36"/>
      <c r="J255" s="4"/>
      <c r="K255" s="4"/>
      <c r="M255" s="4"/>
      <c r="N255" s="4"/>
      <c r="O255" s="4"/>
      <c r="P255" s="4"/>
      <c r="Q255" s="4"/>
      <c r="R255" s="4"/>
      <c r="S255" s="4"/>
    </row>
    <row r="256" spans="6:19">
      <c r="F256" s="36"/>
      <c r="J256" s="4"/>
      <c r="K256" s="4"/>
      <c r="M256" s="4"/>
      <c r="N256" s="4"/>
      <c r="O256" s="4"/>
      <c r="P256" s="4"/>
      <c r="Q256" s="4"/>
      <c r="R256" s="4"/>
      <c r="S256" s="4"/>
    </row>
    <row r="257" spans="6:19">
      <c r="F257" s="36"/>
      <c r="J257" s="4"/>
      <c r="K257" s="4"/>
      <c r="M257" s="4"/>
      <c r="N257" s="4"/>
      <c r="O257" s="4"/>
      <c r="P257" s="4"/>
      <c r="Q257" s="4"/>
      <c r="R257" s="4"/>
      <c r="S257" s="4"/>
    </row>
    <row r="258" spans="6:19">
      <c r="F258" s="36"/>
      <c r="J258" s="4"/>
      <c r="K258" s="4"/>
      <c r="M258" s="4"/>
      <c r="N258" s="4"/>
      <c r="O258" s="4"/>
      <c r="P258" s="4"/>
      <c r="Q258" s="4"/>
      <c r="R258" s="4"/>
      <c r="S258" s="4"/>
    </row>
    <row r="259" spans="6:19">
      <c r="F259" s="36"/>
      <c r="J259" s="4"/>
      <c r="K259" s="4"/>
      <c r="M259" s="4"/>
      <c r="N259" s="4"/>
      <c r="O259" s="4"/>
      <c r="P259" s="4"/>
      <c r="Q259" s="4"/>
      <c r="R259" s="4"/>
      <c r="S259" s="4"/>
    </row>
    <row r="260" spans="6:19">
      <c r="F260" s="36"/>
      <c r="J260" s="4"/>
      <c r="K260" s="4"/>
      <c r="M260" s="4"/>
      <c r="N260" s="4"/>
      <c r="O260" s="4"/>
      <c r="P260" s="4"/>
      <c r="Q260" s="4"/>
      <c r="R260" s="4"/>
      <c r="S260" s="4"/>
    </row>
    <row r="261" spans="6:19">
      <c r="F261" s="36"/>
      <c r="J261" s="4"/>
      <c r="K261" s="4"/>
      <c r="M261" s="4"/>
      <c r="N261" s="4"/>
      <c r="O261" s="4"/>
      <c r="P261" s="4"/>
      <c r="Q261" s="4"/>
      <c r="R261" s="4"/>
      <c r="S261" s="4"/>
    </row>
    <row r="262" spans="6:19">
      <c r="F262" s="36"/>
      <c r="J262" s="4"/>
      <c r="K262" s="4"/>
      <c r="M262" s="4"/>
      <c r="N262" s="4"/>
      <c r="O262" s="4"/>
      <c r="P262" s="4"/>
      <c r="Q262" s="4"/>
      <c r="R262" s="4"/>
      <c r="S262" s="4"/>
    </row>
    <row r="263" spans="6:19">
      <c r="F263" s="36"/>
      <c r="J263" s="4"/>
      <c r="K263" s="4"/>
      <c r="M263" s="4"/>
      <c r="N263" s="4"/>
      <c r="O263" s="4"/>
      <c r="P263" s="4"/>
      <c r="Q263" s="4"/>
      <c r="R263" s="4"/>
      <c r="S263" s="4"/>
    </row>
    <row r="264" spans="6:19">
      <c r="F264" s="36"/>
      <c r="J264" s="4"/>
      <c r="K264" s="4"/>
      <c r="M264" s="4"/>
      <c r="N264" s="4"/>
      <c r="O264" s="4"/>
      <c r="P264" s="4"/>
      <c r="Q264" s="4"/>
      <c r="R264" s="4"/>
      <c r="S264" s="4"/>
    </row>
    <row r="265" spans="6:19">
      <c r="F265" s="36"/>
      <c r="J265" s="4"/>
      <c r="K265" s="4"/>
      <c r="M265" s="4"/>
      <c r="N265" s="4"/>
      <c r="O265" s="4"/>
      <c r="P265" s="4"/>
      <c r="Q265" s="4"/>
      <c r="R265" s="4"/>
      <c r="S265" s="4"/>
    </row>
    <row r="266" spans="6:19">
      <c r="F266" s="36"/>
      <c r="J266" s="4"/>
      <c r="K266" s="4"/>
      <c r="M266" s="4"/>
      <c r="N266" s="4"/>
      <c r="O266" s="4"/>
      <c r="P266" s="4"/>
      <c r="Q266" s="4"/>
      <c r="R266" s="4"/>
      <c r="S266" s="4"/>
    </row>
    <row r="267" spans="6:19">
      <c r="F267" s="36"/>
      <c r="J267" s="4"/>
      <c r="K267" s="4"/>
      <c r="M267" s="4"/>
      <c r="N267" s="4"/>
      <c r="O267" s="4"/>
      <c r="P267" s="4"/>
      <c r="Q267" s="4"/>
      <c r="R267" s="4"/>
      <c r="S267" s="4"/>
    </row>
    <row r="268" spans="6:19">
      <c r="F268" s="36"/>
      <c r="J268" s="4"/>
      <c r="K268" s="4"/>
      <c r="M268" s="4"/>
      <c r="N268" s="4"/>
      <c r="O268" s="4"/>
      <c r="P268" s="4"/>
      <c r="Q268" s="4"/>
      <c r="R268" s="4"/>
      <c r="S268" s="4"/>
    </row>
    <row r="269" spans="6:19">
      <c r="F269" s="36"/>
      <c r="J269" s="4"/>
      <c r="K269" s="4"/>
      <c r="M269" s="4"/>
      <c r="N269" s="4"/>
      <c r="O269" s="4"/>
      <c r="P269" s="4"/>
      <c r="Q269" s="4"/>
      <c r="R269" s="4"/>
      <c r="S269" s="4"/>
    </row>
    <row r="270" spans="6:19">
      <c r="J270" s="4"/>
      <c r="K270" s="4"/>
      <c r="M270" s="4"/>
      <c r="N270" s="4"/>
      <c r="O270" s="4"/>
      <c r="P270" s="4"/>
      <c r="Q270" s="4"/>
      <c r="R270" s="4"/>
      <c r="S270" s="4"/>
    </row>
    <row r="271" spans="6:19">
      <c r="J271" s="4"/>
      <c r="K271" s="4"/>
      <c r="M271" s="4"/>
      <c r="N271" s="4"/>
      <c r="O271" s="4"/>
      <c r="P271" s="4"/>
      <c r="Q271" s="4"/>
      <c r="R271" s="4"/>
      <c r="S271" s="4"/>
    </row>
    <row r="272" spans="6:19">
      <c r="J272" s="4"/>
      <c r="K272" s="4"/>
      <c r="M272" s="4"/>
      <c r="N272" s="4"/>
      <c r="O272" s="4"/>
      <c r="P272" s="4"/>
      <c r="Q272" s="4"/>
      <c r="R272" s="4"/>
      <c r="S272" s="4"/>
    </row>
    <row r="273" spans="10:19">
      <c r="J273" s="4"/>
      <c r="K273" s="4"/>
      <c r="M273" s="4"/>
      <c r="N273" s="4"/>
      <c r="O273" s="4"/>
      <c r="P273" s="4"/>
      <c r="Q273" s="4"/>
      <c r="R273" s="4"/>
      <c r="S273" s="4"/>
    </row>
    <row r="274" spans="10:19">
      <c r="J274" s="4"/>
      <c r="K274" s="4"/>
      <c r="M274" s="4"/>
      <c r="N274" s="4"/>
      <c r="O274" s="4"/>
      <c r="P274" s="4"/>
      <c r="Q274" s="4"/>
      <c r="R274" s="4"/>
      <c r="S274" s="4"/>
    </row>
  </sheetData>
  <mergeCells count="4">
    <mergeCell ref="C39:D39"/>
    <mergeCell ref="AA171:AB171"/>
    <mergeCell ref="AC171:AD171"/>
    <mergeCell ref="AE171:AF171"/>
  </mergeCells>
  <phoneticPr fontId="0" type="noConversion"/>
  <conditionalFormatting sqref="G116:G130 G22:G36 G69:G83">
    <cfRule type="cellIs" dxfId="16" priority="1" stopIfTrue="1" operator="equal">
      <formula>"Check Months &gt;&gt;"</formula>
    </cfRule>
    <cfRule type="cellIs" dxfId="15" priority="2" stopIfTrue="1" operator="equal">
      <formula>"&lt;&lt; Check Dates"</formula>
    </cfRule>
    <cfRule type="cellIs" dxfId="14" priority="3" stopIfTrue="1" operator="equal">
      <formula>""</formula>
    </cfRule>
  </conditionalFormatting>
  <conditionalFormatting sqref="I22:X36 I116:X130 I69:X83">
    <cfRule type="cellIs" dxfId="13" priority="4" stopIfTrue="1" operator="notEqual">
      <formula>"---"</formula>
    </cfRule>
    <cfRule type="cellIs" dxfId="12" priority="5" stopIfTrue="1" operator="equal">
      <formula>"---"</formula>
    </cfRule>
  </conditionalFormatting>
  <conditionalFormatting sqref="F69:F83 F22:F36 F116:F130">
    <cfRule type="cellIs" dxfId="11" priority="6" stopIfTrue="1" operator="equal">
      <formula>"Check Months &gt;&gt;"</formula>
    </cfRule>
    <cfRule type="cellIs" dxfId="10" priority="7" stopIfTrue="1" operator="equal">
      <formula>"&lt;&lt; Check Dates"</formula>
    </cfRule>
    <cfRule type="cellIs" dxfId="9" priority="8" stopIfTrue="1" operator="equal">
      <formula>"Do Not Delete"</formula>
    </cfRule>
  </conditionalFormatting>
  <conditionalFormatting sqref="I135:X142 I88:X95 I41:X48">
    <cfRule type="cellIs" dxfId="8" priority="9" stopIfTrue="1" operator="equal">
      <formula>0</formula>
    </cfRule>
  </conditionalFormatting>
  <dataValidations disablePrompts="1" count="6">
    <dataValidation showInputMessage="1" sqref="I116:W132 I22:X36 I69:W84 X116:X130 X69:X83"/>
    <dataValidation type="list" allowBlank="1" showInputMessage="1" showErrorMessage="1" error="Only enter ManTech Company abbreviations offered on the drop down menu._x000a_" sqref="E58 E105">
      <formula1>"SMA, IST, MCCS, ATAC, MTISC, MST, MSEC, MSM"</formula1>
    </dataValidation>
    <dataValidation type="list" allowBlank="1" showInputMessage="1" showErrorMessage="1" error="Only enter ManTech Company abbreviations offered on the drop down menu._x000a_" sqref="E104 E57">
      <formula1>"SMA, IST,IST (MMBI), MCCS, ATAC, GRS, SRS, MTISC, MSEC,MASI"</formula1>
    </dataValidation>
    <dataValidation type="list" errorStyle="warning" allowBlank="1" showInputMessage="1" showErrorMessage="1" error="The name you have entered is not a current ManTech Cost Center.  You are required to key in applicable indirect rates." sqref="I87 I134">
      <formula1>$B$6:$IV$6</formula1>
    </dataValidation>
    <dataValidation type="list" allowBlank="1" showInputMessage="1" showErrorMessage="1" error="Only enter ManTech Company abbreviations offered on the drop down menu._x000a_" sqref="E10">
      <formula1>"SMA, IST, MCCS, ATAC, GRS, SRS, MTISC, MSEC,MASI, MSTC, MGCS"</formula1>
    </dataValidation>
    <dataValidation type="list" errorStyle="warning" allowBlank="1" showInputMessage="1" showErrorMessage="1" error="The name you have entered is not a current ManTech Cost Center.  You are required to key in applicable indirect rates." sqref="I40">
      <formula1>$B$6:$AD$6</formula1>
    </dataValidation>
  </dataValidations>
  <printOptions horizontalCentered="1"/>
  <pageMargins left="0.5" right="0.5" top="0.5" bottom="0.5" header="0.5" footer="0.5"/>
  <pageSetup scale="37"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6" enableFormatConditionsCalculation="0">
    <tabColor indexed="55"/>
  </sheetPr>
  <dimension ref="A1:S92"/>
  <sheetViews>
    <sheetView workbookViewId="0">
      <selection activeCell="D55" sqref="D55:J55"/>
    </sheetView>
  </sheetViews>
  <sheetFormatPr defaultRowHeight="12.75"/>
  <cols>
    <col min="1" max="1" width="5.28515625" style="69" customWidth="1"/>
    <col min="2" max="2" width="18.28515625" customWidth="1"/>
    <col min="3" max="3" width="11.42578125" style="12" customWidth="1"/>
    <col min="4" max="4" width="18.28515625" style="12" bestFit="1" customWidth="1"/>
    <col min="9" max="9" width="11.5703125" bestFit="1" customWidth="1"/>
  </cols>
  <sheetData>
    <row r="1" spans="1:19">
      <c r="A1" s="66" t="s">
        <v>2</v>
      </c>
    </row>
    <row r="2" spans="1:19" ht="26.25" customHeight="1">
      <c r="A2" s="66" t="s">
        <v>3</v>
      </c>
      <c r="B2" s="26" t="s">
        <v>4</v>
      </c>
      <c r="C2" s="67" t="s">
        <v>636</v>
      </c>
      <c r="E2" s="68" t="s">
        <v>5</v>
      </c>
    </row>
    <row r="3" spans="1:19" ht="6.75" customHeight="1"/>
    <row r="4" spans="1:19">
      <c r="B4" t="s">
        <v>6</v>
      </c>
      <c r="C4" s="70" t="s">
        <v>793</v>
      </c>
      <c r="D4" s="71" t="str">
        <f>$B$4&amp;$A$1</f>
        <v>MCCSAppraisal Dates</v>
      </c>
      <c r="E4" s="72">
        <v>39539</v>
      </c>
      <c r="F4" s="72">
        <f>E5+1</f>
        <v>39904</v>
      </c>
      <c r="G4" s="72">
        <f t="shared" ref="G4:S4" si="0">F5+1</f>
        <v>40269</v>
      </c>
      <c r="H4" s="72">
        <f t="shared" si="0"/>
        <v>40634</v>
      </c>
      <c r="I4" s="72">
        <f t="shared" si="0"/>
        <v>41000</v>
      </c>
      <c r="J4" s="72">
        <f t="shared" si="0"/>
        <v>41365</v>
      </c>
      <c r="K4" s="72">
        <f t="shared" si="0"/>
        <v>41730</v>
      </c>
      <c r="L4" s="72">
        <f t="shared" si="0"/>
        <v>42095</v>
      </c>
      <c r="M4" s="72">
        <f t="shared" si="0"/>
        <v>42461</v>
      </c>
      <c r="N4" s="72">
        <f t="shared" si="0"/>
        <v>42826</v>
      </c>
      <c r="O4" s="72">
        <f t="shared" si="0"/>
        <v>43191</v>
      </c>
      <c r="P4" s="72">
        <f t="shared" si="0"/>
        <v>43556</v>
      </c>
      <c r="Q4" s="72">
        <f t="shared" si="0"/>
        <v>43922</v>
      </c>
      <c r="R4" s="72">
        <f t="shared" si="0"/>
        <v>44287</v>
      </c>
      <c r="S4" s="72">
        <f t="shared" si="0"/>
        <v>44652</v>
      </c>
    </row>
    <row r="5" spans="1:19">
      <c r="C5" s="70"/>
      <c r="D5" s="71" t="str">
        <f>$B$4&amp;$A$2</f>
        <v>MCCSEnd Dates</v>
      </c>
      <c r="E5" s="72">
        <f>+E4+364</f>
        <v>39903</v>
      </c>
      <c r="F5" s="72">
        <f>F4+364</f>
        <v>40268</v>
      </c>
      <c r="G5" s="72">
        <f>G4+364</f>
        <v>40633</v>
      </c>
      <c r="H5" s="72">
        <f>H4+365</f>
        <v>40999</v>
      </c>
      <c r="I5" s="72">
        <f>I4+364</f>
        <v>41364</v>
      </c>
      <c r="J5" s="72">
        <f>J4+364</f>
        <v>41729</v>
      </c>
      <c r="K5" s="72">
        <f>K4+364</f>
        <v>42094</v>
      </c>
      <c r="L5" s="72">
        <f>L4+365</f>
        <v>42460</v>
      </c>
      <c r="M5" s="72">
        <f>M4+364</f>
        <v>42825</v>
      </c>
      <c r="N5" s="72">
        <f>N4+364</f>
        <v>43190</v>
      </c>
      <c r="O5" s="72">
        <f>O4+364</f>
        <v>43555</v>
      </c>
      <c r="P5" s="72">
        <f>P4+365</f>
        <v>43921</v>
      </c>
      <c r="Q5" s="72">
        <f>Q4+364</f>
        <v>44286</v>
      </c>
      <c r="R5" s="72">
        <f>R4+364</f>
        <v>44651</v>
      </c>
      <c r="S5" s="72">
        <f>S4+364</f>
        <v>45016</v>
      </c>
    </row>
    <row r="6" spans="1:19">
      <c r="C6" s="70"/>
      <c r="D6" s="71"/>
    </row>
    <row r="7" spans="1:19">
      <c r="C7" s="70"/>
      <c r="D7" s="71"/>
    </row>
    <row r="8" spans="1:19">
      <c r="B8" t="s">
        <v>7</v>
      </c>
      <c r="C8" s="70" t="s">
        <v>793</v>
      </c>
      <c r="D8" s="71" t="str">
        <f>$B$8&amp;$A$1</f>
        <v>SMAAppraisal Dates</v>
      </c>
      <c r="E8" s="72">
        <v>39539</v>
      </c>
      <c r="F8" s="72">
        <f t="shared" ref="F8:S8" si="1">E9+1</f>
        <v>39904</v>
      </c>
      <c r="G8" s="72">
        <f t="shared" si="1"/>
        <v>40269</v>
      </c>
      <c r="H8" s="72">
        <f t="shared" si="1"/>
        <v>40634</v>
      </c>
      <c r="I8" s="72">
        <f t="shared" si="1"/>
        <v>41000</v>
      </c>
      <c r="J8" s="72">
        <f t="shared" si="1"/>
        <v>41365</v>
      </c>
      <c r="K8" s="72">
        <f t="shared" si="1"/>
        <v>41730</v>
      </c>
      <c r="L8" s="72">
        <f t="shared" si="1"/>
        <v>42095</v>
      </c>
      <c r="M8" s="72">
        <f t="shared" si="1"/>
        <v>42461</v>
      </c>
      <c r="N8" s="72">
        <f t="shared" si="1"/>
        <v>42826</v>
      </c>
      <c r="O8" s="72">
        <f t="shared" si="1"/>
        <v>43191</v>
      </c>
      <c r="P8" s="72">
        <f t="shared" si="1"/>
        <v>43556</v>
      </c>
      <c r="Q8" s="72">
        <f t="shared" si="1"/>
        <v>43922</v>
      </c>
      <c r="R8" s="72">
        <f t="shared" si="1"/>
        <v>44287</v>
      </c>
      <c r="S8" s="72">
        <f t="shared" si="1"/>
        <v>44652</v>
      </c>
    </row>
    <row r="9" spans="1:19">
      <c r="C9" s="70"/>
      <c r="D9" s="71" t="str">
        <f>$B$8&amp;$A$2</f>
        <v>SMAEnd Dates</v>
      </c>
      <c r="E9" s="72">
        <f>+E8+364</f>
        <v>39903</v>
      </c>
      <c r="F9" s="72">
        <f>F8+364</f>
        <v>40268</v>
      </c>
      <c r="G9" s="72">
        <f>G8+364</f>
        <v>40633</v>
      </c>
      <c r="H9" s="72">
        <f>H8+365</f>
        <v>40999</v>
      </c>
      <c r="I9" s="72">
        <f>I8+364</f>
        <v>41364</v>
      </c>
      <c r="J9" s="72">
        <f>J8+364</f>
        <v>41729</v>
      </c>
      <c r="K9" s="72">
        <f>K8+364</f>
        <v>42094</v>
      </c>
      <c r="L9" s="72">
        <f>L8+365</f>
        <v>42460</v>
      </c>
      <c r="M9" s="72">
        <f>M8+364</f>
        <v>42825</v>
      </c>
      <c r="N9" s="72">
        <f>N8+364</f>
        <v>43190</v>
      </c>
      <c r="O9" s="72">
        <f>O8+364</f>
        <v>43555</v>
      </c>
      <c r="P9" s="72">
        <f>P8+365</f>
        <v>43921</v>
      </c>
      <c r="Q9" s="72">
        <f>Q8+364</f>
        <v>44286</v>
      </c>
      <c r="R9" s="72">
        <f>R8+364</f>
        <v>44651</v>
      </c>
      <c r="S9" s="72">
        <f>S8+364</f>
        <v>45016</v>
      </c>
    </row>
    <row r="10" spans="1:19">
      <c r="C10" s="70"/>
      <c r="D10" s="71"/>
    </row>
    <row r="11" spans="1:19">
      <c r="C11" s="70"/>
      <c r="D11" s="71"/>
    </row>
    <row r="12" spans="1:19">
      <c r="B12" t="s">
        <v>8</v>
      </c>
      <c r="C12" s="70" t="s">
        <v>793</v>
      </c>
      <c r="D12" s="71" t="str">
        <f>$B$12&amp;$A$1</f>
        <v>MTISCAppraisal Dates</v>
      </c>
      <c r="E12" s="72">
        <v>39539</v>
      </c>
      <c r="F12" s="72">
        <f t="shared" ref="F12:S12" si="2">E13+1</f>
        <v>39904</v>
      </c>
      <c r="G12" s="72">
        <f t="shared" si="2"/>
        <v>40269</v>
      </c>
      <c r="H12" s="72">
        <f t="shared" si="2"/>
        <v>40634</v>
      </c>
      <c r="I12" s="72">
        <f t="shared" si="2"/>
        <v>41000</v>
      </c>
      <c r="J12" s="72">
        <f t="shared" si="2"/>
        <v>41365</v>
      </c>
      <c r="K12" s="72">
        <f t="shared" si="2"/>
        <v>41730</v>
      </c>
      <c r="L12" s="72">
        <f t="shared" si="2"/>
        <v>42095</v>
      </c>
      <c r="M12" s="72">
        <f t="shared" si="2"/>
        <v>42461</v>
      </c>
      <c r="N12" s="72">
        <f t="shared" si="2"/>
        <v>42826</v>
      </c>
      <c r="O12" s="72">
        <f t="shared" si="2"/>
        <v>43191</v>
      </c>
      <c r="P12" s="72">
        <f t="shared" si="2"/>
        <v>43556</v>
      </c>
      <c r="Q12" s="72">
        <f t="shared" si="2"/>
        <v>43922</v>
      </c>
      <c r="R12" s="72">
        <f t="shared" si="2"/>
        <v>44287</v>
      </c>
      <c r="S12" s="72">
        <f t="shared" si="2"/>
        <v>44652</v>
      </c>
    </row>
    <row r="13" spans="1:19">
      <c r="C13" s="70"/>
      <c r="D13" s="71" t="str">
        <f>$B$12&amp;$A$2</f>
        <v>MTISCEnd Dates</v>
      </c>
      <c r="E13" s="72">
        <f>+E12+364</f>
        <v>39903</v>
      </c>
      <c r="F13" s="72">
        <f>F12+364</f>
        <v>40268</v>
      </c>
      <c r="G13" s="72">
        <f>G12+364</f>
        <v>40633</v>
      </c>
      <c r="H13" s="72">
        <f>H12+365</f>
        <v>40999</v>
      </c>
      <c r="I13" s="72">
        <f>I12+364</f>
        <v>41364</v>
      </c>
      <c r="J13" s="72">
        <f>J12+364</f>
        <v>41729</v>
      </c>
      <c r="K13" s="72">
        <f>K12+364</f>
        <v>42094</v>
      </c>
      <c r="L13" s="72">
        <f>L12+365</f>
        <v>42460</v>
      </c>
      <c r="M13" s="72">
        <f>M12+364</f>
        <v>42825</v>
      </c>
      <c r="N13" s="72">
        <f>N12+364</f>
        <v>43190</v>
      </c>
      <c r="O13" s="72">
        <f>O12+364</f>
        <v>43555</v>
      </c>
      <c r="P13" s="72">
        <f>P12+365</f>
        <v>43921</v>
      </c>
      <c r="Q13" s="72">
        <f>Q12+364</f>
        <v>44286</v>
      </c>
      <c r="R13" s="72">
        <f>R12+364</f>
        <v>44651</v>
      </c>
      <c r="S13" s="72">
        <f>S12+364</f>
        <v>45016</v>
      </c>
    </row>
    <row r="14" spans="1:19">
      <c r="C14" s="74"/>
      <c r="D14" s="75"/>
    </row>
    <row r="15" spans="1:19">
      <c r="C15" s="70"/>
      <c r="D15" s="71"/>
    </row>
    <row r="16" spans="1:19">
      <c r="B16" t="s">
        <v>9</v>
      </c>
      <c r="C16" s="70" t="s">
        <v>793</v>
      </c>
      <c r="D16" s="71" t="str">
        <f>$B$16&amp;$A$1</f>
        <v>MSECAppraisal Dates</v>
      </c>
      <c r="E16" s="72">
        <v>39539</v>
      </c>
      <c r="F16" s="72">
        <f t="shared" ref="F16:S16" si="3">E17+1</f>
        <v>39904</v>
      </c>
      <c r="G16" s="72">
        <f t="shared" si="3"/>
        <v>40269</v>
      </c>
      <c r="H16" s="72">
        <f t="shared" si="3"/>
        <v>40634</v>
      </c>
      <c r="I16" s="72">
        <f t="shared" si="3"/>
        <v>41000</v>
      </c>
      <c r="J16" s="72">
        <f t="shared" si="3"/>
        <v>41365</v>
      </c>
      <c r="K16" s="72">
        <f t="shared" si="3"/>
        <v>41730</v>
      </c>
      <c r="L16" s="72">
        <f t="shared" si="3"/>
        <v>42095</v>
      </c>
      <c r="M16" s="72">
        <f t="shared" si="3"/>
        <v>42461</v>
      </c>
      <c r="N16" s="72">
        <f t="shared" si="3"/>
        <v>42826</v>
      </c>
      <c r="O16" s="72">
        <f t="shared" si="3"/>
        <v>43191</v>
      </c>
      <c r="P16" s="72">
        <f t="shared" si="3"/>
        <v>43556</v>
      </c>
      <c r="Q16" s="72">
        <f t="shared" si="3"/>
        <v>43922</v>
      </c>
      <c r="R16" s="72">
        <f t="shared" si="3"/>
        <v>44287</v>
      </c>
      <c r="S16" s="72">
        <f t="shared" si="3"/>
        <v>44652</v>
      </c>
    </row>
    <row r="17" spans="2:19">
      <c r="C17" s="70"/>
      <c r="D17" s="71" t="str">
        <f>$B$16&amp;$A$2</f>
        <v>MSECEnd Dates</v>
      </c>
      <c r="E17" s="72">
        <f>+E16+364</f>
        <v>39903</v>
      </c>
      <c r="F17" s="72">
        <f>F16+364</f>
        <v>40268</v>
      </c>
      <c r="G17" s="72">
        <f>G16+364</f>
        <v>40633</v>
      </c>
      <c r="H17" s="72">
        <f>H16+365</f>
        <v>40999</v>
      </c>
      <c r="I17" s="72">
        <f>I16+364</f>
        <v>41364</v>
      </c>
      <c r="J17" s="72">
        <f>J16+364</f>
        <v>41729</v>
      </c>
      <c r="K17" s="72">
        <f>K16+364</f>
        <v>42094</v>
      </c>
      <c r="L17" s="72">
        <f>L16+365</f>
        <v>42460</v>
      </c>
      <c r="M17" s="72">
        <f>M16+364</f>
        <v>42825</v>
      </c>
      <c r="N17" s="72">
        <f>N16+364</f>
        <v>43190</v>
      </c>
      <c r="O17" s="72">
        <f>O16+364</f>
        <v>43555</v>
      </c>
      <c r="P17" s="72">
        <f>P16+365</f>
        <v>43921</v>
      </c>
      <c r="Q17" s="72">
        <f>Q16+364</f>
        <v>44286</v>
      </c>
      <c r="R17" s="72">
        <f>R16+364</f>
        <v>44651</v>
      </c>
      <c r="S17" s="72">
        <f>S16+364</f>
        <v>45016</v>
      </c>
    </row>
    <row r="18" spans="2:19">
      <c r="C18" s="74"/>
      <c r="D18" s="75"/>
    </row>
    <row r="19" spans="2:19">
      <c r="C19" s="70"/>
      <c r="D19" s="71"/>
    </row>
    <row r="20" spans="2:19">
      <c r="B20" t="s">
        <v>786</v>
      </c>
      <c r="C20" s="70" t="s">
        <v>793</v>
      </c>
      <c r="D20" s="71" t="str">
        <f>$B$20&amp;$A$1</f>
        <v>SRSAppraisal Dates</v>
      </c>
      <c r="E20" s="73" t="s">
        <v>589</v>
      </c>
      <c r="F20" s="73" t="s">
        <v>589</v>
      </c>
      <c r="G20" s="73" t="s">
        <v>589</v>
      </c>
      <c r="H20" s="73" t="s">
        <v>589</v>
      </c>
      <c r="I20" s="73" t="s">
        <v>589</v>
      </c>
      <c r="J20" s="73" t="s">
        <v>589</v>
      </c>
      <c r="K20" s="73" t="s">
        <v>589</v>
      </c>
      <c r="L20" s="73" t="s">
        <v>589</v>
      </c>
      <c r="M20" s="73" t="s">
        <v>589</v>
      </c>
      <c r="N20" s="73" t="s">
        <v>589</v>
      </c>
      <c r="O20" s="73" t="s">
        <v>589</v>
      </c>
      <c r="P20" s="73" t="s">
        <v>589</v>
      </c>
      <c r="Q20" s="73" t="s">
        <v>589</v>
      </c>
      <c r="R20" s="73" t="s">
        <v>589</v>
      </c>
      <c r="S20" s="73" t="s">
        <v>589</v>
      </c>
    </row>
    <row r="21" spans="2:19">
      <c r="C21" s="70"/>
      <c r="D21" s="71" t="str">
        <f>$B$20&amp;$A$2</f>
        <v>SRSEnd Dates</v>
      </c>
      <c r="E21" s="73" t="s">
        <v>589</v>
      </c>
      <c r="F21" s="73" t="s">
        <v>589</v>
      </c>
      <c r="G21" s="73" t="s">
        <v>589</v>
      </c>
      <c r="H21" s="73" t="s">
        <v>589</v>
      </c>
      <c r="I21" s="73" t="s">
        <v>589</v>
      </c>
      <c r="J21" s="73" t="s">
        <v>589</v>
      </c>
      <c r="K21" s="73" t="s">
        <v>589</v>
      </c>
      <c r="L21" s="73" t="s">
        <v>589</v>
      </c>
      <c r="M21" s="73" t="s">
        <v>589</v>
      </c>
      <c r="N21" s="73" t="s">
        <v>589</v>
      </c>
      <c r="O21" s="73" t="s">
        <v>589</v>
      </c>
      <c r="P21" s="73" t="s">
        <v>589</v>
      </c>
      <c r="Q21" s="73" t="s">
        <v>589</v>
      </c>
      <c r="R21" s="73" t="s">
        <v>589</v>
      </c>
      <c r="S21" s="73" t="s">
        <v>589</v>
      </c>
    </row>
    <row r="22" spans="2:19">
      <c r="C22" s="74"/>
      <c r="D22" s="75"/>
    </row>
    <row r="23" spans="2:19">
      <c r="C23" s="70"/>
      <c r="D23" s="71"/>
    </row>
    <row r="24" spans="2:19">
      <c r="B24" t="s">
        <v>10</v>
      </c>
      <c r="C24" s="70" t="s">
        <v>793</v>
      </c>
      <c r="D24" s="71" t="str">
        <f>$B$24&amp;$A$1</f>
        <v>ATACAppraisal Dates</v>
      </c>
      <c r="E24" s="72">
        <v>39569</v>
      </c>
      <c r="F24" s="72">
        <f>E25+1</f>
        <v>39934</v>
      </c>
      <c r="G24" s="72">
        <f t="shared" ref="G24:S24" si="4">F25+1</f>
        <v>40299</v>
      </c>
      <c r="H24" s="72">
        <f t="shared" si="4"/>
        <v>40664</v>
      </c>
      <c r="I24" s="72">
        <f t="shared" si="4"/>
        <v>41030</v>
      </c>
      <c r="J24" s="72">
        <f t="shared" si="4"/>
        <v>41395</v>
      </c>
      <c r="K24" s="72">
        <f t="shared" si="4"/>
        <v>41760</v>
      </c>
      <c r="L24" s="72">
        <f t="shared" si="4"/>
        <v>42125</v>
      </c>
      <c r="M24" s="72">
        <f t="shared" si="4"/>
        <v>42491</v>
      </c>
      <c r="N24" s="72">
        <f t="shared" si="4"/>
        <v>42856</v>
      </c>
      <c r="O24" s="72">
        <f t="shared" si="4"/>
        <v>43221</v>
      </c>
      <c r="P24" s="72">
        <f t="shared" si="4"/>
        <v>43586</v>
      </c>
      <c r="Q24" s="72">
        <f t="shared" si="4"/>
        <v>43952</v>
      </c>
      <c r="R24" s="72">
        <f t="shared" si="4"/>
        <v>44317</v>
      </c>
      <c r="S24" s="72">
        <f t="shared" si="4"/>
        <v>44682</v>
      </c>
    </row>
    <row r="25" spans="2:19">
      <c r="C25" s="70"/>
      <c r="D25" s="71" t="str">
        <f>$B$24&amp;$A$2</f>
        <v>ATACEnd Dates</v>
      </c>
      <c r="E25" s="72">
        <f>+E24+364</f>
        <v>39933</v>
      </c>
      <c r="F25" s="72">
        <f>F24+364</f>
        <v>40298</v>
      </c>
      <c r="G25" s="72">
        <f>G24+364</f>
        <v>40663</v>
      </c>
      <c r="H25" s="72">
        <f>H24+365</f>
        <v>41029</v>
      </c>
      <c r="I25" s="72">
        <f>I24+364</f>
        <v>41394</v>
      </c>
      <c r="J25" s="72">
        <f>J24+364</f>
        <v>41759</v>
      </c>
      <c r="K25" s="72">
        <f>K24+364</f>
        <v>42124</v>
      </c>
      <c r="L25" s="72">
        <f>L24+365</f>
        <v>42490</v>
      </c>
      <c r="M25" s="72">
        <f>M24+364</f>
        <v>42855</v>
      </c>
      <c r="N25" s="72">
        <f>N24+364</f>
        <v>43220</v>
      </c>
      <c r="O25" s="72">
        <f>O24+364</f>
        <v>43585</v>
      </c>
      <c r="P25" s="72">
        <f>P24+365</f>
        <v>43951</v>
      </c>
      <c r="Q25" s="72">
        <f>Q24+364</f>
        <v>44316</v>
      </c>
      <c r="R25" s="72">
        <f>R24+364</f>
        <v>44681</v>
      </c>
      <c r="S25" s="72">
        <f>S24+364</f>
        <v>45046</v>
      </c>
    </row>
    <row r="26" spans="2:19">
      <c r="C26" s="74"/>
      <c r="D26" s="75"/>
    </row>
    <row r="27" spans="2:19">
      <c r="C27" s="74"/>
      <c r="D27" s="75"/>
    </row>
    <row r="28" spans="2:19">
      <c r="B28" t="s">
        <v>498</v>
      </c>
      <c r="C28" s="70" t="s">
        <v>793</v>
      </c>
      <c r="D28" s="71" t="str">
        <f>$B$28&amp;$A$1</f>
        <v>GRSAppraisal Dates</v>
      </c>
      <c r="E28" s="72">
        <v>39539</v>
      </c>
      <c r="F28" s="72">
        <f t="shared" ref="F28:S28" si="5">E29+1</f>
        <v>39904</v>
      </c>
      <c r="G28" s="72">
        <f t="shared" si="5"/>
        <v>40269</v>
      </c>
      <c r="H28" s="72">
        <f t="shared" si="5"/>
        <v>40634</v>
      </c>
      <c r="I28" s="72">
        <f t="shared" si="5"/>
        <v>41000</v>
      </c>
      <c r="J28" s="72">
        <f t="shared" si="5"/>
        <v>41365</v>
      </c>
      <c r="K28" s="72">
        <f t="shared" si="5"/>
        <v>41730</v>
      </c>
      <c r="L28" s="72">
        <f t="shared" si="5"/>
        <v>42095</v>
      </c>
      <c r="M28" s="72">
        <f t="shared" si="5"/>
        <v>42461</v>
      </c>
      <c r="N28" s="72">
        <f t="shared" si="5"/>
        <v>42826</v>
      </c>
      <c r="O28" s="72">
        <f t="shared" si="5"/>
        <v>43191</v>
      </c>
      <c r="P28" s="72">
        <f t="shared" si="5"/>
        <v>43556</v>
      </c>
      <c r="Q28" s="72">
        <f t="shared" si="5"/>
        <v>43922</v>
      </c>
      <c r="R28" s="72">
        <f t="shared" si="5"/>
        <v>44287</v>
      </c>
      <c r="S28" s="72">
        <f t="shared" si="5"/>
        <v>44652</v>
      </c>
    </row>
    <row r="29" spans="2:19">
      <c r="C29" s="70"/>
      <c r="D29" s="71" t="str">
        <f>$B$28&amp;$A$2</f>
        <v>GRSEnd Dates</v>
      </c>
      <c r="E29" s="72">
        <f>+E28+364</f>
        <v>39903</v>
      </c>
      <c r="F29" s="72">
        <f>F28+364</f>
        <v>40268</v>
      </c>
      <c r="G29" s="72">
        <f>G28+364</f>
        <v>40633</v>
      </c>
      <c r="H29" s="72">
        <f>H28+365</f>
        <v>40999</v>
      </c>
      <c r="I29" s="72">
        <f>I28+364</f>
        <v>41364</v>
      </c>
      <c r="J29" s="72">
        <f>J28+364</f>
        <v>41729</v>
      </c>
      <c r="K29" s="72">
        <f>K28+364</f>
        <v>42094</v>
      </c>
      <c r="L29" s="72">
        <f>L28+365</f>
        <v>42460</v>
      </c>
      <c r="M29" s="72">
        <f>M28+364</f>
        <v>42825</v>
      </c>
      <c r="N29" s="72">
        <f>N28+364</f>
        <v>43190</v>
      </c>
      <c r="O29" s="72">
        <f>O28+364</f>
        <v>43555</v>
      </c>
      <c r="P29" s="72">
        <f>P28+365</f>
        <v>43921</v>
      </c>
      <c r="Q29" s="72">
        <f>Q28+364</f>
        <v>44286</v>
      </c>
      <c r="R29" s="72">
        <f>R28+364</f>
        <v>44651</v>
      </c>
      <c r="S29" s="72">
        <f>S28+364</f>
        <v>45016</v>
      </c>
    </row>
    <row r="30" spans="2:19">
      <c r="C30" s="74"/>
      <c r="D30" s="75"/>
    </row>
    <row r="31" spans="2:19">
      <c r="B31" t="s">
        <v>496</v>
      </c>
      <c r="C31" s="70" t="s">
        <v>793</v>
      </c>
      <c r="D31" s="71" t="str">
        <f>$B$31&amp;$A$1</f>
        <v>MASIAppraisal Dates</v>
      </c>
      <c r="E31" s="72">
        <v>39539</v>
      </c>
      <c r="F31" s="72">
        <f t="shared" ref="F31:S31" si="6">E32+1</f>
        <v>39904</v>
      </c>
      <c r="G31" s="72">
        <f t="shared" si="6"/>
        <v>40269</v>
      </c>
      <c r="H31" s="72">
        <f t="shared" si="6"/>
        <v>40634</v>
      </c>
      <c r="I31" s="72">
        <f t="shared" si="6"/>
        <v>41000</v>
      </c>
      <c r="J31" s="72">
        <f t="shared" si="6"/>
        <v>41365</v>
      </c>
      <c r="K31" s="72">
        <f t="shared" si="6"/>
        <v>41730</v>
      </c>
      <c r="L31" s="72">
        <f t="shared" si="6"/>
        <v>42095</v>
      </c>
      <c r="M31" s="72">
        <f t="shared" si="6"/>
        <v>42461</v>
      </c>
      <c r="N31" s="72">
        <f t="shared" si="6"/>
        <v>42826</v>
      </c>
      <c r="O31" s="72">
        <f t="shared" si="6"/>
        <v>43191</v>
      </c>
      <c r="P31" s="72">
        <f t="shared" si="6"/>
        <v>43556</v>
      </c>
      <c r="Q31" s="72">
        <f t="shared" si="6"/>
        <v>43922</v>
      </c>
      <c r="R31" s="72">
        <f t="shared" si="6"/>
        <v>44287</v>
      </c>
      <c r="S31" s="72">
        <f t="shared" si="6"/>
        <v>44652</v>
      </c>
    </row>
    <row r="32" spans="2:19">
      <c r="C32" s="70"/>
      <c r="D32" s="71" t="str">
        <f>$B$31&amp;$A$2</f>
        <v>MASIEnd Dates</v>
      </c>
      <c r="E32" s="72">
        <f>+E31+364</f>
        <v>39903</v>
      </c>
      <c r="F32" s="72">
        <f>F31+364</f>
        <v>40268</v>
      </c>
      <c r="G32" s="72">
        <f>G31+364</f>
        <v>40633</v>
      </c>
      <c r="H32" s="72">
        <f>H31+365</f>
        <v>40999</v>
      </c>
      <c r="I32" s="72">
        <f>I31+364</f>
        <v>41364</v>
      </c>
      <c r="J32" s="72">
        <f>J31+364</f>
        <v>41729</v>
      </c>
      <c r="K32" s="72">
        <f>K31+364</f>
        <v>42094</v>
      </c>
      <c r="L32" s="72">
        <f>L31+365</f>
        <v>42460</v>
      </c>
      <c r="M32" s="72">
        <f>M31+364</f>
        <v>42825</v>
      </c>
      <c r="N32" s="72">
        <f>N31+364</f>
        <v>43190</v>
      </c>
      <c r="O32" s="72">
        <f>O31+364</f>
        <v>43555</v>
      </c>
      <c r="P32" s="72">
        <f>P31+365</f>
        <v>43921</v>
      </c>
      <c r="Q32" s="72">
        <f>Q31+364</f>
        <v>44286</v>
      </c>
      <c r="R32" s="72">
        <f>R31+364</f>
        <v>44651</v>
      </c>
      <c r="S32" s="72">
        <f>S31+364</f>
        <v>45016</v>
      </c>
    </row>
    <row r="33" spans="2:19">
      <c r="C33" s="74"/>
      <c r="D33" s="75"/>
    </row>
    <row r="34" spans="2:19">
      <c r="B34" t="s">
        <v>11</v>
      </c>
      <c r="C34" s="70" t="s">
        <v>793</v>
      </c>
      <c r="D34" s="71" t="str">
        <f>$B$34&amp;$A$1</f>
        <v>ISTAppraisal Dates</v>
      </c>
      <c r="E34" s="72">
        <v>39539</v>
      </c>
      <c r="F34" s="72">
        <f t="shared" ref="F34:S34" si="7">E35+1</f>
        <v>39904</v>
      </c>
      <c r="G34" s="72">
        <f t="shared" si="7"/>
        <v>40269</v>
      </c>
      <c r="H34" s="72">
        <f t="shared" si="7"/>
        <v>40634</v>
      </c>
      <c r="I34" s="72">
        <f t="shared" si="7"/>
        <v>41000</v>
      </c>
      <c r="J34" s="72">
        <f t="shared" si="7"/>
        <v>41365</v>
      </c>
      <c r="K34" s="72">
        <f t="shared" si="7"/>
        <v>41730</v>
      </c>
      <c r="L34" s="72">
        <f t="shared" si="7"/>
        <v>42095</v>
      </c>
      <c r="M34" s="72">
        <f t="shared" si="7"/>
        <v>42461</v>
      </c>
      <c r="N34" s="72">
        <f t="shared" si="7"/>
        <v>42826</v>
      </c>
      <c r="O34" s="72">
        <f t="shared" si="7"/>
        <v>43191</v>
      </c>
      <c r="P34" s="72">
        <f t="shared" si="7"/>
        <v>43556</v>
      </c>
      <c r="Q34" s="72">
        <f t="shared" si="7"/>
        <v>43922</v>
      </c>
      <c r="R34" s="72">
        <f t="shared" si="7"/>
        <v>44287</v>
      </c>
      <c r="S34" s="72">
        <f t="shared" si="7"/>
        <v>44652</v>
      </c>
    </row>
    <row r="35" spans="2:19">
      <c r="D35" s="71" t="str">
        <f>$B$34&amp;$A$2</f>
        <v>ISTEnd Dates</v>
      </c>
      <c r="E35" s="72">
        <f>+E34+364</f>
        <v>39903</v>
      </c>
      <c r="F35" s="72">
        <f>F34+364</f>
        <v>40268</v>
      </c>
      <c r="G35" s="72">
        <f>G34+364</f>
        <v>40633</v>
      </c>
      <c r="H35" s="72">
        <f>H34+365</f>
        <v>40999</v>
      </c>
      <c r="I35" s="72">
        <f>I34+364</f>
        <v>41364</v>
      </c>
      <c r="J35" s="72">
        <f>J34+364</f>
        <v>41729</v>
      </c>
      <c r="K35" s="72">
        <f>K34+364</f>
        <v>42094</v>
      </c>
      <c r="L35" s="72">
        <f>L34+365</f>
        <v>42460</v>
      </c>
      <c r="M35" s="72">
        <f>M34+364</f>
        <v>42825</v>
      </c>
      <c r="N35" s="72">
        <f>N34+364</f>
        <v>43190</v>
      </c>
      <c r="O35" s="72">
        <f>O34+364</f>
        <v>43555</v>
      </c>
      <c r="P35" s="72">
        <f>P34+365</f>
        <v>43921</v>
      </c>
      <c r="Q35" s="72">
        <f>Q34+364</f>
        <v>44286</v>
      </c>
      <c r="R35" s="72">
        <f>R34+364</f>
        <v>44651</v>
      </c>
      <c r="S35" s="72">
        <f>S34+364</f>
        <v>45016</v>
      </c>
    </row>
    <row r="36" spans="2:19">
      <c r="C36" s="74"/>
      <c r="D36" s="75"/>
    </row>
    <row r="37" spans="2:19">
      <c r="B37" t="s">
        <v>799</v>
      </c>
      <c r="C37" s="70" t="s">
        <v>793</v>
      </c>
      <c r="D37" s="71" t="str">
        <f>$B$37&amp;$A$1</f>
        <v>MSTCAppraisal Dates</v>
      </c>
      <c r="E37" s="72">
        <v>39539</v>
      </c>
      <c r="F37" s="72">
        <f t="shared" ref="F37:S37" si="8">E38+1</f>
        <v>39904</v>
      </c>
      <c r="G37" s="72">
        <f t="shared" si="8"/>
        <v>40269</v>
      </c>
      <c r="H37" s="72">
        <f t="shared" si="8"/>
        <v>40634</v>
      </c>
      <c r="I37" s="72">
        <f t="shared" si="8"/>
        <v>41000</v>
      </c>
      <c r="J37" s="72">
        <f t="shared" si="8"/>
        <v>41365</v>
      </c>
      <c r="K37" s="72">
        <f t="shared" si="8"/>
        <v>41730</v>
      </c>
      <c r="L37" s="72">
        <f t="shared" si="8"/>
        <v>42095</v>
      </c>
      <c r="M37" s="72">
        <f t="shared" si="8"/>
        <v>42461</v>
      </c>
      <c r="N37" s="72">
        <f t="shared" si="8"/>
        <v>42826</v>
      </c>
      <c r="O37" s="72">
        <f t="shared" si="8"/>
        <v>43191</v>
      </c>
      <c r="P37" s="72">
        <f t="shared" si="8"/>
        <v>43556</v>
      </c>
      <c r="Q37" s="72">
        <f t="shared" si="8"/>
        <v>43922</v>
      </c>
      <c r="R37" s="72">
        <f t="shared" si="8"/>
        <v>44287</v>
      </c>
      <c r="S37" s="72">
        <f t="shared" si="8"/>
        <v>44652</v>
      </c>
    </row>
    <row r="38" spans="2:19">
      <c r="D38" s="71" t="str">
        <f>$B$37&amp;$A$2</f>
        <v>MSTCEnd Dates</v>
      </c>
      <c r="E38" s="72">
        <f>+E37+364</f>
        <v>39903</v>
      </c>
      <c r="F38" s="72">
        <f>F37+364</f>
        <v>40268</v>
      </c>
      <c r="G38" s="72">
        <f>G37+364</f>
        <v>40633</v>
      </c>
      <c r="H38" s="72">
        <f>H37+365</f>
        <v>40999</v>
      </c>
      <c r="I38" s="72">
        <f>I37+364</f>
        <v>41364</v>
      </c>
      <c r="J38" s="72">
        <f>J37+364</f>
        <v>41729</v>
      </c>
      <c r="K38" s="72">
        <f>K37+364</f>
        <v>42094</v>
      </c>
      <c r="L38" s="72">
        <f>L37+365</f>
        <v>42460</v>
      </c>
      <c r="M38" s="72">
        <f>M37+364</f>
        <v>42825</v>
      </c>
      <c r="N38" s="72">
        <f>N37+364</f>
        <v>43190</v>
      </c>
      <c r="O38" s="72">
        <f>O37+364</f>
        <v>43555</v>
      </c>
      <c r="P38" s="72">
        <f>P37+365</f>
        <v>43921</v>
      </c>
      <c r="Q38" s="72">
        <f>Q37+364</f>
        <v>44286</v>
      </c>
      <c r="R38" s="72">
        <f>R37+364</f>
        <v>44651</v>
      </c>
      <c r="S38" s="72">
        <f>S37+364</f>
        <v>45016</v>
      </c>
    </row>
    <row r="39" spans="2:19">
      <c r="D39" s="71"/>
      <c r="E39" s="892"/>
      <c r="F39" s="892"/>
      <c r="G39" s="892"/>
      <c r="H39" s="892"/>
      <c r="I39" s="892"/>
      <c r="J39" s="892"/>
      <c r="K39" s="892"/>
      <c r="L39" s="892"/>
      <c r="M39" s="892"/>
      <c r="N39" s="892"/>
      <c r="O39" s="892"/>
      <c r="P39" s="892"/>
      <c r="Q39" s="892"/>
      <c r="R39" s="892"/>
      <c r="S39" s="892"/>
    </row>
    <row r="40" spans="2:19">
      <c r="B40" t="s">
        <v>847</v>
      </c>
      <c r="C40" s="70" t="s">
        <v>793</v>
      </c>
      <c r="D40" s="71" t="str">
        <f>$B$40&amp;$A$1</f>
        <v>MGCSAppraisal Dates</v>
      </c>
      <c r="E40" s="72">
        <v>39539</v>
      </c>
      <c r="F40" s="72">
        <f t="shared" ref="F40:S40" si="9">E41+1</f>
        <v>39904</v>
      </c>
      <c r="G40" s="72">
        <f t="shared" si="9"/>
        <v>40269</v>
      </c>
      <c r="H40" s="72">
        <f t="shared" si="9"/>
        <v>40634</v>
      </c>
      <c r="I40" s="72">
        <f t="shared" si="9"/>
        <v>41000</v>
      </c>
      <c r="J40" s="72">
        <f t="shared" si="9"/>
        <v>41365</v>
      </c>
      <c r="K40" s="72">
        <f t="shared" si="9"/>
        <v>41730</v>
      </c>
      <c r="L40" s="72">
        <f t="shared" si="9"/>
        <v>42095</v>
      </c>
      <c r="M40" s="72">
        <f t="shared" si="9"/>
        <v>42461</v>
      </c>
      <c r="N40" s="72">
        <f t="shared" si="9"/>
        <v>42826</v>
      </c>
      <c r="O40" s="72">
        <f t="shared" si="9"/>
        <v>43191</v>
      </c>
      <c r="P40" s="72">
        <f t="shared" si="9"/>
        <v>43556</v>
      </c>
      <c r="Q40" s="72">
        <f t="shared" si="9"/>
        <v>43922</v>
      </c>
      <c r="R40" s="72">
        <f t="shared" si="9"/>
        <v>44287</v>
      </c>
      <c r="S40" s="72">
        <f t="shared" si="9"/>
        <v>44652</v>
      </c>
    </row>
    <row r="41" spans="2:19">
      <c r="C41" s="70"/>
      <c r="D41" s="71" t="str">
        <f>$B$40&amp;$A$2</f>
        <v>MGCSEnd Dates</v>
      </c>
      <c r="E41" s="72">
        <f>+E40+364</f>
        <v>39903</v>
      </c>
      <c r="F41" s="72">
        <f>F40+364</f>
        <v>40268</v>
      </c>
      <c r="G41" s="72">
        <f>G40+364</f>
        <v>40633</v>
      </c>
      <c r="H41" s="72">
        <f>H40+365</f>
        <v>40999</v>
      </c>
      <c r="I41" s="72">
        <f>I40+364</f>
        <v>41364</v>
      </c>
      <c r="J41" s="72">
        <f>J40+364</f>
        <v>41729</v>
      </c>
      <c r="K41" s="72">
        <f>K40+364</f>
        <v>42094</v>
      </c>
      <c r="L41" s="72">
        <f>L40+365</f>
        <v>42460</v>
      </c>
      <c r="M41" s="72">
        <f>M40+364</f>
        <v>42825</v>
      </c>
      <c r="N41" s="72">
        <f>N40+364</f>
        <v>43190</v>
      </c>
      <c r="O41" s="72">
        <f>O40+364</f>
        <v>43555</v>
      </c>
      <c r="P41" s="72">
        <f>P40+365</f>
        <v>43921</v>
      </c>
      <c r="Q41" s="72">
        <f>Q40+364</f>
        <v>44286</v>
      </c>
      <c r="R41" s="72">
        <f>R40+364</f>
        <v>44651</v>
      </c>
      <c r="S41" s="72">
        <f>S40+364</f>
        <v>45016</v>
      </c>
    </row>
    <row r="42" spans="2:19">
      <c r="D42" s="71"/>
      <c r="E42" s="892"/>
      <c r="F42" s="892"/>
      <c r="G42" s="892"/>
      <c r="H42" s="892"/>
      <c r="I42" s="892"/>
      <c r="J42" s="892"/>
      <c r="K42" s="892"/>
      <c r="L42" s="892"/>
      <c r="M42" s="892"/>
      <c r="N42" s="892"/>
      <c r="O42" s="892"/>
      <c r="P42" s="892"/>
      <c r="Q42" s="892"/>
      <c r="R42" s="892"/>
      <c r="S42" s="892"/>
    </row>
    <row r="44" spans="2:19">
      <c r="D44"/>
      <c r="E44" s="76" t="s">
        <v>12</v>
      </c>
      <c r="F44" s="76" t="s">
        <v>13</v>
      </c>
      <c r="G44" s="76" t="s">
        <v>14</v>
      </c>
      <c r="H44" s="76" t="s">
        <v>15</v>
      </c>
      <c r="I44" s="76" t="s">
        <v>16</v>
      </c>
      <c r="J44" s="76" t="s">
        <v>17</v>
      </c>
    </row>
    <row r="45" spans="2:19">
      <c r="D45" s="77" t="str">
        <f>B4</f>
        <v>MCCS</v>
      </c>
      <c r="E45" s="78">
        <v>4</v>
      </c>
      <c r="F45" s="78">
        <v>1</v>
      </c>
      <c r="G45" s="78">
        <v>3</v>
      </c>
      <c r="H45" s="78">
        <v>31</v>
      </c>
      <c r="I45" s="78" t="s">
        <v>18</v>
      </c>
      <c r="J45" s="79" t="s">
        <v>600</v>
      </c>
    </row>
    <row r="46" spans="2:19">
      <c r="D46" s="77" t="str">
        <f>B8</f>
        <v>SMA</v>
      </c>
      <c r="E46" s="78">
        <v>4</v>
      </c>
      <c r="F46" s="78">
        <v>1</v>
      </c>
      <c r="G46" s="78">
        <v>3</v>
      </c>
      <c r="H46" s="78">
        <v>31</v>
      </c>
      <c r="I46" s="78" t="s">
        <v>18</v>
      </c>
      <c r="J46" s="79" t="s">
        <v>600</v>
      </c>
    </row>
    <row r="47" spans="2:19">
      <c r="D47" s="77" t="str">
        <f>B12</f>
        <v>MTISC</v>
      </c>
      <c r="E47" s="78">
        <v>4</v>
      </c>
      <c r="F47" s="78">
        <v>1</v>
      </c>
      <c r="G47" s="78">
        <v>3</v>
      </c>
      <c r="H47" s="78">
        <v>31</v>
      </c>
      <c r="I47" s="78" t="s">
        <v>18</v>
      </c>
      <c r="J47" s="79" t="s">
        <v>600</v>
      </c>
    </row>
    <row r="48" spans="2:19">
      <c r="D48" s="77" t="str">
        <f>B16</f>
        <v>MSEC</v>
      </c>
      <c r="E48" s="78">
        <v>4</v>
      </c>
      <c r="F48" s="78">
        <v>1</v>
      </c>
      <c r="G48" s="78">
        <v>3</v>
      </c>
      <c r="H48" s="78">
        <v>31</v>
      </c>
      <c r="I48" s="78" t="s">
        <v>18</v>
      </c>
      <c r="J48" s="79" t="s">
        <v>600</v>
      </c>
    </row>
    <row r="49" spans="1:10">
      <c r="D49" s="77" t="str">
        <f>B20</f>
        <v>SRS</v>
      </c>
      <c r="E49" s="887">
        <v>3</v>
      </c>
      <c r="F49" s="887">
        <v>1</v>
      </c>
      <c r="G49" s="887">
        <v>2</v>
      </c>
      <c r="H49" s="887">
        <v>28</v>
      </c>
      <c r="I49" s="887" t="s">
        <v>589</v>
      </c>
      <c r="J49" s="888" t="s">
        <v>19</v>
      </c>
    </row>
    <row r="50" spans="1:10">
      <c r="D50" s="77" t="str">
        <f>B24</f>
        <v>ATAC</v>
      </c>
      <c r="E50" s="78">
        <v>5</v>
      </c>
      <c r="F50" s="78">
        <v>1</v>
      </c>
      <c r="G50" s="78">
        <v>4</v>
      </c>
      <c r="H50" s="78">
        <v>30</v>
      </c>
      <c r="I50" s="78" t="s">
        <v>18</v>
      </c>
      <c r="J50" s="79" t="s">
        <v>600</v>
      </c>
    </row>
    <row r="51" spans="1:10">
      <c r="D51" s="77" t="str">
        <f>B28</f>
        <v>GRS</v>
      </c>
      <c r="E51" s="78">
        <v>4</v>
      </c>
      <c r="F51" s="78">
        <v>1</v>
      </c>
      <c r="G51" s="78">
        <v>3</v>
      </c>
      <c r="H51" s="78">
        <v>31</v>
      </c>
      <c r="I51" s="78" t="s">
        <v>18</v>
      </c>
      <c r="J51" s="79" t="s">
        <v>600</v>
      </c>
    </row>
    <row r="52" spans="1:10">
      <c r="D52" s="77" t="str">
        <f>B31</f>
        <v>MASI</v>
      </c>
      <c r="E52" s="78">
        <v>4</v>
      </c>
      <c r="F52" s="78">
        <v>1</v>
      </c>
      <c r="G52" s="78">
        <v>3</v>
      </c>
      <c r="H52" s="78">
        <v>31</v>
      </c>
      <c r="I52" s="78" t="s">
        <v>18</v>
      </c>
      <c r="J52" s="79" t="s">
        <v>600</v>
      </c>
    </row>
    <row r="53" spans="1:10">
      <c r="D53" s="77" t="str">
        <f>B34</f>
        <v>IST</v>
      </c>
      <c r="E53" s="78">
        <v>4</v>
      </c>
      <c r="F53" s="78">
        <v>1</v>
      </c>
      <c r="G53" s="78">
        <v>3</v>
      </c>
      <c r="H53" s="78">
        <v>31</v>
      </c>
      <c r="I53" s="78" t="s">
        <v>18</v>
      </c>
      <c r="J53" s="79" t="s">
        <v>600</v>
      </c>
    </row>
    <row r="54" spans="1:10">
      <c r="D54" s="77" t="str">
        <f>B37</f>
        <v>MSTC</v>
      </c>
      <c r="E54" s="78">
        <v>4</v>
      </c>
      <c r="F54" s="78">
        <v>1</v>
      </c>
      <c r="G54" s="78">
        <v>3</v>
      </c>
      <c r="H54" s="78">
        <v>31</v>
      </c>
      <c r="I54" s="78" t="s">
        <v>18</v>
      </c>
      <c r="J54" s="79" t="s">
        <v>600</v>
      </c>
    </row>
    <row r="55" spans="1:10">
      <c r="D55" s="77" t="s">
        <v>847</v>
      </c>
      <c r="E55" s="78">
        <v>4</v>
      </c>
      <c r="F55" s="78">
        <v>1</v>
      </c>
      <c r="G55" s="78">
        <v>3</v>
      </c>
      <c r="H55" s="78">
        <v>31</v>
      </c>
      <c r="I55" s="78" t="s">
        <v>18</v>
      </c>
      <c r="J55" s="79" t="s">
        <v>600</v>
      </c>
    </row>
    <row r="57" spans="1:10">
      <c r="B57" s="840" t="s">
        <v>792</v>
      </c>
      <c r="C57" s="840" t="s">
        <v>636</v>
      </c>
    </row>
    <row r="58" spans="1:10">
      <c r="A58" s="69">
        <v>1</v>
      </c>
      <c r="B58" s="431" t="s">
        <v>43</v>
      </c>
      <c r="C58" s="841">
        <v>3.3000000000000002E-2</v>
      </c>
    </row>
    <row r="59" spans="1:10">
      <c r="A59" s="69">
        <v>2</v>
      </c>
      <c r="B59" s="431" t="s">
        <v>44</v>
      </c>
      <c r="C59" s="841">
        <v>3.3000000000000002E-2</v>
      </c>
    </row>
    <row r="60" spans="1:10">
      <c r="A60" s="69">
        <v>3</v>
      </c>
      <c r="B60" s="431" t="s">
        <v>42</v>
      </c>
      <c r="C60" s="841">
        <v>3.3000000000000002E-2</v>
      </c>
    </row>
    <row r="61" spans="1:10">
      <c r="A61" s="69">
        <v>4</v>
      </c>
      <c r="B61" s="842" t="s">
        <v>811</v>
      </c>
      <c r="C61" s="841">
        <v>3.3000000000000002E-2</v>
      </c>
    </row>
    <row r="62" spans="1:10">
      <c r="A62" s="69">
        <v>5</v>
      </c>
      <c r="B62" s="842" t="s">
        <v>47</v>
      </c>
      <c r="C62" s="843">
        <v>3.3000000000000002E-2</v>
      </c>
    </row>
    <row r="63" spans="1:10">
      <c r="A63" s="69">
        <v>6</v>
      </c>
      <c r="B63" s="858" t="s">
        <v>812</v>
      </c>
      <c r="C63" s="843">
        <v>3.3000000000000002E-2</v>
      </c>
    </row>
    <row r="64" spans="1:10">
      <c r="A64" s="69">
        <v>7</v>
      </c>
      <c r="B64" s="842" t="s">
        <v>813</v>
      </c>
      <c r="C64" s="841">
        <v>4.2999999999999997E-2</v>
      </c>
    </row>
    <row r="65" spans="1:3">
      <c r="A65" s="69">
        <v>8</v>
      </c>
      <c r="B65" s="842" t="s">
        <v>814</v>
      </c>
      <c r="C65" s="841">
        <v>4.2999999999999997E-2</v>
      </c>
    </row>
    <row r="66" spans="1:3">
      <c r="A66" s="69">
        <v>9</v>
      </c>
      <c r="B66" s="842" t="s">
        <v>815</v>
      </c>
      <c r="C66" s="841">
        <v>4.2999999999999997E-2</v>
      </c>
    </row>
    <row r="67" spans="1:3">
      <c r="A67" s="69">
        <v>10</v>
      </c>
      <c r="B67" s="842" t="s">
        <v>45</v>
      </c>
      <c r="C67" s="841">
        <v>4.2999999999999997E-2</v>
      </c>
    </row>
    <row r="68" spans="1:3">
      <c r="C68" s="70"/>
    </row>
    <row r="69" spans="1:3">
      <c r="A69" s="69">
        <v>11</v>
      </c>
      <c r="B69" s="842" t="s">
        <v>845</v>
      </c>
      <c r="C69" s="843">
        <v>3.3000000000000002E-2</v>
      </c>
    </row>
    <row r="70" spans="1:3">
      <c r="A70" s="69">
        <v>12</v>
      </c>
      <c r="B70" s="842" t="s">
        <v>846</v>
      </c>
      <c r="C70" s="843">
        <v>3.3000000000000002E-2</v>
      </c>
    </row>
    <row r="71" spans="1:3">
      <c r="C71" s="70"/>
    </row>
    <row r="72" spans="1:3">
      <c r="A72" s="69">
        <v>15</v>
      </c>
      <c r="B72" s="842" t="s">
        <v>11</v>
      </c>
      <c r="C72" s="843">
        <v>5.5E-2</v>
      </c>
    </row>
    <row r="73" spans="1:3">
      <c r="A73" s="69">
        <v>16</v>
      </c>
      <c r="B73" s="842" t="s">
        <v>804</v>
      </c>
      <c r="C73" s="843">
        <v>5.5E-2</v>
      </c>
    </row>
    <row r="74" spans="1:3">
      <c r="A74" s="69">
        <v>17</v>
      </c>
      <c r="B74" s="842" t="s">
        <v>803</v>
      </c>
      <c r="C74" s="843">
        <v>5.5E-2</v>
      </c>
    </row>
    <row r="75" spans="1:3">
      <c r="A75" s="69">
        <v>18</v>
      </c>
      <c r="B75" s="842" t="s">
        <v>46</v>
      </c>
      <c r="C75" s="843">
        <v>4.2999999999999997E-2</v>
      </c>
    </row>
    <row r="76" spans="1:3">
      <c r="A76" s="69">
        <v>19</v>
      </c>
      <c r="B76" s="842" t="s">
        <v>494</v>
      </c>
      <c r="C76" s="843">
        <v>4.2999999999999997E-2</v>
      </c>
    </row>
    <row r="77" spans="1:3">
      <c r="A77" s="69">
        <v>20</v>
      </c>
      <c r="B77" s="842" t="s">
        <v>790</v>
      </c>
      <c r="C77" s="843">
        <v>4.2999999999999997E-2</v>
      </c>
    </row>
    <row r="78" spans="1:3">
      <c r="B78" s="845"/>
      <c r="C78" s="846"/>
    </row>
    <row r="79" spans="1:3">
      <c r="A79" s="69">
        <v>21</v>
      </c>
      <c r="B79" s="842" t="s">
        <v>806</v>
      </c>
      <c r="C79" s="843">
        <v>4.2999999999999997E-2</v>
      </c>
    </row>
    <row r="80" spans="1:3">
      <c r="A80" s="69">
        <v>22</v>
      </c>
      <c r="B80" s="842" t="s">
        <v>805</v>
      </c>
      <c r="C80" s="843">
        <v>4.2999999999999997E-2</v>
      </c>
    </row>
    <row r="81" spans="1:4">
      <c r="A81" s="69">
        <v>23</v>
      </c>
      <c r="B81" s="858" t="s">
        <v>809</v>
      </c>
      <c r="C81" s="859">
        <v>4.2999999999999997E-2</v>
      </c>
      <c r="D81" s="860" t="s">
        <v>816</v>
      </c>
    </row>
    <row r="82" spans="1:4">
      <c r="A82" s="69">
        <v>24</v>
      </c>
      <c r="B82" s="858" t="s">
        <v>810</v>
      </c>
      <c r="C82" s="859">
        <v>4.2999999999999997E-2</v>
      </c>
      <c r="D82" s="860" t="s">
        <v>816</v>
      </c>
    </row>
    <row r="83" spans="1:4">
      <c r="A83" s="69">
        <v>25</v>
      </c>
      <c r="B83" s="842" t="s">
        <v>807</v>
      </c>
      <c r="C83" s="843">
        <v>5.5E-2</v>
      </c>
    </row>
    <row r="84" spans="1:4">
      <c r="A84" s="69">
        <v>26</v>
      </c>
      <c r="B84" s="842" t="s">
        <v>808</v>
      </c>
      <c r="C84" s="843">
        <v>5.5E-2</v>
      </c>
    </row>
    <row r="85" spans="1:4">
      <c r="A85" s="69">
        <v>27</v>
      </c>
      <c r="B85" s="842" t="s">
        <v>495</v>
      </c>
      <c r="C85" s="843">
        <v>5.5E-2</v>
      </c>
    </row>
    <row r="86" spans="1:4">
      <c r="A86" s="69">
        <v>28</v>
      </c>
      <c r="B86" s="842" t="s">
        <v>497</v>
      </c>
      <c r="C86" s="843">
        <v>5.5E-2</v>
      </c>
    </row>
    <row r="87" spans="1:4">
      <c r="A87" s="69">
        <v>29</v>
      </c>
      <c r="B87" s="842" t="s">
        <v>496</v>
      </c>
      <c r="C87" s="843">
        <v>4.2999999999999997E-2</v>
      </c>
    </row>
    <row r="88" spans="1:4">
      <c r="A88" s="69">
        <v>30</v>
      </c>
      <c r="B88" s="842" t="s">
        <v>791</v>
      </c>
      <c r="C88" s="843">
        <v>4.2999999999999997E-2</v>
      </c>
    </row>
    <row r="89" spans="1:4">
      <c r="B89" s="845"/>
      <c r="C89" s="846"/>
    </row>
    <row r="90" spans="1:4">
      <c r="A90" s="69">
        <v>31</v>
      </c>
      <c r="B90" s="842" t="s">
        <v>795</v>
      </c>
      <c r="C90" s="841">
        <v>5.5E-2</v>
      </c>
      <c r="D90" s="856" t="s">
        <v>801</v>
      </c>
    </row>
    <row r="91" spans="1:4">
      <c r="C91" s="70"/>
    </row>
    <row r="92" spans="1:4">
      <c r="A92" s="69">
        <v>32</v>
      </c>
      <c r="B92" s="842" t="s">
        <v>48</v>
      </c>
      <c r="C92" s="843">
        <v>0</v>
      </c>
    </row>
  </sheetData>
  <phoneticPr fontId="23"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8"/>
  <dimension ref="A1:AE66"/>
  <sheetViews>
    <sheetView workbookViewId="0">
      <pane xSplit="2" ySplit="2" topLeftCell="H3" activePane="bottomRight" state="frozen"/>
      <selection activeCell="E20" sqref="E20:S21"/>
      <selection pane="topRight" activeCell="E20" sqref="E20:S21"/>
      <selection pane="bottomLeft" activeCell="E20" sqref="E20:S21"/>
      <selection pane="bottomRight" activeCell="J22" sqref="J22"/>
    </sheetView>
  </sheetViews>
  <sheetFormatPr defaultRowHeight="12.75"/>
  <cols>
    <col min="1" max="1" width="9.7109375" style="129" hidden="1" customWidth="1"/>
    <col min="2" max="2" width="16" bestFit="1" customWidth="1"/>
    <col min="3" max="11" width="20" style="4" customWidth="1"/>
    <col min="12" max="12" width="21.5703125" style="4" bestFit="1" customWidth="1"/>
    <col min="13" max="13" width="22.140625" style="4" bestFit="1" customWidth="1"/>
    <col min="14" max="30" width="20" style="4" customWidth="1"/>
    <col min="31" max="31" width="20" customWidth="1"/>
    <col min="32" max="16384" width="9.140625" style="4"/>
  </cols>
  <sheetData>
    <row r="1" spans="1:31" s="862" customFormat="1" ht="27" customHeight="1" thickBot="1">
      <c r="A1" s="127"/>
      <c r="B1" s="113"/>
      <c r="C1" s="815"/>
      <c r="D1" s="815"/>
      <c r="E1" s="815"/>
      <c r="F1" s="815"/>
      <c r="G1" s="815"/>
      <c r="H1" s="815"/>
      <c r="I1" s="815"/>
      <c r="J1" s="815"/>
      <c r="K1" s="815"/>
      <c r="L1" s="815" t="s">
        <v>8</v>
      </c>
      <c r="M1" s="815" t="s">
        <v>8</v>
      </c>
      <c r="N1" s="815"/>
      <c r="O1" s="815"/>
      <c r="P1" s="815"/>
      <c r="Q1" s="815"/>
      <c r="R1" s="815"/>
      <c r="S1" s="815"/>
      <c r="T1" s="815"/>
      <c r="U1" s="815"/>
      <c r="V1" s="815"/>
      <c r="W1" s="815"/>
      <c r="X1" s="815"/>
      <c r="Y1" s="815"/>
      <c r="Z1" s="815"/>
      <c r="AA1" s="815"/>
      <c r="AB1" s="815"/>
      <c r="AC1" s="815"/>
      <c r="AD1" s="815"/>
      <c r="AE1" s="815"/>
    </row>
    <row r="2" spans="1:31" s="50" customFormat="1" ht="13.5" thickBot="1">
      <c r="A2" s="128"/>
      <c r="B2" s="114"/>
      <c r="C2" s="861"/>
      <c r="D2" s="115"/>
      <c r="E2" s="115"/>
      <c r="F2" s="115"/>
      <c r="G2" s="115"/>
      <c r="H2" s="115"/>
      <c r="I2" s="115"/>
      <c r="J2" s="115"/>
      <c r="K2" s="115"/>
      <c r="L2" s="115" t="s">
        <v>845</v>
      </c>
      <c r="M2" s="115" t="s">
        <v>846</v>
      </c>
      <c r="N2" s="115"/>
      <c r="O2" s="115"/>
      <c r="P2" s="115"/>
      <c r="Q2" s="115"/>
      <c r="R2" s="115"/>
      <c r="S2" s="115"/>
      <c r="T2" s="115"/>
      <c r="U2" s="115"/>
      <c r="V2" s="115"/>
      <c r="W2" s="115"/>
      <c r="X2" s="115"/>
      <c r="Y2" s="115"/>
      <c r="Z2" s="115"/>
      <c r="AA2" s="115"/>
      <c r="AB2" s="115"/>
      <c r="AC2" s="115"/>
      <c r="AD2" s="115"/>
      <c r="AE2" s="115"/>
    </row>
    <row r="3" spans="1:31" ht="13.5" thickBot="1">
      <c r="A3" s="857"/>
      <c r="B3" s="116">
        <v>2009</v>
      </c>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row>
    <row r="4" spans="1:31">
      <c r="A4" s="129" t="str">
        <f>B3&amp;B4</f>
        <v>2009PRB</v>
      </c>
      <c r="B4" s="117" t="s">
        <v>621</v>
      </c>
      <c r="C4" s="811"/>
      <c r="D4" s="118"/>
      <c r="E4" s="118"/>
      <c r="F4" s="118"/>
      <c r="G4" s="118"/>
      <c r="H4" s="118"/>
      <c r="I4" s="118"/>
      <c r="J4" s="118"/>
      <c r="K4" s="118"/>
      <c r="L4" s="118">
        <v>0.31240000000000001</v>
      </c>
      <c r="M4" s="118">
        <v>0.42159999999999997</v>
      </c>
      <c r="N4" s="118"/>
      <c r="O4" s="811"/>
      <c r="P4" s="118"/>
      <c r="Q4" s="118"/>
      <c r="R4" s="118"/>
      <c r="S4" s="118"/>
      <c r="T4" s="118"/>
      <c r="U4" s="118"/>
      <c r="V4" s="118"/>
      <c r="W4" s="118"/>
      <c r="X4" s="118"/>
      <c r="Y4" s="118"/>
      <c r="Z4" s="118"/>
      <c r="AA4" s="118"/>
      <c r="AB4" s="118"/>
      <c r="AC4" s="118"/>
      <c r="AD4" s="118"/>
      <c r="AE4" s="118"/>
    </row>
    <row r="5" spans="1:31">
      <c r="A5" s="129" t="str">
        <f>B3&amp;B5</f>
        <v>2009Overhead - Offsite</v>
      </c>
      <c r="B5" s="117" t="s">
        <v>594</v>
      </c>
      <c r="C5" s="812"/>
      <c r="D5" s="119"/>
      <c r="E5" s="119"/>
      <c r="F5" s="119"/>
      <c r="G5" s="119"/>
      <c r="H5" s="119"/>
      <c r="I5" s="119"/>
      <c r="J5" s="119"/>
      <c r="K5" s="119"/>
      <c r="L5" s="119">
        <v>0.1988</v>
      </c>
      <c r="M5" s="119">
        <v>0.1401</v>
      </c>
      <c r="N5" s="119"/>
      <c r="O5" s="812"/>
      <c r="P5" s="119"/>
      <c r="Q5" s="119"/>
      <c r="R5" s="119"/>
      <c r="S5" s="119"/>
      <c r="T5" s="119"/>
      <c r="U5" s="119"/>
      <c r="V5" s="119"/>
      <c r="W5" s="119"/>
      <c r="X5" s="119"/>
      <c r="Y5" s="119"/>
      <c r="Z5" s="119"/>
      <c r="AA5" s="119"/>
      <c r="AB5" s="119"/>
      <c r="AC5" s="119"/>
      <c r="AD5" s="119"/>
      <c r="AE5" s="119"/>
    </row>
    <row r="6" spans="1:31">
      <c r="A6" s="129" t="str">
        <f>B3&amp;B6</f>
        <v>2009Overhead - Onsite</v>
      </c>
      <c r="B6" s="117" t="s">
        <v>595</v>
      </c>
      <c r="C6" s="812"/>
      <c r="D6" s="119"/>
      <c r="E6" s="119"/>
      <c r="F6" s="119"/>
      <c r="G6" s="119"/>
      <c r="H6" s="119"/>
      <c r="I6" s="119"/>
      <c r="J6" s="119"/>
      <c r="K6" s="119"/>
      <c r="L6" s="119">
        <v>2.23E-2</v>
      </c>
      <c r="M6" s="119" t="s">
        <v>589</v>
      </c>
      <c r="N6" s="119"/>
      <c r="O6" s="812"/>
      <c r="P6" s="119"/>
      <c r="Q6" s="119"/>
      <c r="R6" s="119"/>
      <c r="S6" s="119"/>
      <c r="T6" s="119"/>
      <c r="U6" s="119"/>
      <c r="V6" s="119"/>
      <c r="W6" s="119"/>
      <c r="X6" s="119"/>
      <c r="Y6" s="119"/>
      <c r="Z6" s="119"/>
      <c r="AA6" s="119"/>
      <c r="AB6" s="119"/>
      <c r="AC6" s="119"/>
      <c r="AD6" s="119"/>
      <c r="AE6" s="119"/>
    </row>
    <row r="7" spans="1:31">
      <c r="A7" s="129" t="str">
        <f>B3&amp;B7</f>
        <v>2009Material Handling</v>
      </c>
      <c r="B7" s="117" t="s">
        <v>596</v>
      </c>
      <c r="C7" s="812"/>
      <c r="D7" s="119"/>
      <c r="E7" s="119"/>
      <c r="F7" s="119"/>
      <c r="G7" s="119"/>
      <c r="H7" s="119"/>
      <c r="I7" s="119"/>
      <c r="J7" s="119"/>
      <c r="K7" s="119"/>
      <c r="L7" s="119">
        <v>3.1699999999999999E-2</v>
      </c>
      <c r="M7" s="119">
        <v>3.1699999999999999E-2</v>
      </c>
      <c r="N7" s="119"/>
      <c r="O7" s="812"/>
      <c r="P7" s="119"/>
      <c r="Q7" s="119"/>
      <c r="R7" s="119"/>
      <c r="S7" s="119"/>
      <c r="T7" s="119"/>
      <c r="U7" s="119"/>
      <c r="V7" s="119"/>
      <c r="W7" s="119"/>
      <c r="X7" s="119"/>
      <c r="Y7" s="119"/>
      <c r="Z7" s="119"/>
      <c r="AA7" s="119"/>
      <c r="AB7" s="119"/>
      <c r="AC7" s="119"/>
      <c r="AD7" s="119"/>
      <c r="AE7" s="119"/>
    </row>
    <row r="8" spans="1:31">
      <c r="A8" s="129" t="str">
        <f>B3&amp;B8</f>
        <v>2009G&amp;A</v>
      </c>
      <c r="B8" s="117" t="s">
        <v>597</v>
      </c>
      <c r="C8" s="812"/>
      <c r="D8" s="119"/>
      <c r="E8" s="119"/>
      <c r="F8" s="119"/>
      <c r="G8" s="119"/>
      <c r="H8" s="119"/>
      <c r="I8" s="119"/>
      <c r="J8" s="119"/>
      <c r="K8" s="119"/>
      <c r="L8" s="119">
        <v>9.7500000000000003E-2</v>
      </c>
      <c r="M8" s="119">
        <v>9.7500000000000003E-2</v>
      </c>
      <c r="N8" s="119"/>
      <c r="O8" s="812"/>
      <c r="P8" s="119"/>
      <c r="Q8" s="119"/>
      <c r="R8" s="119"/>
      <c r="S8" s="119"/>
      <c r="T8" s="119"/>
      <c r="U8" s="119"/>
      <c r="V8" s="119"/>
      <c r="W8" s="119"/>
      <c r="X8" s="119"/>
      <c r="Y8" s="119"/>
      <c r="Z8" s="119"/>
      <c r="AA8" s="119"/>
      <c r="AB8" s="119"/>
      <c r="AC8" s="119"/>
      <c r="AD8" s="119"/>
      <c r="AE8" s="119"/>
    </row>
    <row r="9" spans="1:31">
      <c r="B9" s="120" t="s">
        <v>40</v>
      </c>
      <c r="C9" s="813"/>
      <c r="D9" s="813"/>
      <c r="E9" s="813"/>
      <c r="F9" s="813"/>
      <c r="G9" s="813"/>
      <c r="H9" s="813"/>
      <c r="I9" s="813"/>
      <c r="J9" s="813"/>
      <c r="K9" s="813"/>
      <c r="L9" s="813">
        <f>IF(L6="n/a","n/a",(1+L4)*(1+L6)*(1+L8))</f>
        <v>1.4724790056999999</v>
      </c>
      <c r="M9" s="813" t="str">
        <f>IF(M6="n/a","n/a",(1+M4)*(1+M6)*(1+M8))</f>
        <v>n/a</v>
      </c>
      <c r="N9" s="813"/>
      <c r="O9" s="813"/>
      <c r="P9" s="813"/>
      <c r="Q9" s="813"/>
      <c r="R9" s="813"/>
      <c r="S9" s="813"/>
      <c r="T9" s="813"/>
      <c r="U9" s="813"/>
      <c r="V9" s="813"/>
      <c r="W9" s="813"/>
      <c r="X9" s="813"/>
      <c r="Y9" s="813"/>
      <c r="Z9" s="813"/>
      <c r="AA9" s="813"/>
      <c r="AB9" s="813"/>
      <c r="AC9" s="813"/>
      <c r="AD9" s="813"/>
      <c r="AE9" s="813"/>
    </row>
    <row r="10" spans="1:31" ht="13.5" thickBot="1">
      <c r="B10" s="121" t="s">
        <v>41</v>
      </c>
      <c r="C10" s="814"/>
      <c r="D10" s="814"/>
      <c r="E10" s="814"/>
      <c r="F10" s="814"/>
      <c r="G10" s="814"/>
      <c r="H10" s="814"/>
      <c r="I10" s="814"/>
      <c r="J10" s="814"/>
      <c r="K10" s="814"/>
      <c r="L10" s="814">
        <f>IF(L5="n/a","n/a",(1+L4)*(1+L5)*(1+L8))</f>
        <v>1.7267023692000001</v>
      </c>
      <c r="M10" s="814">
        <f>IF(M5="n/a","n/a",(1+M4)*(1+M5)*(1+M8))</f>
        <v>1.7787908605999998</v>
      </c>
      <c r="N10" s="814"/>
      <c r="O10" s="814"/>
      <c r="P10" s="814"/>
      <c r="Q10" s="814"/>
      <c r="R10" s="814"/>
      <c r="S10" s="814"/>
      <c r="T10" s="814"/>
      <c r="U10" s="814"/>
      <c r="V10" s="814"/>
      <c r="W10" s="814"/>
      <c r="X10" s="814"/>
      <c r="Y10" s="814"/>
      <c r="Z10" s="814"/>
      <c r="AA10" s="814"/>
      <c r="AB10" s="814"/>
      <c r="AC10" s="814"/>
      <c r="AD10" s="814"/>
      <c r="AE10" s="814"/>
    </row>
    <row r="11" spans="1:31" ht="13.5" thickBot="1">
      <c r="A11" s="857"/>
      <c r="B11" s="116">
        <f>B3+1</f>
        <v>2010</v>
      </c>
      <c r="C11" s="810"/>
      <c r="D11" s="810"/>
      <c r="E11" s="810"/>
      <c r="F11" s="810"/>
      <c r="G11" s="810"/>
      <c r="H11" s="810"/>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row>
    <row r="12" spans="1:31">
      <c r="A12" s="129" t="str">
        <f>B11&amp;B12</f>
        <v>2010PRB</v>
      </c>
      <c r="B12" s="117" t="s">
        <v>621</v>
      </c>
      <c r="C12" s="811"/>
      <c r="D12" s="118"/>
      <c r="E12" s="118"/>
      <c r="F12" s="118"/>
      <c r="G12" s="118"/>
      <c r="H12" s="118"/>
      <c r="I12" s="118"/>
      <c r="J12" s="118"/>
      <c r="K12" s="118"/>
      <c r="L12" s="118">
        <v>0.31240000000000001</v>
      </c>
      <c r="M12" s="118">
        <v>0.42159999999999997</v>
      </c>
      <c r="N12" s="118"/>
      <c r="O12" s="811"/>
      <c r="P12" s="118"/>
      <c r="Q12" s="118"/>
      <c r="R12" s="118"/>
      <c r="S12" s="118"/>
      <c r="T12" s="118"/>
      <c r="U12" s="118"/>
      <c r="V12" s="118"/>
      <c r="W12" s="118"/>
      <c r="X12" s="118"/>
      <c r="Y12" s="118"/>
      <c r="Z12" s="118"/>
      <c r="AA12" s="118"/>
      <c r="AB12" s="118"/>
      <c r="AC12" s="118"/>
      <c r="AD12" s="118"/>
      <c r="AE12" s="118"/>
    </row>
    <row r="13" spans="1:31">
      <c r="A13" s="129" t="str">
        <f>B11&amp;B13</f>
        <v>2010Overhead - Offsite</v>
      </c>
      <c r="B13" s="117" t="s">
        <v>594</v>
      </c>
      <c r="C13" s="812"/>
      <c r="D13" s="119"/>
      <c r="E13" s="119"/>
      <c r="F13" s="119"/>
      <c r="G13" s="119"/>
      <c r="H13" s="119"/>
      <c r="I13" s="119"/>
      <c r="J13" s="119"/>
      <c r="K13" s="119"/>
      <c r="L13" s="119">
        <v>0.1988</v>
      </c>
      <c r="M13" s="119">
        <v>0.1401</v>
      </c>
      <c r="N13" s="119"/>
      <c r="O13" s="812"/>
      <c r="P13" s="119"/>
      <c r="Q13" s="119"/>
      <c r="R13" s="119"/>
      <c r="S13" s="119"/>
      <c r="T13" s="119"/>
      <c r="U13" s="119"/>
      <c r="V13" s="119"/>
      <c r="W13" s="119"/>
      <c r="X13" s="119"/>
      <c r="Y13" s="119"/>
      <c r="Z13" s="119"/>
      <c r="AA13" s="119"/>
      <c r="AB13" s="119"/>
      <c r="AC13" s="119"/>
      <c r="AD13" s="119"/>
      <c r="AE13" s="119"/>
    </row>
    <row r="14" spans="1:31">
      <c r="A14" s="129" t="str">
        <f>B11&amp;B14</f>
        <v>2010Overhead - Onsite</v>
      </c>
      <c r="B14" s="117" t="s">
        <v>595</v>
      </c>
      <c r="C14" s="812"/>
      <c r="D14" s="119"/>
      <c r="E14" s="119"/>
      <c r="F14" s="119"/>
      <c r="G14" s="119"/>
      <c r="H14" s="119"/>
      <c r="I14" s="119"/>
      <c r="J14" s="119"/>
      <c r="K14" s="119"/>
      <c r="L14" s="119">
        <v>2.23E-2</v>
      </c>
      <c r="M14" s="119" t="s">
        <v>589</v>
      </c>
      <c r="N14" s="119"/>
      <c r="O14" s="812"/>
      <c r="P14" s="119"/>
      <c r="Q14" s="119"/>
      <c r="R14" s="119"/>
      <c r="S14" s="119"/>
      <c r="T14" s="119"/>
      <c r="U14" s="119"/>
      <c r="V14" s="119"/>
      <c r="W14" s="119"/>
      <c r="X14" s="119"/>
      <c r="Y14" s="119"/>
      <c r="Z14" s="119"/>
      <c r="AA14" s="119"/>
      <c r="AB14" s="119"/>
      <c r="AC14" s="119"/>
      <c r="AD14" s="119"/>
      <c r="AE14" s="119"/>
    </row>
    <row r="15" spans="1:31">
      <c r="A15" s="129" t="str">
        <f>B11&amp;B15</f>
        <v>2010Material Handling</v>
      </c>
      <c r="B15" s="117" t="s">
        <v>596</v>
      </c>
      <c r="C15" s="812"/>
      <c r="D15" s="119"/>
      <c r="E15" s="119"/>
      <c r="F15" s="119"/>
      <c r="G15" s="119"/>
      <c r="H15" s="119"/>
      <c r="I15" s="119"/>
      <c r="J15" s="119"/>
      <c r="K15" s="119"/>
      <c r="L15" s="119">
        <v>3.0700000000000002E-2</v>
      </c>
      <c r="M15" s="119">
        <v>3.0700000000000002E-2</v>
      </c>
      <c r="N15" s="119"/>
      <c r="O15" s="812"/>
      <c r="P15" s="119"/>
      <c r="Q15" s="119"/>
      <c r="R15" s="119"/>
      <c r="S15" s="119"/>
      <c r="T15" s="119"/>
      <c r="U15" s="119"/>
      <c r="V15" s="119"/>
      <c r="W15" s="119"/>
      <c r="X15" s="119"/>
      <c r="Y15" s="119"/>
      <c r="Z15" s="119"/>
      <c r="AA15" s="119"/>
      <c r="AB15" s="119"/>
      <c r="AC15" s="119"/>
      <c r="AD15" s="119"/>
      <c r="AE15" s="119"/>
    </row>
    <row r="16" spans="1:31">
      <c r="A16" s="129" t="str">
        <f>B11&amp;B16</f>
        <v>2010G&amp;A</v>
      </c>
      <c r="B16" s="117" t="s">
        <v>597</v>
      </c>
      <c r="C16" s="812"/>
      <c r="D16" s="119"/>
      <c r="E16" s="119"/>
      <c r="F16" s="119"/>
      <c r="G16" s="119"/>
      <c r="H16" s="119"/>
      <c r="I16" s="119"/>
      <c r="J16" s="119"/>
      <c r="K16" s="119"/>
      <c r="L16" s="119">
        <v>9.4700000000000006E-2</v>
      </c>
      <c r="M16" s="119">
        <v>9.4700000000000006E-2</v>
      </c>
      <c r="N16" s="119"/>
      <c r="O16" s="812"/>
      <c r="P16" s="119"/>
      <c r="Q16" s="119"/>
      <c r="R16" s="119"/>
      <c r="S16" s="119"/>
      <c r="T16" s="119"/>
      <c r="U16" s="119"/>
      <c r="V16" s="119"/>
      <c r="W16" s="119"/>
      <c r="X16" s="119"/>
      <c r="Y16" s="119"/>
      <c r="Z16" s="119"/>
      <c r="AA16" s="119"/>
      <c r="AB16" s="119"/>
      <c r="AC16" s="119"/>
      <c r="AD16" s="119"/>
      <c r="AE16" s="119"/>
    </row>
    <row r="17" spans="1:31">
      <c r="B17" s="120" t="s">
        <v>40</v>
      </c>
      <c r="C17" s="813"/>
      <c r="D17" s="813"/>
      <c r="E17" s="813"/>
      <c r="F17" s="813"/>
      <c r="G17" s="813"/>
      <c r="H17" s="813"/>
      <c r="I17" s="813"/>
      <c r="J17" s="813"/>
      <c r="K17" s="813"/>
      <c r="L17" s="813">
        <f>IF(L14="n/a","n/a",(1+L12)*(1+L14)*(1+L16))</f>
        <v>1.4687223394439999</v>
      </c>
      <c r="M17" s="813" t="str">
        <f>IF(M14="n/a","n/a",(1+M12)*(1+M14)*(1+M16))</f>
        <v>n/a</v>
      </c>
      <c r="N17" s="813"/>
      <c r="O17" s="813"/>
      <c r="P17" s="813"/>
      <c r="Q17" s="813"/>
      <c r="R17" s="813"/>
      <c r="S17" s="813"/>
      <c r="T17" s="813"/>
      <c r="U17" s="813"/>
      <c r="V17" s="813"/>
      <c r="W17" s="813"/>
      <c r="X17" s="813"/>
      <c r="Y17" s="813"/>
      <c r="Z17" s="813"/>
      <c r="AA17" s="813"/>
      <c r="AB17" s="813"/>
      <c r="AC17" s="813"/>
      <c r="AD17" s="813"/>
      <c r="AE17" s="813"/>
    </row>
    <row r="18" spans="1:31" ht="13.5" thickBot="1">
      <c r="B18" s="121" t="s">
        <v>41</v>
      </c>
      <c r="C18" s="814"/>
      <c r="D18" s="814"/>
      <c r="E18" s="814"/>
      <c r="F18" s="814"/>
      <c r="G18" s="814"/>
      <c r="H18" s="814"/>
      <c r="I18" s="814"/>
      <c r="J18" s="814"/>
      <c r="K18" s="814"/>
      <c r="L18" s="814">
        <f>IF(L13="n/a","n/a",(1+L12)*(1+L13)*(1+L16))</f>
        <v>1.7222971148640001</v>
      </c>
      <c r="M18" s="814">
        <f>IF(M13="n/a","n/a",(1+M12)*(1+M13)*(1+M16))</f>
        <v>1.7742527153519998</v>
      </c>
      <c r="N18" s="814"/>
      <c r="O18" s="814"/>
      <c r="P18" s="814"/>
      <c r="Q18" s="814"/>
      <c r="R18" s="814"/>
      <c r="S18" s="814"/>
      <c r="T18" s="814"/>
      <c r="U18" s="814"/>
      <c r="V18" s="814"/>
      <c r="W18" s="814"/>
      <c r="X18" s="814"/>
      <c r="Y18" s="814"/>
      <c r="Z18" s="814"/>
      <c r="AA18" s="814"/>
      <c r="AB18" s="814"/>
      <c r="AC18" s="814"/>
      <c r="AD18" s="814"/>
      <c r="AE18" s="814"/>
    </row>
    <row r="19" spans="1:31" ht="13.5" thickBot="1">
      <c r="A19" s="857"/>
      <c r="B19" s="116">
        <f>B11+1</f>
        <v>2011</v>
      </c>
      <c r="C19" s="810"/>
      <c r="D19" s="810"/>
      <c r="E19" s="810"/>
      <c r="F19" s="810"/>
      <c r="G19" s="810"/>
      <c r="H19" s="810"/>
      <c r="I19" s="810"/>
      <c r="J19" s="810"/>
      <c r="K19" s="810"/>
      <c r="L19" s="810"/>
      <c r="M19" s="810"/>
      <c r="N19" s="810"/>
      <c r="O19" s="810"/>
      <c r="P19" s="810"/>
      <c r="Q19" s="810"/>
      <c r="R19" s="810"/>
      <c r="S19" s="810"/>
      <c r="T19" s="810"/>
      <c r="U19" s="810"/>
      <c r="V19" s="810"/>
      <c r="W19" s="810"/>
      <c r="X19" s="810"/>
      <c r="Y19" s="810"/>
      <c r="Z19" s="810"/>
      <c r="AA19" s="810"/>
      <c r="AB19" s="810"/>
      <c r="AC19" s="810"/>
      <c r="AD19" s="810"/>
      <c r="AE19" s="810"/>
    </row>
    <row r="20" spans="1:31">
      <c r="A20" s="129" t="str">
        <f>B19&amp;B20</f>
        <v>2011PRB</v>
      </c>
      <c r="B20" s="117" t="s">
        <v>621</v>
      </c>
      <c r="C20" s="811"/>
      <c r="D20" s="118"/>
      <c r="E20" s="118"/>
      <c r="F20" s="118"/>
      <c r="G20" s="118"/>
      <c r="H20" s="118"/>
      <c r="I20" s="118"/>
      <c r="J20" s="118"/>
      <c r="K20" s="118"/>
      <c r="L20" s="118">
        <v>0.31240000000000001</v>
      </c>
      <c r="M20" s="118">
        <v>0.42159999999999997</v>
      </c>
      <c r="N20" s="118"/>
      <c r="O20" s="811"/>
      <c r="P20" s="118"/>
      <c r="Q20" s="118"/>
      <c r="R20" s="118"/>
      <c r="S20" s="118"/>
      <c r="T20" s="118"/>
      <c r="U20" s="118"/>
      <c r="V20" s="118"/>
      <c r="W20" s="118"/>
      <c r="X20" s="118"/>
      <c r="Y20" s="118"/>
      <c r="Z20" s="118"/>
      <c r="AA20" s="118"/>
      <c r="AB20" s="118"/>
      <c r="AC20" s="118"/>
      <c r="AD20" s="118"/>
      <c r="AE20" s="118"/>
    </row>
    <row r="21" spans="1:31">
      <c r="A21" s="129" t="str">
        <f>B19&amp;B21</f>
        <v>2011Overhead - Offsite</v>
      </c>
      <c r="B21" s="117" t="s">
        <v>594</v>
      </c>
      <c r="C21" s="812"/>
      <c r="D21" s="119"/>
      <c r="E21" s="119"/>
      <c r="F21" s="119"/>
      <c r="G21" s="119"/>
      <c r="H21" s="119"/>
      <c r="I21" s="119"/>
      <c r="J21" s="119"/>
      <c r="K21" s="119"/>
      <c r="L21" s="119">
        <v>0.1988</v>
      </c>
      <c r="M21" s="119">
        <v>0.1401</v>
      </c>
      <c r="N21" s="119"/>
      <c r="O21" s="812"/>
      <c r="P21" s="119"/>
      <c r="Q21" s="119"/>
      <c r="R21" s="119"/>
      <c r="S21" s="119"/>
      <c r="T21" s="119"/>
      <c r="U21" s="119"/>
      <c r="V21" s="119"/>
      <c r="W21" s="119"/>
      <c r="X21" s="119"/>
      <c r="Y21" s="119"/>
      <c r="Z21" s="119"/>
      <c r="AA21" s="119"/>
      <c r="AB21" s="119"/>
      <c r="AC21" s="119"/>
      <c r="AD21" s="119"/>
      <c r="AE21" s="119"/>
    </row>
    <row r="22" spans="1:31">
      <c r="A22" s="129" t="str">
        <f>B19&amp;B22</f>
        <v>2011Overhead - Onsite</v>
      </c>
      <c r="B22" s="117" t="s">
        <v>595</v>
      </c>
      <c r="C22" s="812"/>
      <c r="D22" s="119"/>
      <c r="E22" s="119"/>
      <c r="F22" s="119"/>
      <c r="G22" s="119"/>
      <c r="H22" s="119"/>
      <c r="I22" s="119"/>
      <c r="J22" s="119"/>
      <c r="K22" s="119"/>
      <c r="L22" s="119">
        <v>2.23E-2</v>
      </c>
      <c r="M22" s="119" t="s">
        <v>589</v>
      </c>
      <c r="N22" s="119"/>
      <c r="O22" s="812"/>
      <c r="P22" s="119"/>
      <c r="Q22" s="119"/>
      <c r="R22" s="119"/>
      <c r="S22" s="119"/>
      <c r="T22" s="119"/>
      <c r="U22" s="119"/>
      <c r="V22" s="119"/>
      <c r="W22" s="119"/>
      <c r="X22" s="119"/>
      <c r="Y22" s="119"/>
      <c r="Z22" s="119"/>
      <c r="AA22" s="119"/>
      <c r="AB22" s="119"/>
      <c r="AC22" s="119"/>
      <c r="AD22" s="119"/>
      <c r="AE22" s="119"/>
    </row>
    <row r="23" spans="1:31">
      <c r="A23" s="129" t="str">
        <f>B19&amp;B23</f>
        <v>2011Material Handling</v>
      </c>
      <c r="B23" s="117" t="s">
        <v>596</v>
      </c>
      <c r="C23" s="812"/>
      <c r="D23" s="119"/>
      <c r="E23" s="119"/>
      <c r="F23" s="119"/>
      <c r="G23" s="119"/>
      <c r="H23" s="119"/>
      <c r="I23" s="119"/>
      <c r="J23" s="119"/>
      <c r="K23" s="119"/>
      <c r="L23" s="119">
        <v>2.9700000000000001E-2</v>
      </c>
      <c r="M23" s="119">
        <v>2.9700000000000001E-2</v>
      </c>
      <c r="N23" s="119"/>
      <c r="O23" s="812"/>
      <c r="P23" s="119"/>
      <c r="Q23" s="119"/>
      <c r="R23" s="119"/>
      <c r="S23" s="119"/>
      <c r="T23" s="119"/>
      <c r="U23" s="119"/>
      <c r="V23" s="119"/>
      <c r="W23" s="119"/>
      <c r="X23" s="119"/>
      <c r="Y23" s="119"/>
      <c r="Z23" s="119"/>
      <c r="AA23" s="119"/>
      <c r="AB23" s="119"/>
      <c r="AC23" s="119"/>
      <c r="AD23" s="119"/>
      <c r="AE23" s="119"/>
    </row>
    <row r="24" spans="1:31">
      <c r="A24" s="129" t="str">
        <f>B19&amp;B24</f>
        <v>2011G&amp;A</v>
      </c>
      <c r="B24" s="117" t="s">
        <v>597</v>
      </c>
      <c r="C24" s="812"/>
      <c r="D24" s="119"/>
      <c r="E24" s="119"/>
      <c r="F24" s="119"/>
      <c r="G24" s="119"/>
      <c r="H24" s="119"/>
      <c r="I24" s="119"/>
      <c r="J24" s="119"/>
      <c r="K24" s="119"/>
      <c r="L24" s="119">
        <v>9.1999999999999998E-2</v>
      </c>
      <c r="M24" s="119">
        <v>9.1999999999999998E-2</v>
      </c>
      <c r="N24" s="119"/>
      <c r="O24" s="812"/>
      <c r="P24" s="119"/>
      <c r="Q24" s="119"/>
      <c r="R24" s="119"/>
      <c r="S24" s="119"/>
      <c r="T24" s="119"/>
      <c r="U24" s="119"/>
      <c r="V24" s="119"/>
      <c r="W24" s="119"/>
      <c r="X24" s="119"/>
      <c r="Y24" s="119"/>
      <c r="Z24" s="119"/>
      <c r="AA24" s="119"/>
      <c r="AB24" s="119"/>
      <c r="AC24" s="119"/>
      <c r="AD24" s="119"/>
      <c r="AE24" s="119"/>
    </row>
    <row r="25" spans="1:31">
      <c r="B25" s="120" t="s">
        <v>40</v>
      </c>
      <c r="C25" s="813"/>
      <c r="D25" s="813"/>
      <c r="E25" s="813"/>
      <c r="F25" s="813"/>
      <c r="G25" s="813"/>
      <c r="H25" s="813"/>
      <c r="I25" s="813"/>
      <c r="J25" s="813"/>
      <c r="K25" s="813"/>
      <c r="L25" s="813">
        <f>IF(L22="n/a","n/a",(1+L20)*(1+L22)*(1+L24))</f>
        <v>1.4650998398400001</v>
      </c>
      <c r="M25" s="813" t="str">
        <f>IF(M22="n/a","n/a",(1+M20)*(1+M22)*(1+M24))</f>
        <v>n/a</v>
      </c>
      <c r="N25" s="813"/>
      <c r="O25" s="813"/>
      <c r="P25" s="813"/>
      <c r="Q25" s="813"/>
      <c r="R25" s="813"/>
      <c r="S25" s="813"/>
      <c r="T25" s="813"/>
      <c r="U25" s="813"/>
      <c r="V25" s="813"/>
      <c r="W25" s="813"/>
      <c r="X25" s="813"/>
      <c r="Y25" s="813"/>
      <c r="Z25" s="813"/>
      <c r="AA25" s="813"/>
      <c r="AB25" s="813"/>
      <c r="AC25" s="813"/>
      <c r="AD25" s="813"/>
      <c r="AE25" s="813"/>
    </row>
    <row r="26" spans="1:31" ht="13.5" thickBot="1">
      <c r="B26" s="121" t="s">
        <v>41</v>
      </c>
      <c r="C26" s="814"/>
      <c r="D26" s="814"/>
      <c r="E26" s="814"/>
      <c r="F26" s="814"/>
      <c r="G26" s="814"/>
      <c r="H26" s="814"/>
      <c r="I26" s="814"/>
      <c r="J26" s="814"/>
      <c r="K26" s="814"/>
      <c r="L26" s="814">
        <f>IF(L21="n/a","n/a",(1+L20)*(1+L21)*(1+L24))</f>
        <v>1.7180491910400002</v>
      </c>
      <c r="M26" s="814">
        <f>IF(M21="n/a","n/a",(1+M20)*(1+M21)*(1+M24))</f>
        <v>1.76987664672</v>
      </c>
      <c r="N26" s="814"/>
      <c r="O26" s="814"/>
      <c r="P26" s="814"/>
      <c r="Q26" s="814"/>
      <c r="R26" s="814"/>
      <c r="S26" s="814"/>
      <c r="T26" s="814"/>
      <c r="U26" s="814"/>
      <c r="V26" s="814"/>
      <c r="W26" s="814"/>
      <c r="X26" s="814"/>
      <c r="Y26" s="814"/>
      <c r="Z26" s="814"/>
      <c r="AA26" s="814"/>
      <c r="AB26" s="814"/>
      <c r="AC26" s="814"/>
      <c r="AD26" s="814"/>
      <c r="AE26" s="814"/>
    </row>
    <row r="27" spans="1:31" ht="13.5" thickBot="1">
      <c r="A27" s="857"/>
      <c r="B27" s="116">
        <f>B19+1</f>
        <v>2012</v>
      </c>
      <c r="C27" s="810"/>
      <c r="D27" s="810"/>
      <c r="E27" s="810"/>
      <c r="F27" s="810"/>
      <c r="G27" s="810"/>
      <c r="H27" s="810"/>
      <c r="I27" s="810"/>
      <c r="J27" s="810"/>
      <c r="K27" s="810"/>
      <c r="L27" s="810"/>
      <c r="M27" s="810"/>
      <c r="N27" s="810"/>
      <c r="O27" s="810"/>
      <c r="P27" s="810"/>
      <c r="Q27" s="810"/>
      <c r="R27" s="810"/>
      <c r="S27" s="810"/>
      <c r="T27" s="810"/>
      <c r="U27" s="810"/>
      <c r="V27" s="810"/>
      <c r="W27" s="810"/>
      <c r="X27" s="810"/>
      <c r="Y27" s="810"/>
      <c r="Z27" s="810"/>
      <c r="AA27" s="810"/>
      <c r="AB27" s="810"/>
      <c r="AC27" s="810"/>
      <c r="AD27" s="810"/>
      <c r="AE27" s="810"/>
    </row>
    <row r="28" spans="1:31">
      <c r="A28" s="129" t="str">
        <f>B27&amp;B28</f>
        <v>2012PRB</v>
      </c>
      <c r="B28" s="117" t="s">
        <v>621</v>
      </c>
      <c r="C28" s="811"/>
      <c r="D28" s="811"/>
      <c r="E28" s="811"/>
      <c r="F28" s="811"/>
      <c r="G28" s="811"/>
      <c r="H28" s="811"/>
      <c r="I28" s="811"/>
      <c r="J28" s="811"/>
      <c r="K28" s="118"/>
      <c r="L28" s="118">
        <v>0.31240000000000001</v>
      </c>
      <c r="M28" s="118">
        <v>0.42159999999999997</v>
      </c>
      <c r="N28" s="811"/>
      <c r="O28" s="811"/>
      <c r="P28" s="118"/>
      <c r="Q28" s="811"/>
      <c r="R28" s="118"/>
      <c r="S28" s="118"/>
      <c r="T28" s="811"/>
      <c r="U28" s="811"/>
      <c r="V28" s="118"/>
      <c r="W28" s="118"/>
      <c r="X28" s="118"/>
      <c r="Y28" s="811"/>
      <c r="Z28" s="811"/>
      <c r="AA28" s="811"/>
      <c r="AB28" s="811"/>
      <c r="AC28" s="118"/>
      <c r="AD28" s="811"/>
      <c r="AE28" s="811"/>
    </row>
    <row r="29" spans="1:31">
      <c r="A29" s="129" t="str">
        <f>B27&amp;B29</f>
        <v>2012Overhead - Offsite</v>
      </c>
      <c r="B29" s="117" t="s">
        <v>594</v>
      </c>
      <c r="C29" s="812"/>
      <c r="D29" s="812"/>
      <c r="E29" s="812"/>
      <c r="F29" s="812"/>
      <c r="G29" s="812"/>
      <c r="H29" s="812"/>
      <c r="I29" s="812"/>
      <c r="J29" s="812"/>
      <c r="K29" s="812"/>
      <c r="L29" s="119">
        <v>0.1988</v>
      </c>
      <c r="M29" s="119">
        <v>0.1401</v>
      </c>
      <c r="N29" s="812"/>
      <c r="O29" s="812"/>
      <c r="P29" s="119"/>
      <c r="Q29" s="119"/>
      <c r="R29" s="119"/>
      <c r="S29" s="812"/>
      <c r="T29" s="812"/>
      <c r="U29" s="812"/>
      <c r="V29" s="812"/>
      <c r="W29" s="812"/>
      <c r="X29" s="812"/>
      <c r="Y29" s="812"/>
      <c r="Z29" s="812"/>
      <c r="AA29" s="812"/>
      <c r="AB29" s="812"/>
      <c r="AC29" s="812"/>
      <c r="AD29" s="812"/>
      <c r="AE29" s="812"/>
    </row>
    <row r="30" spans="1:31">
      <c r="A30" s="129" t="str">
        <f>B27&amp;B30</f>
        <v>2012Overhead - Onsite</v>
      </c>
      <c r="B30" s="117" t="s">
        <v>595</v>
      </c>
      <c r="C30" s="812"/>
      <c r="D30" s="812"/>
      <c r="E30" s="812"/>
      <c r="F30" s="812"/>
      <c r="G30" s="812"/>
      <c r="H30" s="812"/>
      <c r="I30" s="812"/>
      <c r="J30" s="812"/>
      <c r="K30" s="812"/>
      <c r="L30" s="119">
        <v>2.23E-2</v>
      </c>
      <c r="M30" s="119" t="s">
        <v>589</v>
      </c>
      <c r="N30" s="812"/>
      <c r="O30" s="812"/>
      <c r="P30" s="119"/>
      <c r="Q30" s="119"/>
      <c r="R30" s="812"/>
      <c r="S30" s="812"/>
      <c r="T30" s="812"/>
      <c r="U30" s="812"/>
      <c r="V30" s="812"/>
      <c r="W30" s="812"/>
      <c r="X30" s="812"/>
      <c r="Y30" s="812"/>
      <c r="Z30" s="812"/>
      <c r="AA30" s="812"/>
      <c r="AB30" s="812"/>
      <c r="AC30" s="812"/>
      <c r="AD30" s="812"/>
      <c r="AE30" s="812"/>
    </row>
    <row r="31" spans="1:31">
      <c r="A31" s="129" t="str">
        <f>B27&amp;B31</f>
        <v>2012Material Handling</v>
      </c>
      <c r="B31" s="117" t="s">
        <v>596</v>
      </c>
      <c r="C31" s="812"/>
      <c r="D31" s="812"/>
      <c r="E31" s="812"/>
      <c r="F31" s="812"/>
      <c r="G31" s="812"/>
      <c r="H31" s="812"/>
      <c r="I31" s="812"/>
      <c r="J31" s="812"/>
      <c r="K31" s="812"/>
      <c r="L31" s="812">
        <v>2.8799999999999999E-2</v>
      </c>
      <c r="M31" s="812">
        <v>2.8799999999999999E-2</v>
      </c>
      <c r="N31" s="812"/>
      <c r="O31" s="812"/>
      <c r="P31" s="812"/>
      <c r="Q31" s="812"/>
      <c r="R31" s="812"/>
      <c r="S31" s="812"/>
      <c r="T31" s="812"/>
      <c r="U31" s="812"/>
      <c r="V31" s="812"/>
      <c r="W31" s="812"/>
      <c r="X31" s="812"/>
      <c r="Y31" s="812"/>
      <c r="Z31" s="812"/>
      <c r="AA31" s="812"/>
      <c r="AB31" s="812"/>
      <c r="AC31" s="812"/>
      <c r="AD31" s="812"/>
      <c r="AE31" s="812"/>
    </row>
    <row r="32" spans="1:31">
      <c r="A32" s="129" t="str">
        <f>B27&amp;B32</f>
        <v>2012G&amp;A</v>
      </c>
      <c r="B32" s="117" t="s">
        <v>597</v>
      </c>
      <c r="C32" s="812"/>
      <c r="D32" s="812"/>
      <c r="E32" s="812"/>
      <c r="F32" s="812"/>
      <c r="G32" s="812"/>
      <c r="H32" s="812"/>
      <c r="I32" s="812"/>
      <c r="J32" s="812"/>
      <c r="K32" s="812"/>
      <c r="L32" s="812">
        <v>8.9499999999999996E-2</v>
      </c>
      <c r="M32" s="812">
        <v>8.9499999999999996E-2</v>
      </c>
      <c r="N32" s="812"/>
      <c r="O32" s="812"/>
      <c r="P32" s="812"/>
      <c r="Q32" s="812"/>
      <c r="R32" s="812"/>
      <c r="S32" s="812"/>
      <c r="T32" s="812"/>
      <c r="U32" s="812"/>
      <c r="V32" s="812"/>
      <c r="W32" s="812"/>
      <c r="X32" s="812"/>
      <c r="Y32" s="812"/>
      <c r="Z32" s="812"/>
      <c r="AA32" s="812"/>
      <c r="AB32" s="812"/>
      <c r="AC32" s="812"/>
      <c r="AD32" s="812"/>
      <c r="AE32" s="812"/>
    </row>
    <row r="33" spans="1:31">
      <c r="B33" s="120" t="s">
        <v>40</v>
      </c>
      <c r="C33" s="813"/>
      <c r="D33" s="813"/>
      <c r="E33" s="813"/>
      <c r="F33" s="813"/>
      <c r="G33" s="813"/>
      <c r="H33" s="813"/>
      <c r="I33" s="813"/>
      <c r="J33" s="813"/>
      <c r="K33" s="813"/>
      <c r="L33" s="813">
        <f>IF(L30="n/a","n/a",(1+L28)*(1+L30)*(1+L32))</f>
        <v>1.4617456735399998</v>
      </c>
      <c r="M33" s="813" t="str">
        <f>IF(M30="n/a","n/a",(1+M28)*(1+M30)*(1+M32))</f>
        <v>n/a</v>
      </c>
      <c r="N33" s="813"/>
      <c r="O33" s="813"/>
      <c r="P33" s="813"/>
      <c r="Q33" s="813"/>
      <c r="R33" s="813"/>
      <c r="S33" s="813"/>
      <c r="T33" s="813"/>
      <c r="U33" s="813"/>
      <c r="V33" s="813"/>
      <c r="W33" s="813"/>
      <c r="X33" s="813"/>
      <c r="Y33" s="813"/>
      <c r="Z33" s="813"/>
      <c r="AA33" s="813"/>
      <c r="AB33" s="813"/>
      <c r="AC33" s="813"/>
      <c r="AD33" s="813"/>
      <c r="AE33" s="813"/>
    </row>
    <row r="34" spans="1:31" ht="13.5" thickBot="1">
      <c r="B34" s="121" t="s">
        <v>41</v>
      </c>
      <c r="C34" s="814"/>
      <c r="D34" s="814"/>
      <c r="E34" s="814"/>
      <c r="F34" s="814"/>
      <c r="G34" s="814"/>
      <c r="H34" s="814"/>
      <c r="I34" s="814"/>
      <c r="J34" s="814"/>
      <c r="K34" s="814"/>
      <c r="L34" s="814">
        <f>IF(L29="n/a","n/a",(1+L28)*(1+L29)*(1+L32))</f>
        <v>1.71411592824</v>
      </c>
      <c r="M34" s="814">
        <f>IF(M29="n/a","n/a",(1+M28)*(1+M29)*(1+M32))</f>
        <v>1.7658247313199997</v>
      </c>
      <c r="N34" s="814"/>
      <c r="O34" s="814"/>
      <c r="P34" s="814"/>
      <c r="Q34" s="814"/>
      <c r="R34" s="814"/>
      <c r="S34" s="814"/>
      <c r="T34" s="814"/>
      <c r="U34" s="814"/>
      <c r="V34" s="814"/>
      <c r="W34" s="814"/>
      <c r="X34" s="814"/>
      <c r="Y34" s="814"/>
      <c r="Z34" s="814"/>
      <c r="AA34" s="814"/>
      <c r="AB34" s="814"/>
      <c r="AC34" s="814"/>
      <c r="AD34" s="814"/>
      <c r="AE34" s="814"/>
    </row>
    <row r="35" spans="1:31" ht="13.5" thickBot="1">
      <c r="A35" s="857"/>
      <c r="B35" s="116">
        <f>B27+1</f>
        <v>2013</v>
      </c>
      <c r="C35" s="810"/>
      <c r="D35" s="810"/>
      <c r="E35" s="810"/>
      <c r="F35" s="810"/>
      <c r="G35" s="810"/>
      <c r="H35" s="810"/>
      <c r="I35" s="810"/>
      <c r="J35" s="810"/>
      <c r="K35" s="810"/>
      <c r="L35" s="810"/>
      <c r="M35" s="810"/>
      <c r="N35" s="810"/>
      <c r="O35" s="810"/>
      <c r="P35" s="810"/>
      <c r="Q35" s="810"/>
      <c r="R35" s="810"/>
      <c r="S35" s="810"/>
      <c r="T35" s="810"/>
      <c r="U35" s="810"/>
      <c r="V35" s="810"/>
      <c r="W35" s="810"/>
      <c r="X35" s="810"/>
      <c r="Y35" s="810"/>
      <c r="Z35" s="810"/>
      <c r="AA35" s="810"/>
      <c r="AB35" s="810"/>
      <c r="AC35" s="810"/>
      <c r="AD35" s="810"/>
      <c r="AE35" s="810"/>
    </row>
    <row r="36" spans="1:31">
      <c r="A36" s="129" t="str">
        <f>B35&amp;B36</f>
        <v>2013PRB</v>
      </c>
      <c r="B36" s="117" t="s">
        <v>621</v>
      </c>
      <c r="C36" s="811"/>
      <c r="D36" s="811"/>
      <c r="E36" s="811"/>
      <c r="F36" s="811"/>
      <c r="G36" s="811"/>
      <c r="H36" s="811"/>
      <c r="I36" s="811"/>
      <c r="J36" s="811"/>
      <c r="K36" s="811"/>
      <c r="L36" s="118">
        <v>0.31240000000000001</v>
      </c>
      <c r="M36" s="118">
        <v>0.42159999999999997</v>
      </c>
      <c r="N36" s="811"/>
      <c r="O36" s="811"/>
      <c r="P36" s="811"/>
      <c r="Q36" s="811"/>
      <c r="R36" s="118"/>
      <c r="S36" s="118"/>
      <c r="T36" s="811"/>
      <c r="U36" s="811"/>
      <c r="V36" s="118"/>
      <c r="W36" s="118"/>
      <c r="X36" s="118"/>
      <c r="Y36" s="811"/>
      <c r="Z36" s="811"/>
      <c r="AA36" s="811"/>
      <c r="AB36" s="811"/>
      <c r="AC36" s="118"/>
      <c r="AD36" s="811"/>
      <c r="AE36" s="811"/>
    </row>
    <row r="37" spans="1:31">
      <c r="A37" s="129" t="str">
        <f>B35&amp;B37</f>
        <v>2013Overhead - Offsite</v>
      </c>
      <c r="B37" s="117" t="s">
        <v>594</v>
      </c>
      <c r="C37" s="812"/>
      <c r="D37" s="812"/>
      <c r="E37" s="812"/>
      <c r="F37" s="812"/>
      <c r="G37" s="812"/>
      <c r="H37" s="812"/>
      <c r="I37" s="812"/>
      <c r="J37" s="812"/>
      <c r="K37" s="812"/>
      <c r="L37" s="119">
        <v>0.1988</v>
      </c>
      <c r="M37" s="119">
        <v>0.1401</v>
      </c>
      <c r="N37" s="812"/>
      <c r="O37" s="812"/>
      <c r="P37" s="812"/>
      <c r="Q37" s="812"/>
      <c r="R37" s="119"/>
      <c r="S37" s="812"/>
      <c r="T37" s="812"/>
      <c r="U37" s="812"/>
      <c r="V37" s="812"/>
      <c r="W37" s="812"/>
      <c r="X37" s="812"/>
      <c r="Y37" s="812"/>
      <c r="Z37" s="812"/>
      <c r="AA37" s="812"/>
      <c r="AB37" s="812"/>
      <c r="AC37" s="812"/>
      <c r="AD37" s="812"/>
      <c r="AE37" s="812"/>
    </row>
    <row r="38" spans="1:31">
      <c r="A38" s="129" t="str">
        <f>B35&amp;B38</f>
        <v>2013Overhead - Onsite</v>
      </c>
      <c r="B38" s="117" t="s">
        <v>595</v>
      </c>
      <c r="C38" s="812"/>
      <c r="D38" s="812"/>
      <c r="E38" s="812"/>
      <c r="F38" s="812"/>
      <c r="G38" s="812"/>
      <c r="H38" s="812"/>
      <c r="I38" s="812"/>
      <c r="J38" s="812"/>
      <c r="K38" s="812"/>
      <c r="L38" s="119">
        <v>2.23E-2</v>
      </c>
      <c r="M38" s="119" t="s">
        <v>589</v>
      </c>
      <c r="N38" s="812"/>
      <c r="O38" s="812"/>
      <c r="P38" s="812"/>
      <c r="Q38" s="812"/>
      <c r="R38" s="812"/>
      <c r="S38" s="812"/>
      <c r="T38" s="812"/>
      <c r="U38" s="812"/>
      <c r="V38" s="812"/>
      <c r="W38" s="812"/>
      <c r="X38" s="812"/>
      <c r="Y38" s="812"/>
      <c r="Z38" s="812"/>
      <c r="AA38" s="812"/>
      <c r="AB38" s="812"/>
      <c r="AC38" s="812"/>
      <c r="AD38" s="812"/>
      <c r="AE38" s="812"/>
    </row>
    <row r="39" spans="1:31">
      <c r="A39" s="129" t="str">
        <f>B35&amp;B39</f>
        <v>2013Material Handling</v>
      </c>
      <c r="B39" s="117" t="s">
        <v>596</v>
      </c>
      <c r="C39" s="812"/>
      <c r="D39" s="812"/>
      <c r="E39" s="812"/>
      <c r="F39" s="812"/>
      <c r="G39" s="812"/>
      <c r="H39" s="812"/>
      <c r="I39" s="812"/>
      <c r="J39" s="812"/>
      <c r="K39" s="812"/>
      <c r="L39" s="812">
        <v>2.8000000000000001E-2</v>
      </c>
      <c r="M39" s="812">
        <v>2.8000000000000001E-2</v>
      </c>
      <c r="N39" s="812"/>
      <c r="O39" s="812"/>
      <c r="P39" s="812"/>
      <c r="Q39" s="812"/>
      <c r="R39" s="812"/>
      <c r="S39" s="812"/>
      <c r="T39" s="812"/>
      <c r="U39" s="812"/>
      <c r="V39" s="812"/>
      <c r="W39" s="812"/>
      <c r="X39" s="812"/>
      <c r="Y39" s="812"/>
      <c r="Z39" s="812"/>
      <c r="AA39" s="812"/>
      <c r="AB39" s="812"/>
      <c r="AC39" s="812"/>
      <c r="AD39" s="812"/>
      <c r="AE39" s="812"/>
    </row>
    <row r="40" spans="1:31">
      <c r="A40" s="129" t="str">
        <f>B35&amp;B40</f>
        <v>2013G&amp;A</v>
      </c>
      <c r="B40" s="117" t="s">
        <v>597</v>
      </c>
      <c r="C40" s="812"/>
      <c r="D40" s="812"/>
      <c r="E40" s="812"/>
      <c r="F40" s="812"/>
      <c r="G40" s="812"/>
      <c r="H40" s="812"/>
      <c r="I40" s="812"/>
      <c r="J40" s="812"/>
      <c r="K40" s="812"/>
      <c r="L40" s="812">
        <v>8.7099999999999997E-2</v>
      </c>
      <c r="M40" s="812">
        <v>8.7099999999999997E-2</v>
      </c>
      <c r="N40" s="812"/>
      <c r="O40" s="812"/>
      <c r="P40" s="812"/>
      <c r="Q40" s="812"/>
      <c r="R40" s="812"/>
      <c r="S40" s="812"/>
      <c r="T40" s="812"/>
      <c r="U40" s="812"/>
      <c r="V40" s="812"/>
      <c r="W40" s="812"/>
      <c r="X40" s="812"/>
      <c r="Y40" s="812"/>
      <c r="Z40" s="812"/>
      <c r="AA40" s="812"/>
      <c r="AB40" s="812"/>
      <c r="AC40" s="812"/>
      <c r="AD40" s="812"/>
      <c r="AE40" s="812"/>
    </row>
    <row r="41" spans="1:31">
      <c r="B41" s="120" t="s">
        <v>40</v>
      </c>
      <c r="C41" s="813"/>
      <c r="D41" s="813"/>
      <c r="E41" s="813"/>
      <c r="F41" s="813"/>
      <c r="G41" s="813"/>
      <c r="H41" s="813"/>
      <c r="I41" s="813"/>
      <c r="J41" s="813"/>
      <c r="K41" s="813"/>
      <c r="L41" s="813">
        <f>IF(L38="n/a","n/a",(1+L36)*(1+L38)*(1+L40))</f>
        <v>1.4585256738919998</v>
      </c>
      <c r="M41" s="813" t="str">
        <f>IF(M38="n/a","n/a",(1+M36)*(1+M38)*(1+M40))</f>
        <v>n/a</v>
      </c>
      <c r="N41" s="813"/>
      <c r="O41" s="813"/>
      <c r="P41" s="813"/>
      <c r="Q41" s="813"/>
      <c r="R41" s="813"/>
      <c r="S41" s="813"/>
      <c r="T41" s="813"/>
      <c r="U41" s="813"/>
      <c r="V41" s="813"/>
      <c r="W41" s="813"/>
      <c r="X41" s="813"/>
      <c r="Y41" s="813"/>
      <c r="Z41" s="813"/>
      <c r="AA41" s="813"/>
      <c r="AB41" s="813"/>
      <c r="AC41" s="813"/>
      <c r="AD41" s="813"/>
      <c r="AE41" s="813"/>
    </row>
    <row r="42" spans="1:31" ht="13.5" thickBot="1">
      <c r="B42" s="121" t="s">
        <v>41</v>
      </c>
      <c r="C42" s="814"/>
      <c r="D42" s="814"/>
      <c r="E42" s="814"/>
      <c r="F42" s="814"/>
      <c r="G42" s="814"/>
      <c r="H42" s="814"/>
      <c r="I42" s="814"/>
      <c r="J42" s="814"/>
      <c r="K42" s="814"/>
      <c r="L42" s="814">
        <f>IF(L37="n/a","n/a",(1+L36)*(1+L37)*(1+L40))</f>
        <v>1.710339995952</v>
      </c>
      <c r="M42" s="814">
        <f>IF(M37="n/a","n/a",(1+M36)*(1+M37)*(1+M40))</f>
        <v>1.7619348925359997</v>
      </c>
      <c r="N42" s="814"/>
      <c r="O42" s="814"/>
      <c r="P42" s="814"/>
      <c r="Q42" s="814"/>
      <c r="R42" s="814"/>
      <c r="S42" s="814"/>
      <c r="T42" s="814"/>
      <c r="U42" s="814"/>
      <c r="V42" s="814"/>
      <c r="W42" s="814"/>
      <c r="X42" s="814"/>
      <c r="Y42" s="814"/>
      <c r="Z42" s="814"/>
      <c r="AA42" s="814"/>
      <c r="AB42" s="814"/>
      <c r="AC42" s="814"/>
      <c r="AD42" s="814"/>
      <c r="AE42" s="814"/>
    </row>
    <row r="43" spans="1:31" ht="13.5" thickBot="1">
      <c r="A43" s="857"/>
      <c r="B43" s="116">
        <f>B35+1</f>
        <v>2014</v>
      </c>
      <c r="C43" s="810"/>
      <c r="D43" s="810"/>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row>
    <row r="44" spans="1:31">
      <c r="A44" s="129" t="str">
        <f>B43&amp;B44</f>
        <v>2014PRB</v>
      </c>
      <c r="B44" s="117" t="s">
        <v>621</v>
      </c>
      <c r="C44" s="811"/>
      <c r="D44" s="811"/>
      <c r="E44" s="811"/>
      <c r="F44" s="811"/>
      <c r="G44" s="811"/>
      <c r="H44" s="811"/>
      <c r="I44" s="811"/>
      <c r="J44" s="811"/>
      <c r="K44" s="811"/>
      <c r="L44" s="811">
        <f t="shared" ref="L44:M48" si="0">L36</f>
        <v>0.31240000000000001</v>
      </c>
      <c r="M44" s="811">
        <f t="shared" si="0"/>
        <v>0.42159999999999997</v>
      </c>
      <c r="N44" s="811"/>
      <c r="O44" s="811"/>
      <c r="P44" s="811"/>
      <c r="Q44" s="811"/>
      <c r="R44" s="811"/>
      <c r="S44" s="811"/>
      <c r="T44" s="811"/>
      <c r="U44" s="811"/>
      <c r="V44" s="811"/>
      <c r="W44" s="811"/>
      <c r="X44" s="811"/>
      <c r="Y44" s="811"/>
      <c r="Z44" s="811"/>
      <c r="AA44" s="811"/>
      <c r="AB44" s="811"/>
      <c r="AC44" s="811"/>
      <c r="AD44" s="811"/>
      <c r="AE44" s="811"/>
    </row>
    <row r="45" spans="1:31">
      <c r="A45" s="129" t="str">
        <f>B43&amp;B45</f>
        <v>2014Overhead - Offsite</v>
      </c>
      <c r="B45" s="117" t="s">
        <v>594</v>
      </c>
      <c r="C45" s="812"/>
      <c r="D45" s="812"/>
      <c r="E45" s="812"/>
      <c r="F45" s="812"/>
      <c r="G45" s="812"/>
      <c r="H45" s="812"/>
      <c r="I45" s="812"/>
      <c r="J45" s="812"/>
      <c r="K45" s="812"/>
      <c r="L45" s="812">
        <f t="shared" si="0"/>
        <v>0.1988</v>
      </c>
      <c r="M45" s="812">
        <f t="shared" si="0"/>
        <v>0.1401</v>
      </c>
      <c r="N45" s="812"/>
      <c r="O45" s="812"/>
      <c r="P45" s="812"/>
      <c r="Q45" s="812"/>
      <c r="R45" s="812"/>
      <c r="S45" s="812"/>
      <c r="T45" s="812"/>
      <c r="U45" s="812"/>
      <c r="V45" s="812"/>
      <c r="W45" s="812"/>
      <c r="X45" s="812"/>
      <c r="Y45" s="812"/>
      <c r="Z45" s="812"/>
      <c r="AA45" s="812"/>
      <c r="AB45" s="812"/>
      <c r="AC45" s="812"/>
      <c r="AD45" s="812"/>
      <c r="AE45" s="812"/>
    </row>
    <row r="46" spans="1:31">
      <c r="A46" s="129" t="str">
        <f>B43&amp;B46</f>
        <v>2014Overhead - Onsite</v>
      </c>
      <c r="B46" s="117" t="s">
        <v>595</v>
      </c>
      <c r="C46" s="812"/>
      <c r="D46" s="812"/>
      <c r="E46" s="812"/>
      <c r="F46" s="812"/>
      <c r="G46" s="812"/>
      <c r="H46" s="812"/>
      <c r="I46" s="812"/>
      <c r="J46" s="812"/>
      <c r="K46" s="812"/>
      <c r="L46" s="812">
        <f t="shared" si="0"/>
        <v>2.23E-2</v>
      </c>
      <c r="M46" s="812" t="str">
        <f t="shared" si="0"/>
        <v>n/a</v>
      </c>
      <c r="N46" s="812"/>
      <c r="O46" s="812"/>
      <c r="P46" s="812"/>
      <c r="Q46" s="812"/>
      <c r="R46" s="812"/>
      <c r="S46" s="812"/>
      <c r="T46" s="812"/>
      <c r="U46" s="812"/>
      <c r="V46" s="812"/>
      <c r="W46" s="812"/>
      <c r="X46" s="812"/>
      <c r="Y46" s="812"/>
      <c r="Z46" s="812"/>
      <c r="AA46" s="812"/>
      <c r="AB46" s="812"/>
      <c r="AC46" s="812"/>
      <c r="AD46" s="812"/>
      <c r="AE46" s="812"/>
    </row>
    <row r="47" spans="1:31">
      <c r="A47" s="129" t="str">
        <f>B43&amp;B47</f>
        <v>2014Material Handling</v>
      </c>
      <c r="B47" s="117" t="s">
        <v>596</v>
      </c>
      <c r="C47" s="812"/>
      <c r="D47" s="812"/>
      <c r="E47" s="812"/>
      <c r="F47" s="812"/>
      <c r="G47" s="812"/>
      <c r="H47" s="812"/>
      <c r="I47" s="812"/>
      <c r="J47" s="812"/>
      <c r="K47" s="812"/>
      <c r="L47" s="812">
        <f t="shared" si="0"/>
        <v>2.8000000000000001E-2</v>
      </c>
      <c r="M47" s="812">
        <f t="shared" si="0"/>
        <v>2.8000000000000001E-2</v>
      </c>
      <c r="N47" s="812"/>
      <c r="O47" s="812"/>
      <c r="P47" s="812"/>
      <c r="Q47" s="812"/>
      <c r="R47" s="812"/>
      <c r="S47" s="812"/>
      <c r="T47" s="812"/>
      <c r="U47" s="812"/>
      <c r="V47" s="812"/>
      <c r="W47" s="812"/>
      <c r="X47" s="812"/>
      <c r="Y47" s="812"/>
      <c r="Z47" s="812"/>
      <c r="AA47" s="812"/>
      <c r="AB47" s="812"/>
      <c r="AC47" s="812"/>
      <c r="AD47" s="812"/>
      <c r="AE47" s="812"/>
    </row>
    <row r="48" spans="1:31">
      <c r="A48" s="129" t="str">
        <f>B43&amp;B48</f>
        <v>2014G&amp;A</v>
      </c>
      <c r="B48" s="117" t="s">
        <v>597</v>
      </c>
      <c r="C48" s="812"/>
      <c r="D48" s="812"/>
      <c r="E48" s="812"/>
      <c r="F48" s="812"/>
      <c r="G48" s="812"/>
      <c r="H48" s="812"/>
      <c r="I48" s="812"/>
      <c r="J48" s="812"/>
      <c r="K48" s="812"/>
      <c r="L48" s="812">
        <f t="shared" si="0"/>
        <v>8.7099999999999997E-2</v>
      </c>
      <c r="M48" s="812">
        <f t="shared" si="0"/>
        <v>8.7099999999999997E-2</v>
      </c>
      <c r="N48" s="812"/>
      <c r="O48" s="812"/>
      <c r="P48" s="812"/>
      <c r="Q48" s="812"/>
      <c r="R48" s="812"/>
      <c r="S48" s="812"/>
      <c r="T48" s="812"/>
      <c r="U48" s="812"/>
      <c r="V48" s="812"/>
      <c r="W48" s="812"/>
      <c r="X48" s="812"/>
      <c r="Y48" s="812"/>
      <c r="Z48" s="812"/>
      <c r="AA48" s="812"/>
      <c r="AB48" s="812"/>
      <c r="AC48" s="812"/>
      <c r="AD48" s="812"/>
      <c r="AE48" s="812"/>
    </row>
    <row r="49" spans="1:31">
      <c r="B49" s="120" t="s">
        <v>40</v>
      </c>
      <c r="C49" s="813"/>
      <c r="D49" s="813"/>
      <c r="E49" s="813"/>
      <c r="F49" s="813"/>
      <c r="G49" s="813"/>
      <c r="H49" s="813"/>
      <c r="I49" s="813"/>
      <c r="J49" s="813"/>
      <c r="K49" s="813"/>
      <c r="L49" s="813">
        <f>IF(L46="n/a","n/a",(1+L44)*(1+L46)*(1+L48))</f>
        <v>1.4585256738919998</v>
      </c>
      <c r="M49" s="813" t="str">
        <f>IF(M46="n/a","n/a",(1+M44)*(1+M46)*(1+M48))</f>
        <v>n/a</v>
      </c>
      <c r="N49" s="813"/>
      <c r="O49" s="813"/>
      <c r="P49" s="813"/>
      <c r="Q49" s="813"/>
      <c r="R49" s="813"/>
      <c r="S49" s="813"/>
      <c r="T49" s="813"/>
      <c r="U49" s="813"/>
      <c r="V49" s="813"/>
      <c r="W49" s="813"/>
      <c r="X49" s="813"/>
      <c r="Y49" s="813"/>
      <c r="Z49" s="813"/>
      <c r="AA49" s="813"/>
      <c r="AB49" s="813"/>
      <c r="AC49" s="813"/>
      <c r="AD49" s="813"/>
      <c r="AE49" s="813"/>
    </row>
    <row r="50" spans="1:31" ht="13.5" thickBot="1">
      <c r="B50" s="121" t="s">
        <v>41</v>
      </c>
      <c r="C50" s="814"/>
      <c r="D50" s="814"/>
      <c r="E50" s="814"/>
      <c r="F50" s="814"/>
      <c r="G50" s="814"/>
      <c r="H50" s="814"/>
      <c r="I50" s="814"/>
      <c r="J50" s="814"/>
      <c r="K50" s="814"/>
      <c r="L50" s="814">
        <f>IF(L45="n/a","n/a",(1+L44)*(1+L45)*(1+L48))</f>
        <v>1.710339995952</v>
      </c>
      <c r="M50" s="814">
        <f>IF(M45="n/a","n/a",(1+M44)*(1+M45)*(1+M48))</f>
        <v>1.7619348925359997</v>
      </c>
      <c r="N50" s="814"/>
      <c r="O50" s="814"/>
      <c r="P50" s="814"/>
      <c r="Q50" s="814"/>
      <c r="R50" s="814"/>
      <c r="S50" s="814"/>
      <c r="T50" s="814"/>
      <c r="U50" s="814"/>
      <c r="V50" s="814"/>
      <c r="W50" s="814"/>
      <c r="X50" s="814"/>
      <c r="Y50" s="814"/>
      <c r="Z50" s="814"/>
      <c r="AA50" s="814"/>
      <c r="AB50" s="814"/>
      <c r="AC50" s="814"/>
      <c r="AD50" s="814"/>
      <c r="AE50" s="814"/>
    </row>
    <row r="51" spans="1:31" ht="13.5" thickBot="1">
      <c r="A51" s="857"/>
      <c r="B51" s="116">
        <f>B43+1</f>
        <v>2015</v>
      </c>
      <c r="C51" s="810"/>
      <c r="D51" s="810"/>
      <c r="E51" s="810"/>
      <c r="F51" s="810"/>
      <c r="G51" s="810"/>
      <c r="H51" s="810"/>
      <c r="I51" s="810"/>
      <c r="J51" s="810"/>
      <c r="K51" s="810"/>
      <c r="L51" s="810"/>
      <c r="M51" s="810"/>
      <c r="N51" s="810"/>
      <c r="O51" s="810"/>
      <c r="P51" s="810"/>
      <c r="Q51" s="810"/>
      <c r="R51" s="810"/>
      <c r="S51" s="810"/>
      <c r="T51" s="810"/>
      <c r="U51" s="810"/>
      <c r="V51" s="810"/>
      <c r="W51" s="810"/>
      <c r="X51" s="810"/>
      <c r="Y51" s="810"/>
      <c r="Z51" s="810"/>
      <c r="AA51" s="810"/>
      <c r="AB51" s="810"/>
      <c r="AC51" s="810"/>
      <c r="AD51" s="810"/>
      <c r="AE51" s="810"/>
    </row>
    <row r="52" spans="1:31">
      <c r="A52" s="129" t="str">
        <f>B51&amp;B52</f>
        <v>2015PRB</v>
      </c>
      <c r="B52" s="117" t="s">
        <v>621</v>
      </c>
      <c r="C52" s="811"/>
      <c r="D52" s="811"/>
      <c r="E52" s="811"/>
      <c r="F52" s="811"/>
      <c r="G52" s="811"/>
      <c r="H52" s="811"/>
      <c r="I52" s="811"/>
      <c r="J52" s="811"/>
      <c r="K52" s="811"/>
      <c r="L52" s="811">
        <f t="shared" ref="L52:M56" si="1">L44</f>
        <v>0.31240000000000001</v>
      </c>
      <c r="M52" s="811">
        <f t="shared" si="1"/>
        <v>0.42159999999999997</v>
      </c>
      <c r="N52" s="811"/>
      <c r="O52" s="811"/>
      <c r="P52" s="811"/>
      <c r="Q52" s="811"/>
      <c r="R52" s="811"/>
      <c r="S52" s="811"/>
      <c r="T52" s="811"/>
      <c r="U52" s="811"/>
      <c r="V52" s="811"/>
      <c r="W52" s="811"/>
      <c r="X52" s="811"/>
      <c r="Y52" s="811"/>
      <c r="Z52" s="811"/>
      <c r="AA52" s="811"/>
      <c r="AB52" s="811"/>
      <c r="AC52" s="811"/>
      <c r="AD52" s="811"/>
      <c r="AE52" s="811"/>
    </row>
    <row r="53" spans="1:31">
      <c r="A53" s="129" t="str">
        <f>B51&amp;B53</f>
        <v>2015Overhead - Offsite</v>
      </c>
      <c r="B53" s="117" t="s">
        <v>594</v>
      </c>
      <c r="C53" s="812"/>
      <c r="D53" s="812"/>
      <c r="E53" s="812"/>
      <c r="F53" s="812"/>
      <c r="G53" s="812"/>
      <c r="H53" s="812"/>
      <c r="I53" s="812"/>
      <c r="J53" s="812"/>
      <c r="K53" s="812"/>
      <c r="L53" s="812">
        <f t="shared" si="1"/>
        <v>0.1988</v>
      </c>
      <c r="M53" s="812">
        <f t="shared" si="1"/>
        <v>0.1401</v>
      </c>
      <c r="N53" s="812"/>
      <c r="O53" s="812"/>
      <c r="P53" s="812"/>
      <c r="Q53" s="812"/>
      <c r="R53" s="812"/>
      <c r="S53" s="812"/>
      <c r="T53" s="812"/>
      <c r="U53" s="812"/>
      <c r="V53" s="812"/>
      <c r="W53" s="812"/>
      <c r="X53" s="812"/>
      <c r="Y53" s="812"/>
      <c r="Z53" s="812"/>
      <c r="AA53" s="812"/>
      <c r="AB53" s="812"/>
      <c r="AC53" s="812"/>
      <c r="AD53" s="812"/>
      <c r="AE53" s="812"/>
    </row>
    <row r="54" spans="1:31">
      <c r="A54" s="129" t="str">
        <f>B51&amp;B54</f>
        <v>2015Overhead - Onsite</v>
      </c>
      <c r="B54" s="117" t="s">
        <v>595</v>
      </c>
      <c r="C54" s="812"/>
      <c r="D54" s="812"/>
      <c r="E54" s="812"/>
      <c r="F54" s="812"/>
      <c r="G54" s="812"/>
      <c r="H54" s="812"/>
      <c r="I54" s="812"/>
      <c r="J54" s="812"/>
      <c r="K54" s="812"/>
      <c r="L54" s="812">
        <f t="shared" si="1"/>
        <v>2.23E-2</v>
      </c>
      <c r="M54" s="812" t="str">
        <f t="shared" si="1"/>
        <v>n/a</v>
      </c>
      <c r="N54" s="812"/>
      <c r="O54" s="812"/>
      <c r="P54" s="812"/>
      <c r="Q54" s="812"/>
      <c r="R54" s="812"/>
      <c r="S54" s="812"/>
      <c r="T54" s="812"/>
      <c r="U54" s="812"/>
      <c r="V54" s="812"/>
      <c r="W54" s="812"/>
      <c r="X54" s="812"/>
      <c r="Y54" s="812"/>
      <c r="Z54" s="812"/>
      <c r="AA54" s="812"/>
      <c r="AB54" s="812"/>
      <c r="AC54" s="812"/>
      <c r="AD54" s="812"/>
      <c r="AE54" s="812"/>
    </row>
    <row r="55" spans="1:31">
      <c r="A55" s="129" t="str">
        <f>B51&amp;B55</f>
        <v>2015Material Handling</v>
      </c>
      <c r="B55" s="117" t="s">
        <v>596</v>
      </c>
      <c r="C55" s="812"/>
      <c r="D55" s="812"/>
      <c r="E55" s="812"/>
      <c r="F55" s="812"/>
      <c r="G55" s="812"/>
      <c r="H55" s="812"/>
      <c r="I55" s="812"/>
      <c r="J55" s="812"/>
      <c r="K55" s="812"/>
      <c r="L55" s="812">
        <f t="shared" si="1"/>
        <v>2.8000000000000001E-2</v>
      </c>
      <c r="M55" s="812">
        <f t="shared" si="1"/>
        <v>2.8000000000000001E-2</v>
      </c>
      <c r="N55" s="812"/>
      <c r="O55" s="812"/>
      <c r="P55" s="812"/>
      <c r="Q55" s="812"/>
      <c r="R55" s="812"/>
      <c r="S55" s="812"/>
      <c r="T55" s="812"/>
      <c r="U55" s="812"/>
      <c r="V55" s="812"/>
      <c r="W55" s="812"/>
      <c r="X55" s="812"/>
      <c r="Y55" s="812"/>
      <c r="Z55" s="812"/>
      <c r="AA55" s="812"/>
      <c r="AB55" s="812"/>
      <c r="AC55" s="812"/>
      <c r="AD55" s="812"/>
      <c r="AE55" s="812"/>
    </row>
    <row r="56" spans="1:31">
      <c r="A56" s="129" t="str">
        <f>B51&amp;B56</f>
        <v>2015G&amp;A</v>
      </c>
      <c r="B56" s="117" t="s">
        <v>597</v>
      </c>
      <c r="C56" s="812"/>
      <c r="D56" s="812"/>
      <c r="E56" s="812"/>
      <c r="F56" s="812"/>
      <c r="G56" s="812"/>
      <c r="H56" s="812"/>
      <c r="I56" s="812"/>
      <c r="J56" s="812"/>
      <c r="K56" s="812"/>
      <c r="L56" s="812">
        <f t="shared" si="1"/>
        <v>8.7099999999999997E-2</v>
      </c>
      <c r="M56" s="812">
        <f t="shared" si="1"/>
        <v>8.7099999999999997E-2</v>
      </c>
      <c r="N56" s="812"/>
      <c r="O56" s="812"/>
      <c r="P56" s="812"/>
      <c r="Q56" s="812"/>
      <c r="R56" s="812"/>
      <c r="S56" s="812"/>
      <c r="T56" s="812"/>
      <c r="U56" s="812"/>
      <c r="V56" s="812"/>
      <c r="W56" s="812"/>
      <c r="X56" s="812"/>
      <c r="Y56" s="812"/>
      <c r="Z56" s="812"/>
      <c r="AA56" s="812"/>
      <c r="AB56" s="812"/>
      <c r="AC56" s="812"/>
      <c r="AD56" s="812"/>
      <c r="AE56" s="812"/>
    </row>
    <row r="57" spans="1:31">
      <c r="B57" s="120" t="s">
        <v>40</v>
      </c>
      <c r="C57" s="813"/>
      <c r="D57" s="813"/>
      <c r="E57" s="813"/>
      <c r="F57" s="813"/>
      <c r="G57" s="813"/>
      <c r="H57" s="813"/>
      <c r="I57" s="813"/>
      <c r="J57" s="813"/>
      <c r="K57" s="813"/>
      <c r="L57" s="813">
        <f>IF(L54="n/a","n/a",(1+L52)*(1+L54)*(1+L56))</f>
        <v>1.4585256738919998</v>
      </c>
      <c r="M57" s="813" t="str">
        <f>IF(M54="n/a","n/a",(1+M52)*(1+M54)*(1+M56))</f>
        <v>n/a</v>
      </c>
      <c r="N57" s="813"/>
      <c r="O57" s="813"/>
      <c r="P57" s="813"/>
      <c r="Q57" s="813"/>
      <c r="R57" s="813"/>
      <c r="S57" s="813"/>
      <c r="T57" s="813"/>
      <c r="U57" s="813"/>
      <c r="V57" s="813"/>
      <c r="W57" s="813"/>
      <c r="X57" s="813"/>
      <c r="Y57" s="813"/>
      <c r="Z57" s="813"/>
      <c r="AA57" s="813"/>
      <c r="AB57" s="813"/>
      <c r="AC57" s="813"/>
      <c r="AD57" s="813"/>
      <c r="AE57" s="813"/>
    </row>
    <row r="58" spans="1:31" ht="13.5" thickBot="1">
      <c r="B58" s="121" t="s">
        <v>41</v>
      </c>
      <c r="C58" s="814"/>
      <c r="D58" s="814"/>
      <c r="E58" s="814"/>
      <c r="F58" s="814"/>
      <c r="G58" s="814"/>
      <c r="H58" s="814"/>
      <c r="I58" s="814"/>
      <c r="J58" s="814"/>
      <c r="K58" s="814"/>
      <c r="L58" s="814">
        <f>IF(L53="n/a","n/a",(1+L52)*(1+L53)*(1+L56))</f>
        <v>1.710339995952</v>
      </c>
      <c r="M58" s="814">
        <f>IF(M53="n/a","n/a",(1+M52)*(1+M53)*(1+M56))</f>
        <v>1.7619348925359997</v>
      </c>
      <c r="N58" s="814"/>
      <c r="O58" s="814"/>
      <c r="P58" s="814"/>
      <c r="Q58" s="814"/>
      <c r="R58" s="814"/>
      <c r="S58" s="814"/>
      <c r="T58" s="814"/>
      <c r="U58" s="814"/>
      <c r="V58" s="814"/>
      <c r="W58" s="814"/>
      <c r="X58" s="814"/>
      <c r="Y58" s="814"/>
      <c r="Z58" s="814"/>
      <c r="AA58" s="814"/>
      <c r="AB58" s="814"/>
      <c r="AC58" s="814"/>
      <c r="AD58" s="814"/>
      <c r="AE58" s="814"/>
    </row>
    <row r="59" spans="1:31" ht="13.5" thickBot="1">
      <c r="A59" s="857"/>
      <c r="B59" s="116">
        <f>B51+1</f>
        <v>2016</v>
      </c>
      <c r="C59" s="810"/>
      <c r="D59" s="810"/>
      <c r="E59" s="810"/>
      <c r="F59" s="810"/>
      <c r="G59" s="810"/>
      <c r="H59" s="810"/>
      <c r="I59" s="810"/>
      <c r="J59" s="810"/>
      <c r="K59" s="810"/>
      <c r="L59" s="810"/>
      <c r="M59" s="810"/>
      <c r="N59" s="810"/>
      <c r="O59" s="810"/>
      <c r="P59" s="810"/>
      <c r="Q59" s="810"/>
      <c r="R59" s="810"/>
      <c r="S59" s="810"/>
      <c r="T59" s="810"/>
      <c r="U59" s="810"/>
      <c r="V59" s="810"/>
      <c r="W59" s="810"/>
      <c r="X59" s="810"/>
      <c r="Y59" s="810"/>
      <c r="Z59" s="810"/>
      <c r="AA59" s="810"/>
      <c r="AB59" s="810"/>
      <c r="AC59" s="810"/>
      <c r="AD59" s="810"/>
      <c r="AE59" s="810"/>
    </row>
    <row r="60" spans="1:31">
      <c r="A60" s="129" t="str">
        <f>B59&amp;B60</f>
        <v>2016PRB</v>
      </c>
      <c r="B60" s="117" t="s">
        <v>621</v>
      </c>
      <c r="C60" s="811"/>
      <c r="D60" s="811"/>
      <c r="E60" s="811"/>
      <c r="F60" s="811"/>
      <c r="G60" s="811"/>
      <c r="H60" s="811"/>
      <c r="I60" s="811"/>
      <c r="J60" s="811"/>
      <c r="K60" s="811"/>
      <c r="L60" s="811">
        <f t="shared" ref="L60:M64" si="2">L52</f>
        <v>0.31240000000000001</v>
      </c>
      <c r="M60" s="811">
        <f t="shared" si="2"/>
        <v>0.42159999999999997</v>
      </c>
      <c r="N60" s="811"/>
      <c r="O60" s="811"/>
      <c r="P60" s="811"/>
      <c r="Q60" s="811"/>
      <c r="R60" s="811"/>
      <c r="S60" s="811"/>
      <c r="T60" s="811"/>
      <c r="U60" s="811"/>
      <c r="V60" s="811"/>
      <c r="W60" s="811"/>
      <c r="X60" s="811"/>
      <c r="Y60" s="811"/>
      <c r="Z60" s="811"/>
      <c r="AA60" s="811"/>
      <c r="AB60" s="811"/>
      <c r="AC60" s="811"/>
      <c r="AD60" s="811"/>
      <c r="AE60" s="811"/>
    </row>
    <row r="61" spans="1:31">
      <c r="A61" s="129" t="str">
        <f>B59&amp;B61</f>
        <v>2016Overhead - Offsite</v>
      </c>
      <c r="B61" s="117" t="s">
        <v>594</v>
      </c>
      <c r="C61" s="812"/>
      <c r="D61" s="812"/>
      <c r="E61" s="812"/>
      <c r="F61" s="812"/>
      <c r="G61" s="812"/>
      <c r="H61" s="812"/>
      <c r="I61" s="812"/>
      <c r="J61" s="812"/>
      <c r="K61" s="812"/>
      <c r="L61" s="812">
        <f t="shared" si="2"/>
        <v>0.1988</v>
      </c>
      <c r="M61" s="812">
        <f t="shared" si="2"/>
        <v>0.1401</v>
      </c>
      <c r="N61" s="812"/>
      <c r="O61" s="812"/>
      <c r="P61" s="812"/>
      <c r="Q61" s="812"/>
      <c r="R61" s="812"/>
      <c r="S61" s="812"/>
      <c r="T61" s="812"/>
      <c r="U61" s="812"/>
      <c r="V61" s="812"/>
      <c r="W61" s="812"/>
      <c r="X61" s="812"/>
      <c r="Y61" s="812"/>
      <c r="Z61" s="812"/>
      <c r="AA61" s="812"/>
      <c r="AB61" s="812"/>
      <c r="AC61" s="812"/>
      <c r="AD61" s="812"/>
      <c r="AE61" s="812"/>
    </row>
    <row r="62" spans="1:31">
      <c r="A62" s="129" t="str">
        <f>B59&amp;B62</f>
        <v>2016Overhead - Onsite</v>
      </c>
      <c r="B62" s="117" t="s">
        <v>595</v>
      </c>
      <c r="C62" s="812"/>
      <c r="D62" s="812"/>
      <c r="E62" s="812"/>
      <c r="F62" s="812"/>
      <c r="G62" s="812"/>
      <c r="H62" s="812"/>
      <c r="I62" s="812"/>
      <c r="J62" s="812"/>
      <c r="K62" s="812"/>
      <c r="L62" s="812">
        <f t="shared" si="2"/>
        <v>2.23E-2</v>
      </c>
      <c r="M62" s="812" t="str">
        <f t="shared" si="2"/>
        <v>n/a</v>
      </c>
      <c r="N62" s="812"/>
      <c r="O62" s="812"/>
      <c r="P62" s="812"/>
      <c r="Q62" s="812"/>
      <c r="R62" s="812"/>
      <c r="S62" s="812"/>
      <c r="T62" s="812"/>
      <c r="U62" s="812"/>
      <c r="V62" s="812"/>
      <c r="W62" s="812"/>
      <c r="X62" s="812"/>
      <c r="Y62" s="812"/>
      <c r="Z62" s="812"/>
      <c r="AA62" s="812"/>
      <c r="AB62" s="812"/>
      <c r="AC62" s="812"/>
      <c r="AD62" s="812"/>
      <c r="AE62" s="812"/>
    </row>
    <row r="63" spans="1:31">
      <c r="A63" s="129" t="str">
        <f>B59&amp;B63</f>
        <v>2016Material Handling</v>
      </c>
      <c r="B63" s="117" t="s">
        <v>596</v>
      </c>
      <c r="C63" s="812"/>
      <c r="D63" s="812"/>
      <c r="E63" s="812"/>
      <c r="F63" s="812"/>
      <c r="G63" s="812"/>
      <c r="H63" s="812"/>
      <c r="I63" s="812"/>
      <c r="J63" s="812"/>
      <c r="K63" s="812"/>
      <c r="L63" s="812">
        <f t="shared" si="2"/>
        <v>2.8000000000000001E-2</v>
      </c>
      <c r="M63" s="812">
        <f t="shared" si="2"/>
        <v>2.8000000000000001E-2</v>
      </c>
      <c r="N63" s="812"/>
      <c r="O63" s="812"/>
      <c r="P63" s="812"/>
      <c r="Q63" s="812"/>
      <c r="R63" s="812"/>
      <c r="S63" s="812"/>
      <c r="T63" s="812"/>
      <c r="U63" s="812"/>
      <c r="V63" s="812"/>
      <c r="W63" s="812"/>
      <c r="X63" s="812"/>
      <c r="Y63" s="812"/>
      <c r="Z63" s="812"/>
      <c r="AA63" s="812"/>
      <c r="AB63" s="812"/>
      <c r="AC63" s="812"/>
      <c r="AD63" s="812"/>
      <c r="AE63" s="812"/>
    </row>
    <row r="64" spans="1:31">
      <c r="A64" s="129" t="str">
        <f>B59&amp;B64</f>
        <v>2016G&amp;A</v>
      </c>
      <c r="B64" s="117" t="s">
        <v>597</v>
      </c>
      <c r="C64" s="812"/>
      <c r="D64" s="812"/>
      <c r="E64" s="812"/>
      <c r="F64" s="812"/>
      <c r="G64" s="812"/>
      <c r="H64" s="812"/>
      <c r="I64" s="812"/>
      <c r="J64" s="812"/>
      <c r="K64" s="812"/>
      <c r="L64" s="812">
        <f t="shared" si="2"/>
        <v>8.7099999999999997E-2</v>
      </c>
      <c r="M64" s="812">
        <f t="shared" si="2"/>
        <v>8.7099999999999997E-2</v>
      </c>
      <c r="N64" s="812"/>
      <c r="O64" s="812"/>
      <c r="P64" s="812"/>
      <c r="Q64" s="812"/>
      <c r="R64" s="812"/>
      <c r="S64" s="812"/>
      <c r="T64" s="812"/>
      <c r="U64" s="812"/>
      <c r="V64" s="812"/>
      <c r="W64" s="812"/>
      <c r="X64" s="812"/>
      <c r="Y64" s="812"/>
      <c r="Z64" s="812"/>
      <c r="AA64" s="812"/>
      <c r="AB64" s="812"/>
      <c r="AC64" s="812"/>
      <c r="AD64" s="812"/>
      <c r="AE64" s="812"/>
    </row>
    <row r="65" spans="2:31">
      <c r="B65" s="120" t="s">
        <v>40</v>
      </c>
      <c r="C65" s="813"/>
      <c r="D65" s="813"/>
      <c r="E65" s="813"/>
      <c r="F65" s="813"/>
      <c r="G65" s="813"/>
      <c r="H65" s="813"/>
      <c r="I65" s="813"/>
      <c r="J65" s="813"/>
      <c r="K65" s="813"/>
      <c r="L65" s="813">
        <f>IF(L62="n/a","n/a",(1+L60)*(1+L62)*(1+L64))</f>
        <v>1.4585256738919998</v>
      </c>
      <c r="M65" s="813" t="str">
        <f>IF(M62="n/a","n/a",(1+M60)*(1+M62)*(1+M64))</f>
        <v>n/a</v>
      </c>
      <c r="N65" s="813"/>
      <c r="O65" s="813"/>
      <c r="P65" s="813"/>
      <c r="Q65" s="813"/>
      <c r="R65" s="813"/>
      <c r="S65" s="813"/>
      <c r="T65" s="813"/>
      <c r="U65" s="813"/>
      <c r="V65" s="813"/>
      <c r="W65" s="813"/>
      <c r="X65" s="813"/>
      <c r="Y65" s="813"/>
      <c r="Z65" s="813"/>
      <c r="AA65" s="813"/>
      <c r="AB65" s="813"/>
      <c r="AC65" s="813"/>
      <c r="AD65" s="813"/>
      <c r="AE65" s="813"/>
    </row>
    <row r="66" spans="2:31" ht="13.5" thickBot="1">
      <c r="B66" s="121" t="s">
        <v>41</v>
      </c>
      <c r="C66" s="814"/>
      <c r="D66" s="814"/>
      <c r="E66" s="814"/>
      <c r="F66" s="814"/>
      <c r="G66" s="814"/>
      <c r="H66" s="814"/>
      <c r="I66" s="814"/>
      <c r="J66" s="814"/>
      <c r="K66" s="814"/>
      <c r="L66" s="814">
        <f>IF(L61="n/a","n/a",(1+L60)*(1+L61)*(1+L64))</f>
        <v>1.710339995952</v>
      </c>
      <c r="M66" s="814">
        <f>IF(M61="n/a","n/a",(1+M60)*(1+M61)*(1+M64))</f>
        <v>1.7619348925359997</v>
      </c>
      <c r="N66" s="814"/>
      <c r="O66" s="814"/>
      <c r="P66" s="814"/>
      <c r="Q66" s="814"/>
      <c r="R66" s="814"/>
      <c r="S66" s="814"/>
      <c r="T66" s="814"/>
      <c r="U66" s="814"/>
      <c r="V66" s="814"/>
      <c r="W66" s="814"/>
      <c r="X66" s="814"/>
      <c r="Y66" s="814"/>
      <c r="Z66" s="814"/>
      <c r="AA66" s="814"/>
      <c r="AB66" s="814"/>
      <c r="AC66" s="814"/>
      <c r="AD66" s="814"/>
      <c r="AE66" s="814"/>
    </row>
  </sheetData>
  <phoneticPr fontId="0" type="noConversion"/>
  <pageMargins left="0.1" right="0.1" top="0.1" bottom="0.1" header="0.5" footer="0.5"/>
  <pageSetup paperSize="5" scale="60"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Sheet2" enableFormatConditionsCalculation="0">
    <tabColor indexed="57"/>
    <pageSetUpPr fitToPage="1"/>
  </sheetPr>
  <dimension ref="A1:BA92"/>
  <sheetViews>
    <sheetView showGridLines="0" view="pageBreakPreview" topLeftCell="D1" zoomScale="85" zoomScaleNormal="70" zoomScaleSheetLayoutView="85" workbookViewId="0">
      <selection activeCell="R37" sqref="R37"/>
    </sheetView>
  </sheetViews>
  <sheetFormatPr defaultRowHeight="12.75" outlineLevelRow="1" outlineLevelCol="1"/>
  <cols>
    <col min="1" max="1" width="9.5703125" style="8" bestFit="1" customWidth="1"/>
    <col min="2" max="2" width="9.5703125" style="8" customWidth="1"/>
    <col min="3" max="3" width="9.140625" style="8"/>
    <col min="4" max="4" width="3.85546875" style="8" customWidth="1"/>
    <col min="5" max="5" width="17.7109375" style="6" customWidth="1"/>
    <col min="6" max="7" width="10.5703125" style="6" customWidth="1"/>
    <col min="8" max="8" width="3" style="6" customWidth="1"/>
    <col min="9" max="9" width="11.28515625" style="6" bestFit="1" customWidth="1"/>
    <col min="10" max="10" width="16.5703125" style="6" hidden="1" customWidth="1" outlineLevel="1"/>
    <col min="11" max="11" width="20.42578125" style="6" hidden="1" customWidth="1" outlineLevel="1"/>
    <col min="12" max="12" width="14" style="6" bestFit="1" customWidth="1" collapsed="1"/>
    <col min="13" max="13" width="14.7109375" style="6" bestFit="1" customWidth="1"/>
    <col min="14" max="14" width="12" style="6" customWidth="1"/>
    <col min="15" max="15" width="11.140625" style="6" customWidth="1" outlineLevel="1"/>
    <col min="16" max="16" width="9.85546875" style="6" customWidth="1" outlineLevel="1"/>
    <col min="17" max="17" width="9.85546875" style="6" bestFit="1" customWidth="1"/>
    <col min="18" max="18" width="16.7109375" style="6" customWidth="1"/>
    <col min="19" max="19" width="20.140625" style="6" bestFit="1" customWidth="1"/>
    <col min="20" max="20" width="10.5703125" style="6" bestFit="1" customWidth="1"/>
    <col min="21" max="23" width="12.42578125" style="6" bestFit="1" customWidth="1" outlineLevel="1"/>
    <col min="24" max="25" width="8.42578125" style="6" bestFit="1" customWidth="1" outlineLevel="1"/>
    <col min="26" max="26" width="10.5703125" style="6" customWidth="1"/>
    <col min="27" max="27" width="8.85546875" style="6" bestFit="1" customWidth="1"/>
    <col min="28" max="28" width="11.140625" style="6" customWidth="1"/>
    <col min="29" max="29" width="10" style="6" customWidth="1"/>
    <col min="30" max="30" width="10.42578125" style="6" customWidth="1"/>
    <col min="31" max="31" width="13.28515625" style="6" customWidth="1"/>
    <col min="32" max="32" width="12.42578125" style="6" customWidth="1" outlineLevel="1"/>
    <col min="33" max="35" width="10.7109375" style="6" customWidth="1" outlineLevel="1"/>
    <col min="36" max="36" width="9.85546875" style="6" customWidth="1" outlineLevel="1"/>
    <col min="37" max="42" width="11.140625" style="6" customWidth="1" outlineLevel="1"/>
    <col min="43" max="43" width="11.28515625" style="6" customWidth="1" outlineLevel="1"/>
    <col min="44" max="44" width="10.28515625" style="6" customWidth="1" outlineLevel="1"/>
    <col min="45" max="45" width="11.140625" style="6" customWidth="1" outlineLevel="1"/>
    <col min="46" max="46" width="10.7109375" style="6" customWidth="1" outlineLevel="1"/>
    <col min="47" max="47" width="3.5703125" style="8" customWidth="1" outlineLevel="1"/>
    <col min="48" max="48" width="13.7109375" style="6" customWidth="1" outlineLevel="1"/>
    <col min="49" max="49" width="13.7109375" style="8" customWidth="1"/>
    <col min="50" max="51" width="9.140625" style="8" customWidth="1"/>
    <col min="52" max="53" width="19.85546875" style="251" bestFit="1" customWidth="1"/>
    <col min="54" max="16384" width="9.140625" style="8"/>
  </cols>
  <sheetData>
    <row r="1" spans="1:53">
      <c r="E1" s="241" t="s">
        <v>666</v>
      </c>
      <c r="F1" s="242" t="str">
        <f>InputSheet!D1</f>
        <v>NCSA HQ 7010</v>
      </c>
      <c r="G1" s="243"/>
      <c r="H1" s="243"/>
      <c r="I1" s="243"/>
      <c r="J1" s="244"/>
      <c r="K1" s="244"/>
      <c r="L1" s="243"/>
      <c r="M1" s="245" t="s">
        <v>610</v>
      </c>
      <c r="N1" s="242" t="str">
        <f>InputSheet!D4</f>
        <v>P-12246</v>
      </c>
      <c r="O1" s="243"/>
      <c r="P1" s="243"/>
      <c r="Q1" s="243"/>
      <c r="R1" s="243"/>
      <c r="S1" s="243"/>
      <c r="T1" s="243"/>
      <c r="U1" s="243"/>
      <c r="V1" s="243"/>
      <c r="W1" s="243"/>
      <c r="X1" s="243"/>
      <c r="Y1" s="243"/>
      <c r="Z1" s="243"/>
      <c r="AA1" s="243"/>
      <c r="AB1" s="243"/>
      <c r="AC1" s="243"/>
      <c r="AD1" s="243"/>
      <c r="AE1" s="243"/>
      <c r="AF1" s="246"/>
      <c r="AZ1" s="247"/>
      <c r="BA1" s="247"/>
    </row>
    <row r="2" spans="1:53">
      <c r="E2" s="248" t="s">
        <v>612</v>
      </c>
      <c r="F2" s="1195" t="str">
        <f>InputSheet!D2</f>
        <v>CIS Consultant Services</v>
      </c>
      <c r="G2" s="1195"/>
      <c r="H2" s="1195"/>
      <c r="I2" s="1195"/>
      <c r="J2" s="1195"/>
      <c r="K2" s="1195"/>
      <c r="L2" s="1196"/>
      <c r="M2" s="249" t="s">
        <v>611</v>
      </c>
      <c r="N2" s="27" t="str">
        <f>InputSheet!D3</f>
        <v>ManTech Telecommunications and Information Systems Corporation</v>
      </c>
      <c r="O2" s="8"/>
      <c r="P2" s="8"/>
      <c r="Q2" s="8"/>
      <c r="R2" s="8"/>
      <c r="S2" s="8"/>
      <c r="T2" s="8"/>
      <c r="U2" s="8"/>
      <c r="V2" s="8"/>
      <c r="W2" s="8"/>
      <c r="X2" s="8"/>
      <c r="Y2" s="8"/>
      <c r="Z2" s="8"/>
      <c r="AA2" s="8"/>
      <c r="AB2" s="8"/>
      <c r="AC2" s="8"/>
      <c r="AD2" s="8"/>
      <c r="AE2" s="8"/>
      <c r="AF2" s="250"/>
    </row>
    <row r="3" spans="1:53" s="254" customFormat="1" ht="13.5" thickBot="1">
      <c r="A3" s="8"/>
      <c r="B3" s="8"/>
      <c r="C3" s="8"/>
      <c r="D3" s="8"/>
      <c r="E3" s="252" t="s">
        <v>613</v>
      </c>
      <c r="F3" s="253" t="s">
        <v>619</v>
      </c>
      <c r="J3" s="255"/>
      <c r="K3" s="255"/>
      <c r="M3" s="256"/>
      <c r="Q3" s="257"/>
      <c r="AF3" s="258"/>
      <c r="AK3" s="257"/>
      <c r="AL3" s="257"/>
      <c r="AM3" s="257"/>
      <c r="AN3" s="257"/>
      <c r="AO3" s="257"/>
      <c r="AP3" s="257"/>
      <c r="AZ3" s="259"/>
      <c r="BA3" s="259"/>
    </row>
    <row r="4" spans="1:53">
      <c r="E4" s="248"/>
      <c r="F4" s="8"/>
      <c r="G4" s="8"/>
      <c r="H4" s="8"/>
      <c r="I4" s="8"/>
      <c r="J4" s="260"/>
      <c r="K4" s="260"/>
      <c r="L4" s="8"/>
      <c r="M4" s="8"/>
      <c r="N4" s="8"/>
      <c r="O4" s="8"/>
      <c r="P4" s="8"/>
      <c r="Q4" s="8"/>
      <c r="R4" s="8"/>
      <c r="S4" s="8"/>
      <c r="T4" s="8"/>
      <c r="U4" s="8"/>
      <c r="V4" s="8"/>
      <c r="W4" s="8"/>
      <c r="X4" s="8"/>
      <c r="Y4" s="8"/>
      <c r="Z4" s="8"/>
      <c r="AA4" s="8"/>
      <c r="AB4" s="8"/>
      <c r="AC4" s="8"/>
      <c r="AD4" s="8"/>
      <c r="AE4" s="8"/>
      <c r="AF4" s="250"/>
      <c r="AT4" s="8"/>
    </row>
    <row r="5" spans="1:53" hidden="1" outlineLevel="1">
      <c r="E5" s="248"/>
      <c r="F5" s="8"/>
      <c r="G5" s="8"/>
      <c r="H5" s="8"/>
      <c r="I5" s="8"/>
      <c r="J5" s="261"/>
      <c r="K5" s="261"/>
      <c r="L5" s="262"/>
      <c r="M5" s="8"/>
      <c r="N5" s="263" t="str">
        <f>N28&amp;"%"</f>
        <v>B%</v>
      </c>
      <c r="O5" s="263" t="str">
        <f>O28&amp;"%"</f>
        <v>%</v>
      </c>
      <c r="P5" s="263" t="str">
        <f>P28&amp;"%"</f>
        <v>%</v>
      </c>
      <c r="Q5" s="263" t="str">
        <f>Q28&amp;"%"</f>
        <v>C%</v>
      </c>
      <c r="R5" s="263" t="str">
        <f>R28&amp;"%"</f>
        <v>D%</v>
      </c>
      <c r="S5" s="263"/>
      <c r="T5" s="263"/>
      <c r="U5" s="263" t="str">
        <f t="shared" ref="U5:Z5" si="0">U28&amp;"%"</f>
        <v>%</v>
      </c>
      <c r="V5" s="263" t="str">
        <f t="shared" si="0"/>
        <v>%</v>
      </c>
      <c r="W5" s="263" t="str">
        <f t="shared" si="0"/>
        <v>%</v>
      </c>
      <c r="X5" s="263" t="str">
        <f t="shared" si="0"/>
        <v>%</v>
      </c>
      <c r="Y5" s="263" t="str">
        <f t="shared" si="0"/>
        <v>%</v>
      </c>
      <c r="Z5" s="263" t="str">
        <f t="shared" si="0"/>
        <v>E%</v>
      </c>
      <c r="AA5" s="263"/>
      <c r="AB5" s="263" t="str">
        <f>AB28&amp;"%"</f>
        <v>G%</v>
      </c>
      <c r="AC5" s="8"/>
      <c r="AD5" s="8"/>
      <c r="AE5" s="8"/>
      <c r="AF5" s="250"/>
      <c r="AJ5" s="263"/>
      <c r="AK5" s="263"/>
      <c r="AL5" s="263"/>
      <c r="AM5" s="263"/>
      <c r="AN5" s="263"/>
      <c r="AO5" s="263"/>
      <c r="AP5" s="263"/>
      <c r="AQ5" s="263"/>
      <c r="AR5" s="263"/>
      <c r="AS5" s="263"/>
      <c r="AT5" s="264"/>
      <c r="AU5" s="47"/>
    </row>
    <row r="6" spans="1:53" hidden="1" outlineLevel="1">
      <c r="E6" s="248"/>
      <c r="F6" s="8"/>
      <c r="G6" s="8"/>
      <c r="H6" s="8"/>
      <c r="I6" s="265"/>
      <c r="J6" s="266"/>
      <c r="K6" s="263"/>
      <c r="L6" s="267">
        <f ca="1">COLUMN(L6)-COLUMN(OFFSET($L6,0,-1))</f>
        <v>1</v>
      </c>
      <c r="M6" s="267">
        <f t="shared" ref="M6:AB6" ca="1" si="1">COLUMN(M6)-COLUMN(OFFSET($L6,0,-1))</f>
        <v>2</v>
      </c>
      <c r="N6" s="267">
        <f t="shared" ca="1" si="1"/>
        <v>3</v>
      </c>
      <c r="O6" s="267">
        <f t="shared" ca="1" si="1"/>
        <v>4</v>
      </c>
      <c r="P6" s="267">
        <f t="shared" ca="1" si="1"/>
        <v>5</v>
      </c>
      <c r="Q6" s="267">
        <f t="shared" ca="1" si="1"/>
        <v>6</v>
      </c>
      <c r="R6" s="267">
        <f t="shared" ca="1" si="1"/>
        <v>7</v>
      </c>
      <c r="S6" s="267"/>
      <c r="T6" s="267"/>
      <c r="U6" s="267">
        <f t="shared" ca="1" si="1"/>
        <v>10</v>
      </c>
      <c r="V6" s="267">
        <f t="shared" ca="1" si="1"/>
        <v>11</v>
      </c>
      <c r="W6" s="267">
        <f t="shared" ca="1" si="1"/>
        <v>12</v>
      </c>
      <c r="X6" s="267">
        <f t="shared" ca="1" si="1"/>
        <v>13</v>
      </c>
      <c r="Y6" s="267">
        <f t="shared" ca="1" si="1"/>
        <v>14</v>
      </c>
      <c r="Z6" s="267">
        <f t="shared" ca="1" si="1"/>
        <v>15</v>
      </c>
      <c r="AA6" s="267"/>
      <c r="AB6" s="267">
        <f t="shared" ca="1" si="1"/>
        <v>17</v>
      </c>
      <c r="AC6" s="8"/>
      <c r="AD6" s="8"/>
      <c r="AE6" s="8"/>
      <c r="AF6" s="250"/>
      <c r="AG6" s="266"/>
      <c r="AH6" s="266"/>
      <c r="AI6" s="266"/>
      <c r="AJ6" s="263"/>
      <c r="AK6" s="263"/>
      <c r="AL6" s="263"/>
      <c r="AM6" s="263"/>
      <c r="AN6" s="263"/>
      <c r="AO6" s="263"/>
      <c r="AP6" s="263"/>
      <c r="AQ6" s="263"/>
      <c r="AR6" s="263"/>
      <c r="AS6" s="263"/>
      <c r="AT6" s="264"/>
      <c r="AU6" s="47"/>
    </row>
    <row r="7" spans="1:53" collapsed="1">
      <c r="E7" s="268"/>
      <c r="F7" s="39" t="s">
        <v>587</v>
      </c>
      <c r="G7" s="39" t="s">
        <v>588</v>
      </c>
      <c r="H7" s="39"/>
      <c r="I7" s="269"/>
      <c r="J7" s="270"/>
      <c r="K7" s="270"/>
      <c r="L7" s="271"/>
      <c r="M7" s="272"/>
      <c r="N7" s="272"/>
      <c r="O7" s="272"/>
      <c r="P7" s="272"/>
      <c r="Q7" s="272" t="str">
        <f>InputSheet!D41</f>
        <v>Contr/Govt</v>
      </c>
      <c r="R7" s="272"/>
      <c r="S7" s="272"/>
      <c r="T7" s="272"/>
      <c r="U7" s="272"/>
      <c r="V7" s="272"/>
      <c r="W7" s="272"/>
      <c r="X7" s="272"/>
      <c r="Y7" s="272"/>
      <c r="Z7" s="272" t="str">
        <f>$Q7</f>
        <v>Contr/Govt</v>
      </c>
      <c r="AA7" s="272"/>
      <c r="AB7" s="273"/>
      <c r="AC7" s="8"/>
      <c r="AD7" s="8"/>
      <c r="AE7" s="8"/>
      <c r="AF7" s="1032"/>
      <c r="AG7" s="1016"/>
      <c r="AH7" s="1016"/>
      <c r="AI7" s="1016"/>
      <c r="AJ7" s="270"/>
      <c r="AK7" s="270"/>
      <c r="AL7" s="270"/>
      <c r="AM7" s="270"/>
      <c r="AN7" s="270"/>
      <c r="AO7" s="270"/>
      <c r="AP7" s="270"/>
      <c r="AQ7" s="270"/>
      <c r="AR7" s="270"/>
      <c r="AS7" s="274"/>
      <c r="AT7" s="249"/>
    </row>
    <row r="8" spans="1:53" ht="14.25" customHeight="1">
      <c r="E8" s="239" t="str">
        <f>InputSheet!$C$22</f>
        <v>Base Year</v>
      </c>
      <c r="F8" s="275">
        <f>VLOOKUP($E$8,InputSheet!$C$22:$G$38,2,FALSE)</f>
        <v>40179</v>
      </c>
      <c r="G8" s="276">
        <f>VLOOKUP($E$8,InputSheet!$C$22:$G$38,3,FALSE)</f>
        <v>40543</v>
      </c>
      <c r="H8" s="277"/>
      <c r="I8" s="278"/>
      <c r="J8" s="279" t="s">
        <v>593</v>
      </c>
      <c r="K8" s="279" t="s">
        <v>628</v>
      </c>
      <c r="L8" s="280" t="s">
        <v>52</v>
      </c>
      <c r="M8" s="279" t="s">
        <v>0</v>
      </c>
      <c r="N8" s="279" t="s">
        <v>620</v>
      </c>
      <c r="O8" s="279" t="s">
        <v>895</v>
      </c>
      <c r="P8" s="279" t="s">
        <v>911</v>
      </c>
      <c r="Q8" s="279" t="s">
        <v>621</v>
      </c>
      <c r="R8" s="279" t="s">
        <v>637</v>
      </c>
      <c r="S8" s="1158" t="s">
        <v>996</v>
      </c>
      <c r="T8" s="1158" t="s">
        <v>995</v>
      </c>
      <c r="U8" s="1158" t="s">
        <v>993</v>
      </c>
      <c r="V8" s="279" t="s">
        <v>957</v>
      </c>
      <c r="W8" s="279" t="s">
        <v>949</v>
      </c>
      <c r="X8" s="279" t="s">
        <v>950</v>
      </c>
      <c r="Y8" s="279" t="s">
        <v>718</v>
      </c>
      <c r="Z8" s="279" t="s">
        <v>597</v>
      </c>
      <c r="AA8" s="279" t="s">
        <v>53</v>
      </c>
      <c r="AB8" s="281" t="s">
        <v>55</v>
      </c>
      <c r="AC8" s="8"/>
      <c r="AD8" s="8"/>
      <c r="AE8" s="8"/>
      <c r="AF8" s="1033" t="s">
        <v>717</v>
      </c>
      <c r="AG8" s="1017"/>
      <c r="AH8" s="1017"/>
      <c r="AI8" s="1017"/>
      <c r="AJ8" s="279"/>
      <c r="AK8" s="279"/>
      <c r="AL8" s="279"/>
      <c r="AM8" s="279"/>
      <c r="AN8" s="279"/>
      <c r="AO8" s="279"/>
      <c r="AP8" s="279"/>
      <c r="AQ8" s="279"/>
      <c r="AR8" s="279"/>
      <c r="AS8" s="279"/>
      <c r="AT8" s="249"/>
    </row>
    <row r="9" spans="1:53" hidden="1">
      <c r="B9" s="8">
        <v>750</v>
      </c>
      <c r="E9" s="248"/>
      <c r="F9" s="8"/>
      <c r="G9" s="8"/>
      <c r="H9" s="8"/>
      <c r="I9" s="278"/>
      <c r="J9" s="283" t="str">
        <f>InputSheet!I40</f>
        <v>IS</v>
      </c>
      <c r="K9" s="284" t="str">
        <f>InputSheet!$D$42</f>
        <v>Contr</v>
      </c>
      <c r="L9" s="207" t="s">
        <v>622</v>
      </c>
      <c r="M9" s="285">
        <f>InputSheet!$E$7</f>
        <v>3.3000000000000002E-2</v>
      </c>
      <c r="N9" s="286">
        <f>VLOOKUP(($E$8&amp;$J9),InputSheet!$A$22:$G$130,7,FALSE)</f>
        <v>1.0247499999999998</v>
      </c>
      <c r="O9" s="833">
        <v>0.35</v>
      </c>
      <c r="P9" s="833">
        <v>0.35</v>
      </c>
      <c r="Q9" s="287">
        <f>IF(Q$7="",VLOOKUP($E$8&amp;$J9&amp;Q$8&amp;$K9,Indirects,2,FALSE),VLOOKUP($E$8&amp;$J9&amp;Q$8&amp;Q$7,Indirects,2,FALSE))</f>
        <v>0.31240000000000001</v>
      </c>
      <c r="R9" s="287">
        <f>IF(R$7="",VLOOKUP($E$8&amp;$J9&amp;R$8&amp;$K9,Indirects,2,FALSE),VLOOKUP($E$8&amp;$J9&amp;R$8&amp;R$7,Indirects,2,FALSE))</f>
        <v>0.1988</v>
      </c>
      <c r="S9" s="287"/>
      <c r="T9" s="287"/>
      <c r="U9" s="1015">
        <v>5000</v>
      </c>
      <c r="V9" s="1015">
        <v>5000</v>
      </c>
      <c r="W9" s="833">
        <v>0.35</v>
      </c>
      <c r="X9" s="833">
        <v>0.35</v>
      </c>
      <c r="Y9" s="833">
        <v>0.35</v>
      </c>
      <c r="Z9" s="287">
        <f>IF(Z$7="",VLOOKUP($E$8&amp;$J9&amp;Z$8&amp;$K9,Indirects,2,FALSE),VLOOKUP($E$8&amp;$J9&amp;Z$8&amp;Z$7,Indirects,2,FALSE))</f>
        <v>9.4700000000000006E-2</v>
      </c>
      <c r="AA9" s="288"/>
      <c r="AB9" s="213">
        <v>0.15</v>
      </c>
      <c r="AC9" s="8"/>
      <c r="AD9" s="8"/>
      <c r="AE9" s="8"/>
      <c r="AF9" s="1034">
        <f t="shared" ref="AF9:AF24" si="2">IF(M9="","",M9)</f>
        <v>3.3000000000000002E-2</v>
      </c>
      <c r="AG9" s="1023"/>
      <c r="AH9" s="1023"/>
      <c r="AI9" s="1023"/>
      <c r="AJ9" s="287"/>
      <c r="AK9" s="287"/>
      <c r="AL9" s="287"/>
      <c r="AM9" s="287"/>
      <c r="AN9" s="287"/>
      <c r="AO9" s="287"/>
      <c r="AP9" s="287"/>
      <c r="AQ9" s="287"/>
      <c r="AR9" s="287"/>
      <c r="AS9" s="287"/>
      <c r="AT9" s="249"/>
    </row>
    <row r="10" spans="1:53" ht="15" customHeight="1">
      <c r="B10" s="8">
        <f>B9/3</f>
        <v>250</v>
      </c>
      <c r="E10" s="248"/>
      <c r="F10" s="8"/>
      <c r="G10" s="8"/>
      <c r="H10" s="8"/>
      <c r="I10" s="278"/>
      <c r="J10" s="289" t="str">
        <f>J$9</f>
        <v>IS</v>
      </c>
      <c r="K10" s="290" t="str">
        <f>InputSheet!$D$43</f>
        <v>Govt</v>
      </c>
      <c r="L10" s="208" t="s">
        <v>623</v>
      </c>
      <c r="M10" s="285">
        <f>InputSheet!$E$7</f>
        <v>3.3000000000000002E-2</v>
      </c>
      <c r="N10" s="286">
        <f>VLOOKUP(($E$8&amp;$J10),InputSheet!$A$22:$G$130,7,FALSE)</f>
        <v>1.0247499999999998</v>
      </c>
      <c r="O10" s="834">
        <v>0.35</v>
      </c>
      <c r="P10" s="834">
        <v>0.35</v>
      </c>
      <c r="Q10" s="287">
        <f>IF(Q$7="",VLOOKUP($E$8&amp;$J10&amp;Q$8&amp;$K10,Indirects,2,FALSE),VLOOKUP($E$8&amp;$J10&amp;Q$8&amp;Q$7,Indirects,2,FALSE))</f>
        <v>0.31240000000000001</v>
      </c>
      <c r="R10" s="287">
        <f>IF(R$7="",VLOOKUP($E$8&amp;$J10&amp;R$8&amp;$K10,Indirects,2,FALSE),VLOOKUP($E$8&amp;$J10&amp;R$8&amp;R$7,Indirects,2,FALSE))</f>
        <v>2.23E-2</v>
      </c>
      <c r="S10" s="1163">
        <f ca="1">+AE48</f>
        <v>14109.6</v>
      </c>
      <c r="T10" s="1163">
        <f ca="1">+AE49</f>
        <v>3741.12</v>
      </c>
      <c r="U10" s="833">
        <v>0.15</v>
      </c>
      <c r="V10" s="1015">
        <v>5000</v>
      </c>
      <c r="W10" s="1094">
        <f>75.04*12</f>
        <v>900.48</v>
      </c>
      <c r="X10" s="834">
        <v>1.9E-2</v>
      </c>
      <c r="Y10" s="1091">
        <f>'Travel - Year 1'!$Q$21</f>
        <v>8230.1</v>
      </c>
      <c r="Z10" s="287">
        <f t="shared" ref="Z10:Z24" si="3">IF(Z$7="",VLOOKUP($E$8&amp;$J10&amp;Z$8&amp;$K10,Indirects,2,FALSE),VLOOKUP($E$8&amp;$J10&amp;Z$8&amp;Z$7,Indirects,2,FALSE))</f>
        <v>9.4700000000000006E-2</v>
      </c>
      <c r="AA10" s="291"/>
      <c r="AB10" s="209">
        <f>'Pricing Summary'!C52</f>
        <v>0.08</v>
      </c>
      <c r="AC10" s="8"/>
      <c r="AD10" s="8"/>
      <c r="AE10" s="8"/>
      <c r="AF10" s="1034">
        <f t="shared" si="2"/>
        <v>3.3000000000000002E-2</v>
      </c>
      <c r="AG10" s="1024"/>
      <c r="AH10" s="1024"/>
      <c r="AI10" s="1024"/>
      <c r="AJ10" s="287"/>
      <c r="AK10" s="287"/>
      <c r="AL10" s="287"/>
      <c r="AM10" s="287"/>
      <c r="AN10" s="287"/>
      <c r="AO10" s="287"/>
      <c r="AP10" s="287"/>
      <c r="AQ10" s="287"/>
      <c r="AR10" s="287"/>
      <c r="AS10" s="287"/>
      <c r="AT10" s="249"/>
    </row>
    <row r="11" spans="1:53" hidden="1" outlineLevel="1">
      <c r="E11" s="248"/>
      <c r="F11" s="8"/>
      <c r="G11" s="8"/>
      <c r="H11" s="8"/>
      <c r="I11" s="278"/>
      <c r="J11" s="289" t="str">
        <f t="shared" ref="J11:J24" si="4">J$9</f>
        <v>IS</v>
      </c>
      <c r="K11" s="290" t="str">
        <f>K$9</f>
        <v>Contr</v>
      </c>
      <c r="L11" s="208" t="s">
        <v>667</v>
      </c>
      <c r="M11" s="293">
        <v>0</v>
      </c>
      <c r="N11" s="292">
        <v>1</v>
      </c>
      <c r="O11" s="833">
        <v>0</v>
      </c>
      <c r="P11" s="834">
        <v>0</v>
      </c>
      <c r="Q11" s="287">
        <f t="shared" ref="Q11:Q20" si="5">IF(Q$7="",VLOOKUP($E$8&amp;$J11&amp;Q$8&amp;$K11,Indirects,2,FALSE),VLOOKUP($E$8&amp;$J11&amp;Q$8&amp;Q$7,Indirects,2,FALSE))</f>
        <v>0.31240000000000001</v>
      </c>
      <c r="R11" s="287">
        <f t="shared" ref="R11:R20" si="6">IF(R$7="",VLOOKUP($E$8&amp;$J11&amp;R$8&amp;$K11,Indirects,2,FALSE),VLOOKUP($E$8&amp;$J11&amp;R$8&amp;R$7,Indirects,2,FALSE))</f>
        <v>0.1988</v>
      </c>
      <c r="S11" s="287"/>
      <c r="T11" s="287"/>
      <c r="U11" s="834">
        <v>0</v>
      </c>
      <c r="V11" s="834">
        <v>0</v>
      </c>
      <c r="W11" s="834">
        <v>0</v>
      </c>
      <c r="X11" s="834">
        <v>0</v>
      </c>
      <c r="Y11" s="834">
        <v>0</v>
      </c>
      <c r="Z11" s="287">
        <f t="shared" si="3"/>
        <v>9.4700000000000006E-2</v>
      </c>
      <c r="AA11" s="291"/>
      <c r="AB11" s="209">
        <f t="shared" ref="AB11:AB22" si="7">AB10</f>
        <v>0.08</v>
      </c>
      <c r="AC11" s="8"/>
      <c r="AD11" s="8"/>
      <c r="AE11" s="8"/>
      <c r="AF11" s="1034">
        <f t="shared" si="2"/>
        <v>0</v>
      </c>
      <c r="AG11" s="1024"/>
      <c r="AH11" s="1024"/>
      <c r="AI11" s="1024"/>
      <c r="AJ11" s="287"/>
      <c r="AK11" s="287"/>
      <c r="AL11" s="287"/>
      <c r="AM11" s="287"/>
      <c r="AN11" s="287"/>
      <c r="AO11" s="287"/>
      <c r="AP11" s="287"/>
      <c r="AQ11" s="287"/>
      <c r="AR11" s="287"/>
      <c r="AS11" s="287"/>
      <c r="AT11" s="249"/>
    </row>
    <row r="12" spans="1:53" hidden="1" outlineLevel="1">
      <c r="E12" s="248"/>
      <c r="F12" s="8"/>
      <c r="G12" s="8"/>
      <c r="H12" s="8"/>
      <c r="I12" s="278"/>
      <c r="J12" s="289" t="str">
        <f t="shared" si="4"/>
        <v>IS</v>
      </c>
      <c r="K12" s="290" t="str">
        <f>K$10</f>
        <v>Govt</v>
      </c>
      <c r="L12" s="208" t="s">
        <v>668</v>
      </c>
      <c r="M12" s="293">
        <v>0</v>
      </c>
      <c r="N12" s="292">
        <v>1</v>
      </c>
      <c r="O12" s="834">
        <v>0</v>
      </c>
      <c r="P12" s="834">
        <v>0</v>
      </c>
      <c r="Q12" s="287">
        <f t="shared" si="5"/>
        <v>0.31240000000000001</v>
      </c>
      <c r="R12" s="287">
        <f t="shared" si="6"/>
        <v>2.23E-2</v>
      </c>
      <c r="S12" s="287"/>
      <c r="T12" s="287"/>
      <c r="U12" s="834">
        <v>0</v>
      </c>
      <c r="V12" s="834">
        <v>0</v>
      </c>
      <c r="W12" s="834">
        <v>0</v>
      </c>
      <c r="X12" s="834">
        <v>0</v>
      </c>
      <c r="Y12" s="834">
        <v>0</v>
      </c>
      <c r="Z12" s="287">
        <f t="shared" si="3"/>
        <v>9.4700000000000006E-2</v>
      </c>
      <c r="AA12" s="291"/>
      <c r="AB12" s="209">
        <f t="shared" si="7"/>
        <v>0.08</v>
      </c>
      <c r="AC12" s="8"/>
      <c r="AD12" s="8"/>
      <c r="AE12" s="8"/>
      <c r="AF12" s="1034">
        <f t="shared" si="2"/>
        <v>0</v>
      </c>
      <c r="AG12" s="1024"/>
      <c r="AH12" s="1024"/>
      <c r="AI12" s="1024"/>
      <c r="AJ12" s="287"/>
      <c r="AK12" s="287"/>
      <c r="AL12" s="287"/>
      <c r="AM12" s="287"/>
      <c r="AN12" s="287"/>
      <c r="AO12" s="287"/>
      <c r="AP12" s="287"/>
      <c r="AQ12" s="287"/>
      <c r="AR12" s="287"/>
      <c r="AS12" s="287"/>
      <c r="AT12" s="249"/>
    </row>
    <row r="13" spans="1:53" hidden="1" outlineLevel="1">
      <c r="E13" s="248"/>
      <c r="F13" s="8"/>
      <c r="G13" s="8"/>
      <c r="H13" s="8"/>
      <c r="I13" s="278"/>
      <c r="J13" s="289" t="str">
        <f>InputSheet!I87</f>
        <v>ESD</v>
      </c>
      <c r="K13" s="290" t="str">
        <f>K$9</f>
        <v>Contr</v>
      </c>
      <c r="L13" s="208" t="s">
        <v>624</v>
      </c>
      <c r="M13" s="285">
        <f>InputSheet!$E$54</f>
        <v>3.3000000000000002E-2</v>
      </c>
      <c r="N13" s="286">
        <f>VLOOKUP(($E$8&amp;$J13),InputSheet!$A$22:$G$130,7,FALSE)</f>
        <v>1.0247499999999998</v>
      </c>
      <c r="O13" s="833">
        <v>0</v>
      </c>
      <c r="P13" s="833">
        <v>0</v>
      </c>
      <c r="Q13" s="287">
        <f>IF(Q$7="",VLOOKUP($E$8&amp;$J13&amp;Q$8&amp;$K13,Indirects,2,FALSE),VLOOKUP($E$8&amp;$J13&amp;Q$8&amp;Q$7,Indirects,2,FALSE))</f>
        <v>0</v>
      </c>
      <c r="R13" s="287">
        <f t="shared" si="6"/>
        <v>0</v>
      </c>
      <c r="S13" s="287"/>
      <c r="T13" s="287"/>
      <c r="U13" s="833">
        <v>0</v>
      </c>
      <c r="V13" s="833">
        <v>0</v>
      </c>
      <c r="W13" s="833">
        <v>0</v>
      </c>
      <c r="X13" s="833">
        <v>0</v>
      </c>
      <c r="Y13" s="833">
        <v>0</v>
      </c>
      <c r="Z13" s="287">
        <f t="shared" si="3"/>
        <v>0</v>
      </c>
      <c r="AA13" s="291"/>
      <c r="AB13" s="209">
        <f t="shared" si="7"/>
        <v>0.08</v>
      </c>
      <c r="AC13" s="8"/>
      <c r="AD13" s="8"/>
      <c r="AE13" s="8"/>
      <c r="AF13" s="1034">
        <f t="shared" si="2"/>
        <v>3.3000000000000002E-2</v>
      </c>
      <c r="AG13" s="1024"/>
      <c r="AH13" s="1024"/>
      <c r="AI13" s="1024"/>
      <c r="AJ13" s="287"/>
      <c r="AK13" s="287"/>
      <c r="AL13" s="287"/>
      <c r="AM13" s="287"/>
      <c r="AN13" s="287"/>
      <c r="AO13" s="287"/>
      <c r="AP13" s="287"/>
      <c r="AQ13" s="287"/>
      <c r="AR13" s="287"/>
      <c r="AS13" s="287"/>
      <c r="AT13" s="249"/>
    </row>
    <row r="14" spans="1:53" hidden="1" outlineLevel="1">
      <c r="E14" s="248"/>
      <c r="F14" s="8"/>
      <c r="G14" s="8"/>
      <c r="H14" s="8"/>
      <c r="I14" s="278"/>
      <c r="J14" s="289" t="str">
        <f>J13</f>
        <v>ESD</v>
      </c>
      <c r="K14" s="290" t="str">
        <f>K$10</f>
        <v>Govt</v>
      </c>
      <c r="L14" s="208" t="s">
        <v>625</v>
      </c>
      <c r="M14" s="285">
        <f>InputSheet!$E$54</f>
        <v>3.3000000000000002E-2</v>
      </c>
      <c r="N14" s="286">
        <f>VLOOKUP(($E$8&amp;$J14),InputSheet!$A$22:$G$130,7,FALSE)</f>
        <v>1.0247499999999998</v>
      </c>
      <c r="O14" s="834">
        <v>0</v>
      </c>
      <c r="P14" s="834">
        <v>0</v>
      </c>
      <c r="Q14" s="287">
        <f>IF(Q$7="",VLOOKUP($E$8&amp;$J14&amp;Q$8&amp;$K14,Indirects,2,FALSE),VLOOKUP($E$8&amp;$J14&amp;Q$8&amp;Q$7,Indirects,2,FALSE))</f>
        <v>0</v>
      </c>
      <c r="R14" s="287">
        <f t="shared" si="6"/>
        <v>0</v>
      </c>
      <c r="S14" s="287"/>
      <c r="T14" s="287"/>
      <c r="U14" s="834">
        <v>0</v>
      </c>
      <c r="V14" s="834">
        <v>0</v>
      </c>
      <c r="W14" s="834">
        <v>0</v>
      </c>
      <c r="X14" s="834">
        <v>0</v>
      </c>
      <c r="Y14" s="834">
        <v>0</v>
      </c>
      <c r="Z14" s="287">
        <f t="shared" si="3"/>
        <v>0</v>
      </c>
      <c r="AA14" s="291"/>
      <c r="AB14" s="209">
        <f t="shared" si="7"/>
        <v>0.08</v>
      </c>
      <c r="AC14" s="8"/>
      <c r="AD14" s="8"/>
      <c r="AE14" s="8"/>
      <c r="AF14" s="1034">
        <f t="shared" si="2"/>
        <v>3.3000000000000002E-2</v>
      </c>
      <c r="AG14" s="1024"/>
      <c r="AH14" s="1024"/>
      <c r="AI14" s="1024"/>
      <c r="AJ14" s="287"/>
      <c r="AK14" s="287"/>
      <c r="AL14" s="287"/>
      <c r="AM14" s="287"/>
      <c r="AN14" s="287"/>
      <c r="AO14" s="287"/>
      <c r="AP14" s="287"/>
      <c r="AQ14" s="287"/>
      <c r="AR14" s="287"/>
      <c r="AS14" s="287"/>
      <c r="AT14" s="249"/>
    </row>
    <row r="15" spans="1:53" hidden="1" outlineLevel="1">
      <c r="E15" s="248"/>
      <c r="F15" s="8"/>
      <c r="G15" s="8"/>
      <c r="H15" s="8"/>
      <c r="I15" s="278"/>
      <c r="J15" s="289" t="str">
        <f>InputSheet!I134</f>
        <v>ESD</v>
      </c>
      <c r="K15" s="290" t="str">
        <f>K$9</f>
        <v>Contr</v>
      </c>
      <c r="L15" s="208" t="s">
        <v>784</v>
      </c>
      <c r="M15" s="285">
        <f>InputSheet!$E$101</f>
        <v>3.3000000000000002E-2</v>
      </c>
      <c r="N15" s="286">
        <f>VLOOKUP(($E$8&amp;$J15),InputSheet!$A$22:$G$130,7,FALSE)</f>
        <v>1.0247499999999998</v>
      </c>
      <c r="O15" s="833">
        <v>0</v>
      </c>
      <c r="P15" s="833">
        <v>0</v>
      </c>
      <c r="Q15" s="287">
        <f>IF(Q$7="",VLOOKUP($E$8&amp;$J15&amp;Q$8&amp;$K15,Indirects,2,FALSE),VLOOKUP($E$8&amp;$J15&amp;Q$8&amp;Q$7,Indirects,2,FALSE))</f>
        <v>0</v>
      </c>
      <c r="R15" s="287">
        <f t="shared" si="6"/>
        <v>0</v>
      </c>
      <c r="S15" s="287"/>
      <c r="T15" s="287"/>
      <c r="U15" s="833">
        <v>0</v>
      </c>
      <c r="V15" s="833">
        <v>0</v>
      </c>
      <c r="W15" s="833">
        <v>0</v>
      </c>
      <c r="X15" s="833">
        <v>0</v>
      </c>
      <c r="Y15" s="833">
        <v>0</v>
      </c>
      <c r="Z15" s="287">
        <f t="shared" si="3"/>
        <v>0</v>
      </c>
      <c r="AA15" s="291"/>
      <c r="AB15" s="209">
        <f t="shared" si="7"/>
        <v>0.08</v>
      </c>
      <c r="AC15" s="8"/>
      <c r="AD15" s="8"/>
      <c r="AE15" s="8"/>
      <c r="AF15" s="1034">
        <f t="shared" si="2"/>
        <v>3.3000000000000002E-2</v>
      </c>
      <c r="AG15" s="1024"/>
      <c r="AH15" s="1024"/>
      <c r="AI15" s="1024"/>
      <c r="AJ15" s="287"/>
      <c r="AK15" s="287"/>
      <c r="AL15" s="287"/>
      <c r="AM15" s="287"/>
      <c r="AN15" s="287"/>
      <c r="AO15" s="287"/>
      <c r="AP15" s="287"/>
      <c r="AQ15" s="287"/>
      <c r="AR15" s="287"/>
      <c r="AS15" s="287"/>
      <c r="AT15" s="249"/>
    </row>
    <row r="16" spans="1:53" hidden="1" outlineLevel="1">
      <c r="E16" s="248"/>
      <c r="F16" s="8"/>
      <c r="G16" s="8"/>
      <c r="H16" s="8"/>
      <c r="I16" s="278"/>
      <c r="J16" s="289" t="str">
        <f>J15</f>
        <v>ESD</v>
      </c>
      <c r="K16" s="290" t="str">
        <f>K$10</f>
        <v>Govt</v>
      </c>
      <c r="L16" s="208" t="s">
        <v>785</v>
      </c>
      <c r="M16" s="285">
        <f>InputSheet!$E$101</f>
        <v>3.3000000000000002E-2</v>
      </c>
      <c r="N16" s="286">
        <f>VLOOKUP(($E$8&amp;$J16),InputSheet!$A$22:$G$130,7,FALSE)</f>
        <v>1.0247499999999998</v>
      </c>
      <c r="O16" s="834">
        <v>0</v>
      </c>
      <c r="P16" s="834">
        <v>0</v>
      </c>
      <c r="Q16" s="287">
        <f t="shared" si="5"/>
        <v>0</v>
      </c>
      <c r="R16" s="287">
        <f t="shared" si="6"/>
        <v>0</v>
      </c>
      <c r="S16" s="287"/>
      <c r="T16" s="287"/>
      <c r="U16" s="834">
        <v>0</v>
      </c>
      <c r="V16" s="834">
        <v>0</v>
      </c>
      <c r="W16" s="834">
        <v>0</v>
      </c>
      <c r="X16" s="834">
        <v>0</v>
      </c>
      <c r="Y16" s="834">
        <v>0</v>
      </c>
      <c r="Z16" s="287">
        <f t="shared" si="3"/>
        <v>0</v>
      </c>
      <c r="AA16" s="291"/>
      <c r="AB16" s="209">
        <f t="shared" si="7"/>
        <v>0.08</v>
      </c>
      <c r="AC16" s="8"/>
      <c r="AD16" s="8"/>
      <c r="AE16" s="8"/>
      <c r="AF16" s="1034">
        <f t="shared" si="2"/>
        <v>3.3000000000000002E-2</v>
      </c>
      <c r="AG16" s="1024"/>
      <c r="AH16" s="1024"/>
      <c r="AI16" s="1024"/>
      <c r="AJ16" s="287"/>
      <c r="AK16" s="287"/>
      <c r="AL16" s="287"/>
      <c r="AM16" s="287"/>
      <c r="AN16" s="287"/>
      <c r="AO16" s="287"/>
      <c r="AP16" s="287"/>
      <c r="AQ16" s="287"/>
      <c r="AR16" s="287"/>
      <c r="AS16" s="287"/>
      <c r="AT16" s="249"/>
    </row>
    <row r="17" spans="4:53" hidden="1" outlineLevel="1">
      <c r="E17" s="248"/>
      <c r="F17" s="8"/>
      <c r="G17" s="8"/>
      <c r="H17" s="8"/>
      <c r="I17" s="278"/>
      <c r="J17" s="289" t="str">
        <f t="shared" si="4"/>
        <v>IS</v>
      </c>
      <c r="K17" s="290" t="str">
        <f>K$9</f>
        <v>Contr</v>
      </c>
      <c r="L17" s="208" t="s">
        <v>716</v>
      </c>
      <c r="M17" s="285">
        <f>InputSheet!$E$7</f>
        <v>3.3000000000000002E-2</v>
      </c>
      <c r="N17" s="286">
        <f>VLOOKUP(($E$8&amp;$J17),InputSheet!$A$22:$G$130,7,FALSE)</f>
        <v>1.0247499999999998</v>
      </c>
      <c r="O17" s="834">
        <v>0.5</v>
      </c>
      <c r="P17" s="834">
        <v>0</v>
      </c>
      <c r="Q17" s="287">
        <f t="shared" si="5"/>
        <v>0.31240000000000001</v>
      </c>
      <c r="R17" s="287">
        <f t="shared" si="6"/>
        <v>0.1988</v>
      </c>
      <c r="S17" s="287"/>
      <c r="T17" s="287"/>
      <c r="U17" s="834">
        <v>0</v>
      </c>
      <c r="V17" s="834">
        <v>0</v>
      </c>
      <c r="W17" s="834">
        <v>0</v>
      </c>
      <c r="X17" s="834">
        <v>0</v>
      </c>
      <c r="Y17" s="834">
        <v>0</v>
      </c>
      <c r="Z17" s="287">
        <f t="shared" si="3"/>
        <v>9.4700000000000006E-2</v>
      </c>
      <c r="AA17" s="291"/>
      <c r="AB17" s="209">
        <f t="shared" si="7"/>
        <v>0.08</v>
      </c>
      <c r="AC17" s="8"/>
      <c r="AD17" s="8"/>
      <c r="AE17" s="8"/>
      <c r="AF17" s="1034">
        <f t="shared" si="2"/>
        <v>3.3000000000000002E-2</v>
      </c>
      <c r="AG17" s="1024"/>
      <c r="AH17" s="1024"/>
      <c r="AI17" s="1024"/>
      <c r="AJ17" s="287"/>
      <c r="AK17" s="287"/>
      <c r="AL17" s="287"/>
      <c r="AM17" s="287"/>
      <c r="AN17" s="287"/>
      <c r="AO17" s="287"/>
      <c r="AP17" s="287"/>
      <c r="AQ17" s="287"/>
      <c r="AR17" s="287"/>
      <c r="AS17" s="287"/>
      <c r="AT17" s="249"/>
    </row>
    <row r="18" spans="4:53" hidden="1" outlineLevel="1">
      <c r="E18" s="248"/>
      <c r="F18" s="8"/>
      <c r="G18" s="8"/>
      <c r="H18" s="8"/>
      <c r="I18" s="278"/>
      <c r="J18" s="289" t="str">
        <f t="shared" si="4"/>
        <v>IS</v>
      </c>
      <c r="K18" s="290" t="str">
        <f>K$10</f>
        <v>Govt</v>
      </c>
      <c r="L18" s="208" t="s">
        <v>715</v>
      </c>
      <c r="M18" s="285">
        <f>InputSheet!$E$7</f>
        <v>3.3000000000000002E-2</v>
      </c>
      <c r="N18" s="286">
        <f>VLOOKUP(($E$8&amp;$J18),InputSheet!$A$22:$G$130,7,FALSE)</f>
        <v>1.0247499999999998</v>
      </c>
      <c r="O18" s="834">
        <v>0.5</v>
      </c>
      <c r="P18" s="834">
        <v>0</v>
      </c>
      <c r="Q18" s="287">
        <f t="shared" si="5"/>
        <v>0.31240000000000001</v>
      </c>
      <c r="R18" s="287">
        <f t="shared" si="6"/>
        <v>2.23E-2</v>
      </c>
      <c r="S18" s="287"/>
      <c r="T18" s="287"/>
      <c r="U18" s="834">
        <v>0</v>
      </c>
      <c r="V18" s="834">
        <v>0</v>
      </c>
      <c r="W18" s="834">
        <v>0</v>
      </c>
      <c r="X18" s="834">
        <v>0</v>
      </c>
      <c r="Y18" s="834">
        <v>0</v>
      </c>
      <c r="Z18" s="287">
        <f t="shared" si="3"/>
        <v>9.4700000000000006E-2</v>
      </c>
      <c r="AA18" s="291"/>
      <c r="AB18" s="209">
        <f t="shared" si="7"/>
        <v>0.08</v>
      </c>
      <c r="AC18" s="8"/>
      <c r="AD18" s="8"/>
      <c r="AE18" s="8"/>
      <c r="AF18" s="1034">
        <f t="shared" si="2"/>
        <v>3.3000000000000002E-2</v>
      </c>
      <c r="AG18" s="1024"/>
      <c r="AH18" s="1024"/>
      <c r="AI18" s="1024"/>
      <c r="AJ18" s="287"/>
      <c r="AK18" s="287"/>
      <c r="AL18" s="287"/>
      <c r="AM18" s="287"/>
      <c r="AN18" s="287"/>
      <c r="AO18" s="287"/>
      <c r="AP18" s="287"/>
      <c r="AQ18" s="287"/>
      <c r="AR18" s="287"/>
      <c r="AS18" s="287"/>
      <c r="AT18" s="249"/>
    </row>
    <row r="19" spans="4:53" hidden="1" outlineLevel="1">
      <c r="E19" s="248"/>
      <c r="F19" s="8"/>
      <c r="G19" s="8"/>
      <c r="H19" s="8"/>
      <c r="I19" s="278"/>
      <c r="J19" s="289" t="str">
        <f t="shared" si="4"/>
        <v>IS</v>
      </c>
      <c r="K19" s="290" t="str">
        <f>K$9</f>
        <v>Contr</v>
      </c>
      <c r="L19" s="208" t="s">
        <v>670</v>
      </c>
      <c r="M19" s="293">
        <v>0</v>
      </c>
      <c r="N19" s="292">
        <v>1</v>
      </c>
      <c r="O19" s="833">
        <v>0.5</v>
      </c>
      <c r="P19" s="833">
        <v>0</v>
      </c>
      <c r="Q19" s="287">
        <f t="shared" si="5"/>
        <v>0.31240000000000001</v>
      </c>
      <c r="R19" s="287">
        <f t="shared" si="6"/>
        <v>0.1988</v>
      </c>
      <c r="S19" s="287"/>
      <c r="T19" s="287"/>
      <c r="U19" s="833">
        <v>0</v>
      </c>
      <c r="V19" s="833">
        <v>0</v>
      </c>
      <c r="W19" s="833">
        <v>0</v>
      </c>
      <c r="X19" s="833">
        <v>0</v>
      </c>
      <c r="Y19" s="833">
        <v>0</v>
      </c>
      <c r="Z19" s="287">
        <f t="shared" si="3"/>
        <v>9.4700000000000006E-2</v>
      </c>
      <c r="AA19" s="291"/>
      <c r="AB19" s="209">
        <f t="shared" si="7"/>
        <v>0.08</v>
      </c>
      <c r="AC19" s="8"/>
      <c r="AD19" s="8"/>
      <c r="AE19" s="8"/>
      <c r="AF19" s="1034">
        <f t="shared" si="2"/>
        <v>0</v>
      </c>
      <c r="AG19" s="1024"/>
      <c r="AH19" s="1024"/>
      <c r="AI19" s="1024"/>
      <c r="AJ19" s="287"/>
      <c r="AK19" s="287"/>
      <c r="AL19" s="287"/>
      <c r="AM19" s="287"/>
      <c r="AN19" s="287"/>
      <c r="AO19" s="287"/>
      <c r="AP19" s="287"/>
      <c r="AQ19" s="287"/>
      <c r="AR19" s="287"/>
      <c r="AS19" s="287"/>
      <c r="AT19" s="249"/>
    </row>
    <row r="20" spans="4:53" hidden="1" outlineLevel="1">
      <c r="E20" s="248"/>
      <c r="F20" s="8"/>
      <c r="G20" s="8"/>
      <c r="H20" s="8"/>
      <c r="I20" s="278"/>
      <c r="J20" s="289" t="str">
        <f t="shared" si="4"/>
        <v>IS</v>
      </c>
      <c r="K20" s="290" t="str">
        <f>K$10</f>
        <v>Govt</v>
      </c>
      <c r="L20" s="208" t="s">
        <v>669</v>
      </c>
      <c r="M20" s="293">
        <v>0</v>
      </c>
      <c r="N20" s="292">
        <v>1</v>
      </c>
      <c r="O20" s="834">
        <v>0.5</v>
      </c>
      <c r="P20" s="834">
        <v>0</v>
      </c>
      <c r="Q20" s="287">
        <f t="shared" si="5"/>
        <v>0.31240000000000001</v>
      </c>
      <c r="R20" s="287">
        <f t="shared" si="6"/>
        <v>2.23E-2</v>
      </c>
      <c r="S20" s="287"/>
      <c r="T20" s="287"/>
      <c r="U20" s="834">
        <v>0</v>
      </c>
      <c r="V20" s="834">
        <v>0</v>
      </c>
      <c r="W20" s="834">
        <v>0</v>
      </c>
      <c r="X20" s="834">
        <v>0</v>
      </c>
      <c r="Y20" s="834">
        <v>0</v>
      </c>
      <c r="Z20" s="287">
        <f t="shared" si="3"/>
        <v>9.4700000000000006E-2</v>
      </c>
      <c r="AA20" s="291"/>
      <c r="AB20" s="209">
        <f t="shared" si="7"/>
        <v>0.08</v>
      </c>
      <c r="AC20" s="8"/>
      <c r="AD20" s="8"/>
      <c r="AE20" s="8"/>
      <c r="AF20" s="1034">
        <f t="shared" si="2"/>
        <v>0</v>
      </c>
      <c r="AG20" s="1024"/>
      <c r="AH20" s="1024"/>
      <c r="AI20" s="1024"/>
      <c r="AJ20" s="287"/>
      <c r="AK20" s="287"/>
      <c r="AL20" s="287"/>
      <c r="AM20" s="287"/>
      <c r="AN20" s="287"/>
      <c r="AO20" s="287"/>
      <c r="AP20" s="287"/>
      <c r="AQ20" s="287"/>
      <c r="AR20" s="287"/>
      <c r="AS20" s="287"/>
      <c r="AT20" s="249"/>
    </row>
    <row r="21" spans="4:53" collapsed="1">
      <c r="E21" s="248"/>
      <c r="F21" s="8"/>
      <c r="G21" s="8"/>
      <c r="H21" s="8"/>
      <c r="I21" s="278"/>
      <c r="J21" s="283" t="str">
        <f t="shared" si="4"/>
        <v>IS</v>
      </c>
      <c r="K21" s="284" t="str">
        <f>InputSheet!$D$44</f>
        <v>Contr/Govt</v>
      </c>
      <c r="L21" s="210" t="s">
        <v>684</v>
      </c>
      <c r="M21" s="285">
        <v>0</v>
      </c>
      <c r="N21" s="286">
        <v>1</v>
      </c>
      <c r="O21" s="833">
        <v>0</v>
      </c>
      <c r="P21" s="833">
        <v>0</v>
      </c>
      <c r="Q21" s="287"/>
      <c r="R21" s="287">
        <f>VLOOKUP($E$8&amp;$J21&amp;InputSheet!$C$44&amp;$K21,Indirects,2,FALSE)</f>
        <v>3.0700000000000002E-2</v>
      </c>
      <c r="S21" s="287"/>
      <c r="T21" s="287"/>
      <c r="U21" s="833">
        <v>0</v>
      </c>
      <c r="V21" s="833">
        <v>0</v>
      </c>
      <c r="W21" s="833">
        <v>0</v>
      </c>
      <c r="X21" s="833">
        <v>0</v>
      </c>
      <c r="Y21" s="833">
        <v>0</v>
      </c>
      <c r="Z21" s="287">
        <f t="shared" si="3"/>
        <v>9.4700000000000006E-2</v>
      </c>
      <c r="AA21" s="288"/>
      <c r="AB21" s="209">
        <f>'Pricing Summary'!C53</f>
        <v>0.08</v>
      </c>
      <c r="AC21" s="8"/>
      <c r="AD21" s="8"/>
      <c r="AE21" s="8"/>
      <c r="AF21" s="1035">
        <f t="shared" si="2"/>
        <v>0</v>
      </c>
      <c r="AG21" s="1023"/>
      <c r="AH21" s="1023"/>
      <c r="AI21" s="1023"/>
      <c r="AJ21" s="287"/>
      <c r="AK21" s="287"/>
      <c r="AL21" s="287"/>
      <c r="AM21" s="287"/>
      <c r="AN21" s="287"/>
      <c r="AO21" s="287"/>
      <c r="AP21" s="287"/>
      <c r="AQ21" s="287"/>
      <c r="AR21" s="287"/>
      <c r="AS21" s="287"/>
      <c r="AT21" s="249"/>
    </row>
    <row r="22" spans="4:53" hidden="1">
      <c r="E22" s="248"/>
      <c r="F22" s="8"/>
      <c r="G22" s="8"/>
      <c r="H22" s="8"/>
      <c r="I22" s="278"/>
      <c r="J22" s="289" t="str">
        <f t="shared" si="4"/>
        <v>IS</v>
      </c>
      <c r="K22" s="290" t="str">
        <f>K21</f>
        <v>Contr/Govt</v>
      </c>
      <c r="L22" s="211" t="s">
        <v>685</v>
      </c>
      <c r="M22" s="807">
        <v>0</v>
      </c>
      <c r="N22" s="294">
        <f>N21</f>
        <v>1</v>
      </c>
      <c r="O22" s="835">
        <v>0</v>
      </c>
      <c r="P22" s="835">
        <v>0</v>
      </c>
      <c r="Q22" s="295"/>
      <c r="R22" s="296">
        <f>VLOOKUP($E$8&amp;$J22&amp;InputSheet!$C$44&amp;$K22,Indirects,2,FALSE)</f>
        <v>3.0700000000000002E-2</v>
      </c>
      <c r="S22" s="296"/>
      <c r="T22" s="296"/>
      <c r="U22" s="835">
        <v>0</v>
      </c>
      <c r="V22" s="835">
        <v>0</v>
      </c>
      <c r="W22" s="835">
        <v>0</v>
      </c>
      <c r="X22" s="835">
        <v>0</v>
      </c>
      <c r="Y22" s="835">
        <v>0</v>
      </c>
      <c r="Z22" s="296">
        <f t="shared" si="3"/>
        <v>9.4700000000000006E-2</v>
      </c>
      <c r="AA22" s="297"/>
      <c r="AB22" s="212">
        <f t="shared" si="7"/>
        <v>0.08</v>
      </c>
      <c r="AC22" s="8"/>
      <c r="AD22" s="8"/>
      <c r="AE22" s="8"/>
      <c r="AF22" s="1035">
        <f t="shared" si="2"/>
        <v>0</v>
      </c>
      <c r="AG22" s="1025"/>
      <c r="AH22" s="1025"/>
      <c r="AI22" s="1025"/>
      <c r="AJ22" s="295"/>
      <c r="AK22" s="296"/>
      <c r="AL22" s="296"/>
      <c r="AM22" s="296"/>
      <c r="AN22" s="296"/>
      <c r="AO22" s="296"/>
      <c r="AP22" s="296"/>
      <c r="AQ22" s="296"/>
      <c r="AR22" s="296"/>
      <c r="AS22" s="296"/>
      <c r="AT22" s="249"/>
    </row>
    <row r="23" spans="4:53" hidden="1">
      <c r="E23" s="248"/>
      <c r="F23" s="8"/>
      <c r="G23" s="8"/>
      <c r="H23" s="8"/>
      <c r="I23" s="278"/>
      <c r="J23" s="289" t="str">
        <f t="shared" si="4"/>
        <v>IS</v>
      </c>
      <c r="K23" s="290" t="str">
        <f>K22</f>
        <v>Contr/Govt</v>
      </c>
      <c r="L23" s="207" t="s">
        <v>616</v>
      </c>
      <c r="M23" s="808">
        <v>0</v>
      </c>
      <c r="N23" s="298">
        <v>1</v>
      </c>
      <c r="O23" s="836">
        <v>0</v>
      </c>
      <c r="P23" s="836">
        <v>0</v>
      </c>
      <c r="Q23" s="299"/>
      <c r="R23" s="299">
        <f>VLOOKUP($E$8&amp;$J23&amp;InputSheet!$C$44&amp;$K23,Indirects,2,FALSE)</f>
        <v>3.0700000000000002E-2</v>
      </c>
      <c r="S23" s="299"/>
      <c r="T23" s="299"/>
      <c r="U23" s="836">
        <v>0</v>
      </c>
      <c r="V23" s="836">
        <v>0</v>
      </c>
      <c r="W23" s="836">
        <v>0</v>
      </c>
      <c r="X23" s="836">
        <v>0</v>
      </c>
      <c r="Y23" s="836">
        <v>0</v>
      </c>
      <c r="Z23" s="299">
        <f t="shared" si="3"/>
        <v>9.4700000000000006E-2</v>
      </c>
      <c r="AA23" s="300"/>
      <c r="AB23" s="213">
        <v>0</v>
      </c>
      <c r="AC23" s="8"/>
      <c r="AD23" s="8"/>
      <c r="AE23" s="8"/>
      <c r="AF23" s="1035">
        <f t="shared" si="2"/>
        <v>0</v>
      </c>
      <c r="AG23" s="1026"/>
      <c r="AH23" s="1026"/>
      <c r="AI23" s="1026"/>
      <c r="AJ23" s="299"/>
      <c r="AK23" s="299"/>
      <c r="AL23" s="299"/>
      <c r="AM23" s="299"/>
      <c r="AN23" s="299"/>
      <c r="AO23" s="299"/>
      <c r="AP23" s="299"/>
      <c r="AQ23" s="299"/>
      <c r="AR23" s="299"/>
      <c r="AS23" s="299"/>
      <c r="AT23" s="249"/>
    </row>
    <row r="24" spans="4:53">
      <c r="E24" s="248"/>
      <c r="F24" s="8"/>
      <c r="G24" s="8"/>
      <c r="H24" s="8"/>
      <c r="I24" s="278"/>
      <c r="J24" s="301" t="str">
        <f t="shared" si="4"/>
        <v>IS</v>
      </c>
      <c r="K24" s="302" t="str">
        <f>K23</f>
        <v>Contr/Govt</v>
      </c>
      <c r="L24" s="237" t="s">
        <v>617</v>
      </c>
      <c r="M24" s="809">
        <v>0</v>
      </c>
      <c r="N24" s="303">
        <v>1</v>
      </c>
      <c r="O24" s="837">
        <v>0</v>
      </c>
      <c r="P24" s="837">
        <v>0</v>
      </c>
      <c r="Q24" s="304"/>
      <c r="R24" s="305">
        <f>IF(OR($J$24="MBI - FT",$J$24="MBI - PT"),R23,0)</f>
        <v>0</v>
      </c>
      <c r="S24" s="305"/>
      <c r="T24" s="305"/>
      <c r="U24" s="837">
        <v>0</v>
      </c>
      <c r="V24" s="837">
        <v>0</v>
      </c>
      <c r="W24" s="837">
        <v>0</v>
      </c>
      <c r="X24" s="837">
        <v>0</v>
      </c>
      <c r="Y24" s="837">
        <v>0</v>
      </c>
      <c r="Z24" s="305">
        <f t="shared" si="3"/>
        <v>9.4700000000000006E-2</v>
      </c>
      <c r="AA24" s="306"/>
      <c r="AB24" s="238">
        <f>'Pricing Summary'!C54</f>
        <v>0.08</v>
      </c>
      <c r="AC24" s="8"/>
      <c r="AD24" s="8"/>
      <c r="AE24" s="8"/>
      <c r="AF24" s="1035">
        <f t="shared" si="2"/>
        <v>0</v>
      </c>
      <c r="AG24" s="1027"/>
      <c r="AH24" s="1027"/>
      <c r="AI24" s="1027"/>
      <c r="AJ24" s="304"/>
      <c r="AK24" s="305"/>
      <c r="AL24" s="305"/>
      <c r="AM24" s="305"/>
      <c r="AN24" s="305"/>
      <c r="AO24" s="305"/>
      <c r="AP24" s="305"/>
      <c r="AQ24" s="305"/>
      <c r="AR24" s="305"/>
      <c r="AS24" s="305"/>
      <c r="AT24" s="249"/>
    </row>
    <row r="25" spans="4:53">
      <c r="E25" s="248"/>
      <c r="F25" s="8"/>
      <c r="G25" s="8"/>
      <c r="H25" s="8"/>
      <c r="I25" s="8"/>
      <c r="J25" s="307"/>
      <c r="K25" s="307"/>
      <c r="L25" s="307"/>
      <c r="M25" s="307"/>
      <c r="N25" s="307"/>
      <c r="O25" s="307"/>
      <c r="P25" s="307"/>
      <c r="Q25" s="307"/>
      <c r="R25" s="307"/>
      <c r="S25" s="307"/>
      <c r="T25" s="307"/>
      <c r="U25" s="307"/>
      <c r="V25" s="307"/>
      <c r="W25" s="307"/>
      <c r="X25" s="307"/>
      <c r="Y25" s="307"/>
      <c r="Z25" s="307"/>
      <c r="AA25" s="307"/>
      <c r="AB25" s="307"/>
      <c r="AC25" s="8"/>
      <c r="AD25" s="8"/>
      <c r="AE25" s="8"/>
      <c r="AF25" s="250" t="s">
        <v>920</v>
      </c>
      <c r="AG25" s="8"/>
      <c r="AH25" s="8"/>
      <c r="AI25" s="8"/>
      <c r="AJ25" s="8"/>
      <c r="AK25" s="8"/>
      <c r="AL25" s="8"/>
      <c r="AM25" s="8"/>
      <c r="AN25" s="8"/>
      <c r="AO25" s="8"/>
      <c r="AP25" s="8"/>
      <c r="AQ25" s="8"/>
      <c r="AR25" s="8"/>
      <c r="AS25" s="8"/>
      <c r="AT25" s="8"/>
      <c r="AZ25" s="308"/>
      <c r="BA25" s="308"/>
    </row>
    <row r="26" spans="4:53" hidden="1" outlineLevel="1">
      <c r="E26" s="248"/>
      <c r="F26" s="8"/>
      <c r="G26" s="8"/>
      <c r="H26" s="8"/>
      <c r="I26" s="8"/>
      <c r="J26" s="8"/>
      <c r="K26" s="8"/>
      <c r="L26" s="8"/>
      <c r="M26" s="309"/>
      <c r="N26" s="310" t="str">
        <f>M$28&amp;"*"&amp;N$5</f>
        <v>A*B%</v>
      </c>
      <c r="O26" s="310"/>
      <c r="P26" s="310"/>
      <c r="Q26" s="310" t="str">
        <f>N$28&amp;"*"&amp;Q$5</f>
        <v>B*C%</v>
      </c>
      <c r="R26" s="310" t="str">
        <f>"("&amp;N28&amp;"+"&amp;Q$28&amp;")"&amp;"*"&amp;R$5</f>
        <v>(B+C)*D%</v>
      </c>
      <c r="S26" s="310"/>
      <c r="T26" s="310"/>
      <c r="U26" s="310"/>
      <c r="V26" s="310"/>
      <c r="W26" s="310"/>
      <c r="X26" s="310"/>
      <c r="Y26" s="310"/>
      <c r="Z26" s="310" t="str">
        <f>"("&amp;N28&amp;"+"&amp;Q28&amp;"+"&amp;R$28&amp;")"&amp;"*"&amp;Z$5</f>
        <v>(B+C+D)*E%</v>
      </c>
      <c r="AA26" s="310" t="s">
        <v>776</v>
      </c>
      <c r="AB26" s="310" t="str">
        <f>"("&amp;N28&amp;"+"&amp;Q28&amp;"+"&amp;R$28&amp;"+"&amp;Z$28&amp;")"&amp;"*"&amp;AB$5</f>
        <v>(B+C+D+E)*G%</v>
      </c>
      <c r="AC26" s="8"/>
      <c r="AD26" s="8"/>
      <c r="AE26" s="8"/>
      <c r="AF26" s="250"/>
    </row>
    <row r="27" spans="4:53" ht="8.25" hidden="1" customHeight="1" outlineLevel="1">
      <c r="E27" s="248"/>
      <c r="F27" s="8"/>
      <c r="G27" s="8"/>
      <c r="H27" s="8"/>
      <c r="I27" s="8"/>
      <c r="J27" s="8"/>
      <c r="K27" s="8"/>
      <c r="L27" s="8"/>
      <c r="M27" s="311"/>
      <c r="N27" s="312"/>
      <c r="O27" s="312"/>
      <c r="P27" s="312"/>
      <c r="Q27" s="312"/>
      <c r="R27" s="312"/>
      <c r="S27" s="312"/>
      <c r="T27" s="312"/>
      <c r="U27" s="312"/>
      <c r="V27" s="312"/>
      <c r="W27" s="312"/>
      <c r="X27" s="312"/>
      <c r="Y27" s="312"/>
      <c r="Z27" s="312"/>
      <c r="AA27" s="312"/>
      <c r="AB27" s="312"/>
      <c r="AC27" s="8"/>
      <c r="AD27" s="8"/>
      <c r="AE27" s="8"/>
      <c r="AF27" s="250"/>
    </row>
    <row r="28" spans="4:53" hidden="1" outlineLevel="1">
      <c r="E28" s="248"/>
      <c r="F28" s="8"/>
      <c r="G28" s="8"/>
      <c r="H28" s="8"/>
      <c r="I28" s="8"/>
      <c r="J28" s="8"/>
      <c r="K28" s="8"/>
      <c r="L28" s="8"/>
      <c r="M28" s="263" t="s">
        <v>601</v>
      </c>
      <c r="N28" s="263" t="s">
        <v>598</v>
      </c>
      <c r="O28" s="263"/>
      <c r="P28" s="263"/>
      <c r="Q28" s="263" t="s">
        <v>599</v>
      </c>
      <c r="R28" s="263" t="s">
        <v>618</v>
      </c>
      <c r="S28" s="263"/>
      <c r="T28" s="263"/>
      <c r="U28" s="263"/>
      <c r="V28" s="263"/>
      <c r="W28" s="263"/>
      <c r="X28" s="263"/>
      <c r="Y28" s="263"/>
      <c r="Z28" s="263" t="s">
        <v>645</v>
      </c>
      <c r="AA28" s="263" t="s">
        <v>774</v>
      </c>
      <c r="AB28" s="263" t="s">
        <v>775</v>
      </c>
      <c r="AC28" s="8"/>
      <c r="AD28" s="8"/>
      <c r="AE28" s="8"/>
      <c r="AF28" s="250"/>
    </row>
    <row r="29" spans="4:53" collapsed="1">
      <c r="E29" s="248"/>
      <c r="F29" s="8"/>
      <c r="G29" s="8"/>
      <c r="H29" s="8"/>
      <c r="I29" s="8"/>
      <c r="J29" s="8"/>
      <c r="K29" s="8"/>
      <c r="L29" s="8"/>
      <c r="M29" s="8"/>
      <c r="N29" s="8"/>
      <c r="O29" s="8"/>
      <c r="P29" s="8"/>
      <c r="Q29" s="8"/>
      <c r="R29" s="8"/>
      <c r="S29" s="8"/>
      <c r="T29" s="8"/>
      <c r="U29" s="8"/>
      <c r="V29" s="8"/>
      <c r="W29" s="8"/>
      <c r="X29" s="8"/>
      <c r="Y29" s="8"/>
      <c r="Z29" s="8"/>
      <c r="AA29" s="313"/>
      <c r="AB29" s="8"/>
      <c r="AC29" s="8"/>
      <c r="AD29" s="8"/>
      <c r="AE29" s="8"/>
      <c r="AF29" s="250">
        <v>12</v>
      </c>
      <c r="AT29" s="314"/>
      <c r="AU29" s="39"/>
      <c r="AV29" s="314"/>
      <c r="AW29" s="39"/>
      <c r="AZ29" s="308" t="s">
        <v>778</v>
      </c>
      <c r="BA29" s="308" t="s">
        <v>777</v>
      </c>
    </row>
    <row r="30" spans="4:53" ht="13.5" thickBot="1">
      <c r="E30" s="315" t="s">
        <v>632</v>
      </c>
      <c r="F30" s="37"/>
      <c r="G30" s="37" t="s">
        <v>633</v>
      </c>
      <c r="H30" s="8"/>
      <c r="I30" s="37" t="s">
        <v>634</v>
      </c>
      <c r="J30" s="47" t="s">
        <v>644</v>
      </c>
      <c r="K30" s="47" t="s">
        <v>644</v>
      </c>
      <c r="L30" s="37" t="str">
        <f>L8</f>
        <v>Burden Code</v>
      </c>
      <c r="M30" s="39" t="s">
        <v>635</v>
      </c>
      <c r="N30" s="39" t="s">
        <v>58</v>
      </c>
      <c r="O30" s="39" t="str">
        <f>O8</f>
        <v>Hazard</v>
      </c>
      <c r="P30" s="39" t="str">
        <f>P8</f>
        <v>Harship</v>
      </c>
      <c r="Q30" s="39" t="str">
        <f t="shared" ref="Q30:AB30" si="8">Q8</f>
        <v>PRB</v>
      </c>
      <c r="R30" s="39" t="str">
        <f t="shared" si="8"/>
        <v>Overhead</v>
      </c>
      <c r="S30" s="39"/>
      <c r="T30" s="39"/>
      <c r="U30" s="39" t="str">
        <f t="shared" si="8"/>
        <v>Finders Fee</v>
      </c>
      <c r="V30" s="39" t="str">
        <f>V8</f>
        <v>Comp. Bonus</v>
      </c>
      <c r="W30" s="39" t="str">
        <f>W8</f>
        <v>War Risk Ins.</v>
      </c>
      <c r="X30" s="39" t="str">
        <f>X8</f>
        <v>DBA Ins.</v>
      </c>
      <c r="Y30" s="39" t="str">
        <f>Y8</f>
        <v>Travel</v>
      </c>
      <c r="Z30" s="39" t="str">
        <f t="shared" si="8"/>
        <v>G&amp;A</v>
      </c>
      <c r="AA30" s="39" t="str">
        <f t="shared" si="8"/>
        <v>Cost</v>
      </c>
      <c r="AB30" s="39" t="str">
        <f t="shared" si="8"/>
        <v>Profit / Fee</v>
      </c>
      <c r="AC30" s="39" t="s">
        <v>908</v>
      </c>
      <c r="AD30" s="39" t="s">
        <v>646</v>
      </c>
      <c r="AE30" s="39" t="s">
        <v>638</v>
      </c>
      <c r="AF30" s="316" t="s">
        <v>907</v>
      </c>
      <c r="AG30" s="314"/>
      <c r="AH30" s="314"/>
      <c r="AI30" s="314"/>
      <c r="AJ30" s="314"/>
      <c r="AK30" s="314"/>
      <c r="AL30" s="314"/>
      <c r="AM30" s="314"/>
      <c r="AN30" s="314"/>
      <c r="AO30" s="314"/>
      <c r="AP30" s="314"/>
      <c r="AQ30" s="314"/>
      <c r="AR30" s="314"/>
      <c r="AS30" s="314"/>
      <c r="AT30" s="314"/>
      <c r="AU30" s="39"/>
      <c r="AV30" s="314"/>
      <c r="AW30" s="39"/>
      <c r="AZ30" s="251">
        <v>1</v>
      </c>
      <c r="BA30" s="251">
        <v>1</v>
      </c>
    </row>
    <row r="31" spans="4:53" s="317" customFormat="1" ht="16.5" thickBot="1">
      <c r="E31" s="240" t="s">
        <v>640</v>
      </c>
      <c r="F31" s="202"/>
      <c r="G31" s="202"/>
      <c r="H31" s="203"/>
      <c r="I31" s="202"/>
      <c r="J31" s="201"/>
      <c r="K31" s="201"/>
      <c r="L31" s="202"/>
      <c r="M31" s="204"/>
      <c r="N31" s="204"/>
      <c r="O31" s="204"/>
      <c r="P31" s="204"/>
      <c r="Q31" s="204"/>
      <c r="R31" s="204"/>
      <c r="S31" s="204"/>
      <c r="T31" s="204"/>
      <c r="U31" s="204"/>
      <c r="V31" s="204"/>
      <c r="W31" s="204"/>
      <c r="X31" s="204"/>
      <c r="Y31" s="204"/>
      <c r="Z31" s="204"/>
      <c r="AA31" s="204"/>
      <c r="AB31" s="204"/>
      <c r="AC31" s="204"/>
      <c r="AD31" s="204"/>
      <c r="AE31" s="204"/>
      <c r="AF31" s="205"/>
      <c r="AG31" s="206"/>
      <c r="AH31" s="206"/>
      <c r="AI31" s="206" t="s">
        <v>742</v>
      </c>
      <c r="AJ31" s="206" t="s">
        <v>741</v>
      </c>
      <c r="AK31" s="206" t="s">
        <v>66</v>
      </c>
      <c r="AL31" s="206"/>
      <c r="AM31" s="206"/>
      <c r="AN31" s="206"/>
      <c r="AO31" s="206"/>
      <c r="AP31" s="206" t="s">
        <v>989</v>
      </c>
      <c r="AQ31" s="206"/>
      <c r="AR31" s="206"/>
      <c r="AS31" s="206"/>
      <c r="AT31" s="206"/>
      <c r="AU31" s="206"/>
      <c r="AV31" s="206"/>
      <c r="AW31" s="318"/>
      <c r="AZ31" s="251">
        <v>1</v>
      </c>
      <c r="BA31" s="251">
        <v>1</v>
      </c>
    </row>
    <row r="32" spans="4:53">
      <c r="D32" s="8">
        <v>1</v>
      </c>
      <c r="E32" s="319" t="str">
        <f t="shared" ref="E32:E49" si="9">VLOOKUP($D32,DL,2,FALSE)</f>
        <v xml:space="preserve">LAN/Wan Engineer </v>
      </c>
      <c r="F32" s="8"/>
      <c r="G32" s="363" t="str">
        <f>+InputSheet!E173</f>
        <v>ManTech</v>
      </c>
      <c r="H32" s="8"/>
      <c r="I32" s="320">
        <f t="shared" ref="I32:I49" si="10">VLOOKUP($D32,DL,5,FALSE)</f>
        <v>0</v>
      </c>
      <c r="J32" s="198" t="str">
        <f>G32&amp;D32&amp;I32&amp;L32</f>
        <v>ManTech10Govt</v>
      </c>
      <c r="K32" s="198"/>
      <c r="L32" s="363" t="s">
        <v>623</v>
      </c>
      <c r="M32" s="321">
        <f>IF(G32="ManTech",(VLOOKUP($D32,DL,6,FALSE)),(INDEX('Sub Rates'!$F$9:$IK$48,MATCH(($E32&amp;$L32),'Sub Rates'!$E$9:$E$48,0),MATCH(($E$8&amp;$G32),'Sub Rates'!$F$8:$IK$8,0))))</f>
        <v>29</v>
      </c>
      <c r="N32" s="321">
        <f t="shared" ref="N32:N49" ca="1" si="11">ROUND($M32*(VLOOKUP($L32,$L$9:$AB$24,N$6,FALSE)),2)</f>
        <v>29.72</v>
      </c>
      <c r="O32" s="321">
        <f t="shared" ref="O32:P49" ca="1" si="12">$N32*(VLOOKUP($L32,$L$9:$AB$24,O$6,FALSE))</f>
        <v>10.401999999999999</v>
      </c>
      <c r="P32" s="321">
        <f t="shared" ca="1" si="12"/>
        <v>10.401999999999999</v>
      </c>
      <c r="Q32" s="321">
        <f t="shared" ref="Q32:Q48" ca="1" si="13">($N32+O32+P32)*(VLOOKUP($L32,$L$9:$AB$24,Q$6,FALSE))</f>
        <v>15.7836976</v>
      </c>
      <c r="R32" s="321">
        <f t="shared" ref="R32:R46" ca="1" si="14">($N32+$Q32+O32+P32)*(VLOOKUP($L32,$L$9:$AB$24,R$6,FALSE))</f>
        <v>1.4786616564799999</v>
      </c>
      <c r="S32" s="321">
        <f t="shared" ref="S32:S37" ca="1" si="15">$S$10/SUM($AD$32:$AD$46)</f>
        <v>0.27029885057471265</v>
      </c>
      <c r="T32" s="321">
        <f t="shared" ref="T32:T37" ca="1" si="16">$T$10/SUM($AD$32:$AD$46)</f>
        <v>7.1668965517241376E-2</v>
      </c>
      <c r="U32" s="321">
        <f t="shared" ref="U32:U37" si="17">((M32*AD32)*$U$10)/AD32</f>
        <v>4.3499999999999996</v>
      </c>
      <c r="V32" s="321">
        <f>$V$10/AD32</f>
        <v>1.4367816091954022</v>
      </c>
      <c r="W32" s="321">
        <f>$W$10/AD32</f>
        <v>0.25875862068965516</v>
      </c>
      <c r="X32" s="321">
        <f t="shared" ref="X32:X37" ca="1" si="18">N32*$X$10</f>
        <v>0.56467999999999996</v>
      </c>
      <c r="Y32" s="321">
        <f t="shared" ref="Y32:Y37" si="19">$Y$10/AD32</f>
        <v>2.3649712643678162</v>
      </c>
      <c r="Z32" s="321">
        <f ca="1">IF($G32="ManTech",(SUM($N32:$Y32)*(VLOOKUP($L32,$L$9:$AB$24,Z$6,FALSE))),(IF(R32=0,((SUM(N32,#REF!))*(VLOOKUP($L32,$L$9:$AB$24,Z$6,FALSE))),(SUM($R32:$R32)*(VLOOKUP($L32,$L$9:$AB$24,Z$6,FALSE))))))</f>
        <v>7.3017032082783118</v>
      </c>
      <c r="AA32" s="321">
        <f ca="1">SUM(N32:Z32)</f>
        <v>84.405221775103144</v>
      </c>
      <c r="AB32" s="321">
        <f t="shared" ref="AB32:AB46" ca="1" si="20">(AA32*(VLOOKUP($L32,$L$9:$AB$24,AB$6,FALSE)))</f>
        <v>6.7524177420082516</v>
      </c>
      <c r="AC32" s="321">
        <f ca="1">ROUND(SUM(AA32:AB32),2)</f>
        <v>91.16</v>
      </c>
      <c r="AD32" s="214">
        <f>VLOOKUP(D32,InputSheet!B173:O187,12,FALSE)</f>
        <v>3480</v>
      </c>
      <c r="AE32" s="336">
        <f t="shared" ref="AE32:AE49" ca="1" si="21">$AC32*$AD32</f>
        <v>317236.8</v>
      </c>
      <c r="AF32" s="1036">
        <f ca="1">AC32*$AF$29</f>
        <v>1093.92</v>
      </c>
      <c r="AG32" s="323"/>
      <c r="AH32" s="323"/>
      <c r="AI32" s="323">
        <f ca="1">AA32*AD32</f>
        <v>293730.17177735892</v>
      </c>
      <c r="AJ32" s="323">
        <f ca="1">AC32*AD32</f>
        <v>317236.8</v>
      </c>
      <c r="AK32" s="323">
        <f ca="1">AJ32-AI32</f>
        <v>23506.628222641069</v>
      </c>
      <c r="AL32" s="20">
        <f ca="1">IF(AK32=0,0,ROUND(AK32/AI32,2))</f>
        <v>0.08</v>
      </c>
      <c r="AM32" s="323"/>
      <c r="AN32" s="323"/>
      <c r="AO32" s="323"/>
      <c r="AP32" s="323">
        <f>Y32*AD32</f>
        <v>8230.1</v>
      </c>
      <c r="AQ32" s="323"/>
      <c r="AR32" s="323"/>
      <c r="AS32" s="323"/>
      <c r="AT32" s="323"/>
      <c r="AU32" s="60"/>
      <c r="AV32" s="324"/>
      <c r="AW32" s="325"/>
      <c r="AZ32" s="251" t="str">
        <f ca="1">IF((OR((AC32=""),(AC32&gt;0))),"1","0")</f>
        <v>1</v>
      </c>
      <c r="BA32" s="251" t="str">
        <f ca="1">IF((OR((AE32=""),(AE32&gt;0))),"1","0")</f>
        <v>1</v>
      </c>
    </row>
    <row r="33" spans="4:53">
      <c r="D33" s="8">
        <f>D32+1</f>
        <v>2</v>
      </c>
      <c r="E33" s="319" t="str">
        <f t="shared" si="9"/>
        <v>Functional Services Administrator</v>
      </c>
      <c r="F33" s="8"/>
      <c r="G33" s="363" t="str">
        <f>+InputSheet!E174</f>
        <v>ManTech</v>
      </c>
      <c r="H33" s="8"/>
      <c r="I33" s="320">
        <f t="shared" si="10"/>
        <v>0</v>
      </c>
      <c r="J33" s="198" t="str">
        <f t="shared" ref="J33:J46" si="22">G33&amp;D33&amp;I33&amp;L33</f>
        <v>ManTech20Govt</v>
      </c>
      <c r="K33" s="198"/>
      <c r="L33" s="363" t="s">
        <v>623</v>
      </c>
      <c r="M33" s="321">
        <f>IF(G33="ManTech",(VLOOKUP($D33,DL,6,FALSE)),(INDEX('Sub Rates'!$F$9:$IK$48,MATCH(($E33&amp;$L33),'Sub Rates'!$E$9:$E$48,0),MATCH(($E$8&amp;$G33),'Sub Rates'!$F$8:$IK$8,0))))</f>
        <v>33.81</v>
      </c>
      <c r="N33" s="321">
        <f t="shared" ca="1" si="11"/>
        <v>34.65</v>
      </c>
      <c r="O33" s="321">
        <f t="shared" ca="1" si="12"/>
        <v>12.1275</v>
      </c>
      <c r="P33" s="321">
        <f t="shared" ca="1" si="12"/>
        <v>12.1275</v>
      </c>
      <c r="Q33" s="321">
        <f t="shared" ca="1" si="13"/>
        <v>18.401921999999999</v>
      </c>
      <c r="R33" s="321">
        <f t="shared" ca="1" si="14"/>
        <v>1.7239443606</v>
      </c>
      <c r="S33" s="321">
        <f t="shared" ca="1" si="15"/>
        <v>0.27029885057471265</v>
      </c>
      <c r="T33" s="321">
        <f t="shared" ca="1" si="16"/>
        <v>7.1668965517241376E-2</v>
      </c>
      <c r="U33" s="321">
        <f t="shared" si="17"/>
        <v>5.0715000000000003</v>
      </c>
      <c r="V33" s="321">
        <f t="shared" ref="V33:V46" si="23">$V$10/AD33</f>
        <v>1.4367816091954022</v>
      </c>
      <c r="W33" s="321">
        <f t="shared" ref="W33:W46" si="24">$W$10/AD33</f>
        <v>0.25875862068965516</v>
      </c>
      <c r="X33" s="321">
        <f t="shared" ca="1" si="18"/>
        <v>0.65834999999999999</v>
      </c>
      <c r="Y33" s="321">
        <f t="shared" si="19"/>
        <v>2.3649712643678162</v>
      </c>
      <c r="Z33" s="321">
        <f ca="1">IF($G33="ManTech",(SUM($N33:$Y33)*(VLOOKUP($L33,$L$9:$AB$24,Z$6,FALSE))),(IF(R33=0,((SUM(N33,#REF!))*(VLOOKUP($L33,$L$9:$AB$24,Z$6,FALSE))),(SUM($R33:$R33)*(VLOOKUP($L33,$L$9:$AB$24,Z$6,FALSE))))))</f>
        <v>8.4437546300384767</v>
      </c>
      <c r="AA33" s="321">
        <f t="shared" ref="AA33:AA46" ca="1" si="25">SUM(N33:Z33)</f>
        <v>97.6069503009833</v>
      </c>
      <c r="AB33" s="321">
        <f t="shared" ca="1" si="20"/>
        <v>7.8085560240786638</v>
      </c>
      <c r="AC33" s="321">
        <f t="shared" ref="AC33:AC46" ca="1" si="26">ROUND(SUM(AA33:AB33),2)</f>
        <v>105.42</v>
      </c>
      <c r="AD33" s="214">
        <f>VLOOKUP(D33,InputSheet!B174:O188,12,FALSE)</f>
        <v>3480</v>
      </c>
      <c r="AE33" s="336">
        <f t="shared" ca="1" si="21"/>
        <v>366861.60000000003</v>
      </c>
      <c r="AF33" s="1036">
        <f t="shared" ref="AF33:AF46" ca="1" si="27">AC33*$AF$29</f>
        <v>1265.04</v>
      </c>
      <c r="AG33" s="323"/>
      <c r="AH33" s="323"/>
      <c r="AI33" s="323">
        <f t="shared" ref="AI33:AI46" ca="1" si="28">AA33*AD33</f>
        <v>339672.18704742187</v>
      </c>
      <c r="AJ33" s="323">
        <f t="shared" ref="AJ33:AJ46" ca="1" si="29">AC33*AD33</f>
        <v>366861.60000000003</v>
      </c>
      <c r="AK33" s="323">
        <f t="shared" ref="AK33:AK46" ca="1" si="30">AJ33-AI33</f>
        <v>27189.412952578161</v>
      </c>
      <c r="AL33" s="20">
        <f t="shared" ref="AL33:AL46" ca="1" si="31">IF(AK33=0,0,ROUND(AK33/AI33,2))</f>
        <v>0.08</v>
      </c>
      <c r="AM33" s="323"/>
      <c r="AN33" s="323"/>
      <c r="AO33" s="323"/>
      <c r="AP33" s="323">
        <f t="shared" ref="AP33:AP46" si="32">Y33*AD33</f>
        <v>8230.1</v>
      </c>
      <c r="AQ33" s="323"/>
      <c r="AR33" s="323"/>
      <c r="AS33" s="323"/>
      <c r="AT33" s="323"/>
      <c r="AU33" s="60"/>
      <c r="AV33" s="324"/>
      <c r="AW33" s="325"/>
      <c r="AZ33" s="251" t="str">
        <f t="shared" ref="AZ33:AZ92" ca="1" si="33">IF((OR((AC33=""),(AC33&gt;0))),"1","0")</f>
        <v>1</v>
      </c>
      <c r="BA33" s="251" t="str">
        <f t="shared" ref="BA33:BA92" ca="1" si="34">IF((OR((AE33=""),(AE33&gt;0))),"1","0")</f>
        <v>1</v>
      </c>
    </row>
    <row r="34" spans="4:53">
      <c r="D34" s="8">
        <f t="shared" ref="D34:D42" si="35">D33+1</f>
        <v>3</v>
      </c>
      <c r="E34" s="319" t="str">
        <f t="shared" si="9"/>
        <v>Functional Services Administrator</v>
      </c>
      <c r="F34" s="8"/>
      <c r="G34" s="363" t="str">
        <f>+InputSheet!E175</f>
        <v>ManTech</v>
      </c>
      <c r="H34" s="8"/>
      <c r="I34" s="320">
        <f t="shared" si="10"/>
        <v>0</v>
      </c>
      <c r="J34" s="198" t="str">
        <f t="shared" si="22"/>
        <v>ManTech30Govt</v>
      </c>
      <c r="K34" s="198"/>
      <c r="L34" s="363" t="s">
        <v>623</v>
      </c>
      <c r="M34" s="321">
        <f>IF(G34="ManTech",(VLOOKUP($D34,DL,6,FALSE)),(INDEX('Sub Rates'!$F$9:$IK$48,MATCH(($E34&amp;$L34),'Sub Rates'!$E$9:$E$48,0),MATCH(($E$8&amp;$G34),'Sub Rates'!$F$8:$IK$8,0))))</f>
        <v>33.81</v>
      </c>
      <c r="N34" s="321">
        <f t="shared" ca="1" si="11"/>
        <v>34.65</v>
      </c>
      <c r="O34" s="321">
        <f t="shared" ca="1" si="12"/>
        <v>12.1275</v>
      </c>
      <c r="P34" s="321">
        <f t="shared" ca="1" si="12"/>
        <v>12.1275</v>
      </c>
      <c r="Q34" s="321">
        <f t="shared" ca="1" si="13"/>
        <v>18.401921999999999</v>
      </c>
      <c r="R34" s="321">
        <f t="shared" ca="1" si="14"/>
        <v>1.7239443606</v>
      </c>
      <c r="S34" s="321">
        <f t="shared" ca="1" si="15"/>
        <v>0.27029885057471265</v>
      </c>
      <c r="T34" s="321">
        <f t="shared" ca="1" si="16"/>
        <v>7.1668965517241376E-2</v>
      </c>
      <c r="U34" s="321">
        <f t="shared" si="17"/>
        <v>5.0715000000000003</v>
      </c>
      <c r="V34" s="321">
        <f t="shared" si="23"/>
        <v>1.4367816091954022</v>
      </c>
      <c r="W34" s="321">
        <f t="shared" si="24"/>
        <v>0.25875862068965516</v>
      </c>
      <c r="X34" s="321">
        <f t="shared" ca="1" si="18"/>
        <v>0.65834999999999999</v>
      </c>
      <c r="Y34" s="321">
        <f t="shared" si="19"/>
        <v>2.3649712643678162</v>
      </c>
      <c r="Z34" s="321">
        <f ca="1">IF($G34="ManTech",(SUM($N34:$Y34)*(VLOOKUP($L34,$L$9:$AB$24,Z$6,FALSE))),(IF(R34=0,((SUM(N34,#REF!))*(VLOOKUP($L34,$L$9:$AB$24,Z$6,FALSE))),(SUM($R34:$R34)*(VLOOKUP($L34,$L$9:$AB$24,Z$6,FALSE))))))</f>
        <v>8.4437546300384767</v>
      </c>
      <c r="AA34" s="321">
        <f t="shared" ca="1" si="25"/>
        <v>97.6069503009833</v>
      </c>
      <c r="AB34" s="321">
        <f t="shared" ca="1" si="20"/>
        <v>7.8085560240786638</v>
      </c>
      <c r="AC34" s="321">
        <f t="shared" ca="1" si="26"/>
        <v>105.42</v>
      </c>
      <c r="AD34" s="214">
        <f>VLOOKUP(D34,InputSheet!B175:O189,12,FALSE)</f>
        <v>3480</v>
      </c>
      <c r="AE34" s="336">
        <f t="shared" ca="1" si="21"/>
        <v>366861.60000000003</v>
      </c>
      <c r="AF34" s="1036">
        <f t="shared" ca="1" si="27"/>
        <v>1265.04</v>
      </c>
      <c r="AG34" s="323"/>
      <c r="AH34" s="323"/>
      <c r="AI34" s="323">
        <f t="shared" ca="1" si="28"/>
        <v>339672.18704742187</v>
      </c>
      <c r="AJ34" s="323">
        <f t="shared" ca="1" si="29"/>
        <v>366861.60000000003</v>
      </c>
      <c r="AK34" s="323">
        <f t="shared" ca="1" si="30"/>
        <v>27189.412952578161</v>
      </c>
      <c r="AL34" s="20">
        <f t="shared" ca="1" si="31"/>
        <v>0.08</v>
      </c>
      <c r="AM34" s="323"/>
      <c r="AN34" s="323"/>
      <c r="AO34" s="323"/>
      <c r="AP34" s="323">
        <f t="shared" si="32"/>
        <v>8230.1</v>
      </c>
      <c r="AQ34" s="323"/>
      <c r="AR34" s="323"/>
      <c r="AS34" s="323"/>
      <c r="AT34" s="323"/>
      <c r="AU34" s="60"/>
      <c r="AV34" s="324"/>
      <c r="AW34" s="325"/>
      <c r="AZ34" s="251" t="str">
        <f t="shared" ca="1" si="33"/>
        <v>1</v>
      </c>
      <c r="BA34" s="251" t="str">
        <f t="shared" ca="1" si="34"/>
        <v>1</v>
      </c>
    </row>
    <row r="35" spans="4:53">
      <c r="D35" s="8">
        <f t="shared" si="35"/>
        <v>4</v>
      </c>
      <c r="E35" s="319" t="str">
        <f t="shared" si="9"/>
        <v>Functional Services Administrator</v>
      </c>
      <c r="F35" s="8"/>
      <c r="G35" s="363" t="str">
        <f>+InputSheet!E176</f>
        <v>ManTech</v>
      </c>
      <c r="H35" s="8"/>
      <c r="I35" s="320">
        <f t="shared" si="10"/>
        <v>0</v>
      </c>
      <c r="J35" s="198" t="str">
        <f t="shared" si="22"/>
        <v>ManTech40Govt</v>
      </c>
      <c r="K35" s="198"/>
      <c r="L35" s="363" t="s">
        <v>623</v>
      </c>
      <c r="M35" s="321">
        <f>IF(G35="ManTech",(VLOOKUP($D35,DL,6,FALSE)),(INDEX('Sub Rates'!$F$9:$IK$48,MATCH(($E35&amp;$L35),'Sub Rates'!$E$9:$E$48,0),MATCH(($E$8&amp;$G35),'Sub Rates'!$F$8:$IK$8,0))))</f>
        <v>33.81</v>
      </c>
      <c r="N35" s="321">
        <f t="shared" ca="1" si="11"/>
        <v>34.65</v>
      </c>
      <c r="O35" s="321">
        <f t="shared" ca="1" si="12"/>
        <v>12.1275</v>
      </c>
      <c r="P35" s="321">
        <f t="shared" ca="1" si="12"/>
        <v>12.1275</v>
      </c>
      <c r="Q35" s="321">
        <f t="shared" ca="1" si="13"/>
        <v>18.401921999999999</v>
      </c>
      <c r="R35" s="321">
        <f t="shared" ca="1" si="14"/>
        <v>1.7239443606</v>
      </c>
      <c r="S35" s="321">
        <f t="shared" ca="1" si="15"/>
        <v>0.27029885057471265</v>
      </c>
      <c r="T35" s="321">
        <f t="shared" ca="1" si="16"/>
        <v>7.1668965517241376E-2</v>
      </c>
      <c r="U35" s="321">
        <f t="shared" si="17"/>
        <v>5.0715000000000003</v>
      </c>
      <c r="V35" s="321">
        <f>$V$10/AD35</f>
        <v>1.4367816091954022</v>
      </c>
      <c r="W35" s="321">
        <f>$W$10/AD35</f>
        <v>0.25875862068965516</v>
      </c>
      <c r="X35" s="321">
        <f t="shared" ca="1" si="18"/>
        <v>0.65834999999999999</v>
      </c>
      <c r="Y35" s="321">
        <f t="shared" si="19"/>
        <v>2.3649712643678162</v>
      </c>
      <c r="Z35" s="321">
        <f ca="1">IF($G35="ManTech",(SUM($N35:$Y35)*(VLOOKUP($L35,$L$9:$AB$24,Z$6,FALSE))),(IF(R35=0,((SUM(N35,#REF!))*(VLOOKUP($L35,$L$9:$AB$24,Z$6,FALSE))),(SUM($R35:$R35)*(VLOOKUP($L35,$L$9:$AB$24,Z$6,FALSE))))))</f>
        <v>8.4437546300384767</v>
      </c>
      <c r="AA35" s="321">
        <f t="shared" ca="1" si="25"/>
        <v>97.6069503009833</v>
      </c>
      <c r="AB35" s="321">
        <f t="shared" ca="1" si="20"/>
        <v>7.8085560240786638</v>
      </c>
      <c r="AC35" s="321">
        <f t="shared" ca="1" si="26"/>
        <v>105.42</v>
      </c>
      <c r="AD35" s="214">
        <f>VLOOKUP(D35,InputSheet!B176:O190,12,FALSE)</f>
        <v>3480</v>
      </c>
      <c r="AE35" s="336">
        <f t="shared" ca="1" si="21"/>
        <v>366861.60000000003</v>
      </c>
      <c r="AF35" s="1036">
        <f t="shared" ca="1" si="27"/>
        <v>1265.04</v>
      </c>
      <c r="AG35" s="323"/>
      <c r="AH35" s="323"/>
      <c r="AI35" s="323">
        <f t="shared" ca="1" si="28"/>
        <v>339672.18704742187</v>
      </c>
      <c r="AJ35" s="323">
        <f t="shared" ca="1" si="29"/>
        <v>366861.60000000003</v>
      </c>
      <c r="AK35" s="323">
        <f t="shared" ca="1" si="30"/>
        <v>27189.412952578161</v>
      </c>
      <c r="AL35" s="20">
        <f t="shared" ca="1" si="31"/>
        <v>0.08</v>
      </c>
      <c r="AM35" s="323"/>
      <c r="AN35" s="323"/>
      <c r="AO35" s="323"/>
      <c r="AP35" s="323">
        <f t="shared" si="32"/>
        <v>8230.1</v>
      </c>
      <c r="AQ35" s="323"/>
      <c r="AR35" s="323"/>
      <c r="AS35" s="323"/>
      <c r="AT35" s="323"/>
      <c r="AU35" s="60"/>
      <c r="AV35" s="324"/>
      <c r="AW35" s="325"/>
      <c r="AZ35" s="251" t="str">
        <f t="shared" ca="1" si="33"/>
        <v>1</v>
      </c>
      <c r="BA35" s="251" t="str">
        <f t="shared" ca="1" si="34"/>
        <v>1</v>
      </c>
    </row>
    <row r="36" spans="4:53">
      <c r="D36" s="8">
        <f t="shared" si="35"/>
        <v>5</v>
      </c>
      <c r="E36" s="319" t="str">
        <f t="shared" si="9"/>
        <v>Service Desk</v>
      </c>
      <c r="F36" s="8"/>
      <c r="G36" s="363" t="str">
        <f>+InputSheet!E177</f>
        <v>ManTech</v>
      </c>
      <c r="H36" s="8"/>
      <c r="I36" s="320">
        <f t="shared" si="10"/>
        <v>0</v>
      </c>
      <c r="J36" s="198" t="str">
        <f t="shared" si="22"/>
        <v>ManTech50Govt</v>
      </c>
      <c r="K36" s="198"/>
      <c r="L36" s="363" t="s">
        <v>623</v>
      </c>
      <c r="M36" s="321">
        <f>IF(G36="ManTech",(VLOOKUP($D36,DL,6,FALSE)),(INDEX('Sub Rates'!$F$9:$IK$48,MATCH(($E36&amp;$L36),'Sub Rates'!$E$9:$E$48,0),MATCH(($E$8&amp;$G36),'Sub Rates'!$F$8:$IK$8,0))))</f>
        <v>26</v>
      </c>
      <c r="N36" s="321">
        <f t="shared" ca="1" si="11"/>
        <v>26.64</v>
      </c>
      <c r="O36" s="321">
        <f t="shared" ca="1" si="12"/>
        <v>9.3239999999999998</v>
      </c>
      <c r="P36" s="321">
        <f t="shared" ca="1" si="12"/>
        <v>9.3239999999999998</v>
      </c>
      <c r="Q36" s="321">
        <f t="shared" ca="1" si="13"/>
        <v>14.147971199999999</v>
      </c>
      <c r="R36" s="321">
        <f t="shared" ca="1" si="14"/>
        <v>1.3254221577600001</v>
      </c>
      <c r="S36" s="321">
        <f t="shared" ca="1" si="15"/>
        <v>0.27029885057471265</v>
      </c>
      <c r="T36" s="321">
        <f t="shared" ca="1" si="16"/>
        <v>7.1668965517241376E-2</v>
      </c>
      <c r="U36" s="321">
        <f t="shared" si="17"/>
        <v>3.9</v>
      </c>
      <c r="V36" s="321">
        <f t="shared" si="23"/>
        <v>1.4367816091954022</v>
      </c>
      <c r="W36" s="321">
        <f t="shared" si="24"/>
        <v>0.25875862068965516</v>
      </c>
      <c r="X36" s="321">
        <f t="shared" ca="1" si="18"/>
        <v>0.50615999999999994</v>
      </c>
      <c r="Y36" s="321">
        <f t="shared" si="19"/>
        <v>2.3649712643678162</v>
      </c>
      <c r="Z36" s="321">
        <f ca="1">IF($G36="ManTech",(SUM($N36:$Y36)*(VLOOKUP($L36,$L$9:$AB$24,Z$6,FALSE))),(IF(R36=0,((SUM(N36,#REF!))*(VLOOKUP($L36,$L$9:$AB$24,Z$6,FALSE))),(SUM($R36:$R36)*(VLOOKUP($L36,$L$9:$AB$24,Z$6,FALSE))))))</f>
        <v>6.5882820936695277</v>
      </c>
      <c r="AA36" s="321">
        <f t="shared" ca="1" si="25"/>
        <v>76.158314761774363</v>
      </c>
      <c r="AB36" s="321">
        <f t="shared" ca="1" si="20"/>
        <v>6.0926651809419496</v>
      </c>
      <c r="AC36" s="321">
        <f t="shared" ca="1" si="26"/>
        <v>82.25</v>
      </c>
      <c r="AD36" s="214">
        <f>VLOOKUP(D36,InputSheet!B177:O191,12,FALSE)</f>
        <v>3480</v>
      </c>
      <c r="AE36" s="336">
        <f t="shared" ca="1" si="21"/>
        <v>286230</v>
      </c>
      <c r="AF36" s="1036">
        <f t="shared" ca="1" si="27"/>
        <v>987</v>
      </c>
      <c r="AG36" s="323"/>
      <c r="AH36" s="323"/>
      <c r="AI36" s="323">
        <f t="shared" ca="1" si="28"/>
        <v>265030.93537097477</v>
      </c>
      <c r="AJ36" s="323">
        <f t="shared" ca="1" si="29"/>
        <v>286230</v>
      </c>
      <c r="AK36" s="323">
        <f t="shared" ca="1" si="30"/>
        <v>21199.064629025233</v>
      </c>
      <c r="AL36" s="20">
        <f t="shared" ca="1" si="31"/>
        <v>0.08</v>
      </c>
      <c r="AM36" s="323"/>
      <c r="AN36" s="323"/>
      <c r="AO36" s="323"/>
      <c r="AP36" s="323">
        <f t="shared" si="32"/>
        <v>8230.1</v>
      </c>
      <c r="AQ36" s="323"/>
      <c r="AR36" s="323"/>
      <c r="AS36" s="323"/>
      <c r="AT36" s="323"/>
      <c r="AU36" s="60"/>
      <c r="AV36" s="324"/>
      <c r="AW36" s="325"/>
      <c r="AZ36" s="251" t="str">
        <f t="shared" ca="1" si="33"/>
        <v>1</v>
      </c>
      <c r="BA36" s="251" t="str">
        <f t="shared" ca="1" si="34"/>
        <v>1</v>
      </c>
    </row>
    <row r="37" spans="4:53">
      <c r="D37" s="8">
        <f t="shared" si="35"/>
        <v>6</v>
      </c>
      <c r="E37" s="319" t="str">
        <f t="shared" si="9"/>
        <v>Service Desk</v>
      </c>
      <c r="F37" s="8"/>
      <c r="G37" s="363" t="str">
        <f>+InputSheet!E178</f>
        <v>ManTech</v>
      </c>
      <c r="H37" s="8"/>
      <c r="I37" s="320">
        <f t="shared" si="10"/>
        <v>0</v>
      </c>
      <c r="J37" s="198" t="str">
        <f t="shared" si="22"/>
        <v>ManTech60Govt</v>
      </c>
      <c r="K37" s="198"/>
      <c r="L37" s="363" t="s">
        <v>623</v>
      </c>
      <c r="M37" s="321">
        <f>IF(G37="ManTech",(VLOOKUP($D37,DL,6,FALSE)),(INDEX('Sub Rates'!$F$9:$IK$48,MATCH(($E37&amp;$L37),'Sub Rates'!$E$9:$E$48,0),MATCH(($E$8&amp;$G37),'Sub Rates'!$F$8:$IK$8,0))))</f>
        <v>26</v>
      </c>
      <c r="N37" s="321">
        <f t="shared" ca="1" si="11"/>
        <v>26.64</v>
      </c>
      <c r="O37" s="321">
        <f t="shared" ca="1" si="12"/>
        <v>9.3239999999999998</v>
      </c>
      <c r="P37" s="321">
        <f t="shared" ca="1" si="12"/>
        <v>9.3239999999999998</v>
      </c>
      <c r="Q37" s="321">
        <f t="shared" ca="1" si="13"/>
        <v>14.147971199999999</v>
      </c>
      <c r="R37" s="321">
        <f t="shared" ca="1" si="14"/>
        <v>1.3254221577600001</v>
      </c>
      <c r="S37" s="321">
        <f t="shared" ca="1" si="15"/>
        <v>0.27029885057471265</v>
      </c>
      <c r="T37" s="321">
        <f t="shared" ca="1" si="16"/>
        <v>7.1668965517241376E-2</v>
      </c>
      <c r="U37" s="321">
        <f t="shared" si="17"/>
        <v>3.9</v>
      </c>
      <c r="V37" s="321">
        <f t="shared" si="23"/>
        <v>1.4367816091954022</v>
      </c>
      <c r="W37" s="321">
        <f t="shared" si="24"/>
        <v>0.25875862068965516</v>
      </c>
      <c r="X37" s="321">
        <f t="shared" ca="1" si="18"/>
        <v>0.50615999999999994</v>
      </c>
      <c r="Y37" s="321">
        <f t="shared" si="19"/>
        <v>2.3649712643678162</v>
      </c>
      <c r="Z37" s="321">
        <f ca="1">IF($G37="ManTech",(SUM($N37:$Y37)*(VLOOKUP($L37,$L$9:$AB$24,Z$6,FALSE))),(IF(R37=0,((SUM(N37,#REF!))*(VLOOKUP($L37,$L$9:$AB$24,Z$6,FALSE))),(SUM($R37:$R37)*(VLOOKUP($L37,$L$9:$AB$24,Z$6,FALSE))))))</f>
        <v>6.5882820936695277</v>
      </c>
      <c r="AA37" s="321">
        <f t="shared" ca="1" si="25"/>
        <v>76.158314761774363</v>
      </c>
      <c r="AB37" s="321">
        <f t="shared" ca="1" si="20"/>
        <v>6.0926651809419496</v>
      </c>
      <c r="AC37" s="321">
        <f ca="1">ROUND(SUM(AA37:AB37),2)</f>
        <v>82.25</v>
      </c>
      <c r="AD37" s="214">
        <f>VLOOKUP(D37,InputSheet!B178:O192,12,FALSE)</f>
        <v>3480</v>
      </c>
      <c r="AE37" s="336">
        <f t="shared" ca="1" si="21"/>
        <v>286230</v>
      </c>
      <c r="AF37" s="1036">
        <f t="shared" ca="1" si="27"/>
        <v>987</v>
      </c>
      <c r="AG37" s="323"/>
      <c r="AH37" s="323"/>
      <c r="AI37" s="323">
        <f t="shared" ca="1" si="28"/>
        <v>265030.93537097477</v>
      </c>
      <c r="AJ37" s="323">
        <f t="shared" ca="1" si="29"/>
        <v>286230</v>
      </c>
      <c r="AK37" s="323">
        <f t="shared" ca="1" si="30"/>
        <v>21199.064629025233</v>
      </c>
      <c r="AL37" s="20">
        <f t="shared" ca="1" si="31"/>
        <v>0.08</v>
      </c>
      <c r="AM37" s="323"/>
      <c r="AN37" s="323"/>
      <c r="AO37" s="323"/>
      <c r="AP37" s="323">
        <f t="shared" si="32"/>
        <v>8230.1</v>
      </c>
      <c r="AQ37" s="323"/>
      <c r="AR37" s="323"/>
      <c r="AS37" s="323"/>
      <c r="AT37" s="323"/>
      <c r="AU37" s="60"/>
      <c r="AV37" s="324"/>
      <c r="AW37" s="325"/>
      <c r="AZ37" s="251" t="str">
        <f t="shared" ca="1" si="33"/>
        <v>1</v>
      </c>
      <c r="BA37" s="251" t="str">
        <f t="shared" ca="1" si="34"/>
        <v>1</v>
      </c>
    </row>
    <row r="38" spans="4:53">
      <c r="D38" s="8">
        <f t="shared" si="35"/>
        <v>7</v>
      </c>
      <c r="E38" s="319" t="str">
        <f t="shared" si="9"/>
        <v>CIS Training Supervisor</v>
      </c>
      <c r="F38" s="8"/>
      <c r="G38" s="363" t="str">
        <f>+InputSheet!E179</f>
        <v>Segovia, Inc.</v>
      </c>
      <c r="H38" s="8"/>
      <c r="I38" s="320">
        <f t="shared" si="10"/>
        <v>0</v>
      </c>
      <c r="J38" s="198" t="str">
        <f t="shared" si="22"/>
        <v>Segovia, Inc.70Govt_Sub</v>
      </c>
      <c r="K38" s="198"/>
      <c r="L38" s="363" t="s">
        <v>684</v>
      </c>
      <c r="M38" s="321">
        <f>IF(G38="ManTech",(VLOOKUP($D38,DL,6,FALSE)),(INDEX('Sub Rates'!$F$9:$IK$48,MATCH(($E38&amp;$L38),'Sub Rates'!$E$9:$E$48,0),MATCH(($E$8&amp;$G38),'Sub Rates'!$F$8:$IK$8,0))))</f>
        <v>76.75</v>
      </c>
      <c r="N38" s="321">
        <f t="shared" ca="1" si="11"/>
        <v>76.75</v>
      </c>
      <c r="O38" s="321">
        <f t="shared" ca="1" si="12"/>
        <v>0</v>
      </c>
      <c r="P38" s="321">
        <f t="shared" ca="1" si="12"/>
        <v>0</v>
      </c>
      <c r="Q38" s="321">
        <f t="shared" ca="1" si="13"/>
        <v>0</v>
      </c>
      <c r="R38" s="321">
        <f t="shared" ca="1" si="14"/>
        <v>2.3562250000000002</v>
      </c>
      <c r="S38" s="321"/>
      <c r="T38" s="321"/>
      <c r="U38" s="321">
        <v>0</v>
      </c>
      <c r="V38" s="321">
        <v>0</v>
      </c>
      <c r="W38" s="321">
        <v>0</v>
      </c>
      <c r="X38" s="321">
        <v>0</v>
      </c>
      <c r="Y38" s="321">
        <v>0</v>
      </c>
      <c r="Z38" s="321">
        <f ca="1">IF($G38="ManTech",(SUM($N38:$Y38)*(VLOOKUP($L38,$L$9:$AB$24,Z$6,FALSE))),(IF(R38=0,((SUM(N38,#REF!))*(VLOOKUP($L38,$L$9:$AB$24,Z$6,FALSE))),(SUM($R38:$R38)*(VLOOKUP($L38,$L$9:$AB$24,Z$6,FALSE))))))</f>
        <v>0.22313450750000005</v>
      </c>
      <c r="AA38" s="321">
        <f t="shared" ca="1" si="25"/>
        <v>79.329359507500001</v>
      </c>
      <c r="AB38" s="321">
        <f t="shared" ca="1" si="20"/>
        <v>6.3463487606000006</v>
      </c>
      <c r="AC38" s="321">
        <f t="shared" ca="1" si="26"/>
        <v>85.68</v>
      </c>
      <c r="AD38" s="214">
        <f>VLOOKUP(D38,InputSheet!B179:O193,12,FALSE)</f>
        <v>3480</v>
      </c>
      <c r="AE38" s="336">
        <f t="shared" ca="1" si="21"/>
        <v>298166.40000000002</v>
      </c>
      <c r="AF38" s="1036">
        <f t="shared" ca="1" si="27"/>
        <v>1028.1600000000001</v>
      </c>
      <c r="AG38" s="323"/>
      <c r="AH38" s="323"/>
      <c r="AI38" s="323">
        <f t="shared" ca="1" si="28"/>
        <v>276066.17108609999</v>
      </c>
      <c r="AJ38" s="323">
        <f t="shared" ca="1" si="29"/>
        <v>298166.40000000002</v>
      </c>
      <c r="AK38" s="323">
        <f t="shared" ca="1" si="30"/>
        <v>22100.228913900035</v>
      </c>
      <c r="AL38" s="20">
        <f t="shared" ca="1" si="31"/>
        <v>0.08</v>
      </c>
      <c r="AM38" s="323"/>
      <c r="AN38" s="323"/>
      <c r="AO38" s="323"/>
      <c r="AP38" s="323">
        <f t="shared" si="32"/>
        <v>0</v>
      </c>
      <c r="AQ38" s="323"/>
      <c r="AR38" s="323"/>
      <c r="AS38" s="323"/>
      <c r="AT38" s="323"/>
      <c r="AU38" s="60"/>
      <c r="AV38" s="324"/>
      <c r="AW38" s="325"/>
      <c r="AZ38" s="251" t="str">
        <f t="shared" ca="1" si="33"/>
        <v>1</v>
      </c>
      <c r="BA38" s="251" t="str">
        <f t="shared" ca="1" si="34"/>
        <v>1</v>
      </c>
    </row>
    <row r="39" spans="4:53">
      <c r="D39" s="8">
        <f t="shared" si="35"/>
        <v>8</v>
      </c>
      <c r="E39" s="319" t="str">
        <f t="shared" si="9"/>
        <v>CIS Trainer</v>
      </c>
      <c r="F39" s="8"/>
      <c r="G39" s="363" t="str">
        <f>+InputSheet!E180</f>
        <v>Segovia, Inc.</v>
      </c>
      <c r="H39" s="8"/>
      <c r="I39" s="320">
        <f t="shared" si="10"/>
        <v>0</v>
      </c>
      <c r="J39" s="198" t="str">
        <f t="shared" si="22"/>
        <v>Segovia, Inc.80Govt_Sub</v>
      </c>
      <c r="K39" s="198"/>
      <c r="L39" s="363" t="s">
        <v>684</v>
      </c>
      <c r="M39" s="321">
        <f>IF(G39="ManTech",(VLOOKUP($D39,DL,6,FALSE)),(INDEX('Sub Rates'!$F$9:$IK$48,MATCH(($E39&amp;$L39),'Sub Rates'!$E$9:$E$48,0),MATCH(($E$8&amp;$G39),'Sub Rates'!$F$8:$IK$8,0))))</f>
        <v>65.416666666666671</v>
      </c>
      <c r="N39" s="321">
        <f t="shared" ca="1" si="11"/>
        <v>65.42</v>
      </c>
      <c r="O39" s="321">
        <f t="shared" ca="1" si="12"/>
        <v>0</v>
      </c>
      <c r="P39" s="321">
        <f t="shared" ca="1" si="12"/>
        <v>0</v>
      </c>
      <c r="Q39" s="321">
        <f t="shared" ca="1" si="13"/>
        <v>0</v>
      </c>
      <c r="R39" s="321">
        <f t="shared" ca="1" si="14"/>
        <v>2.008394</v>
      </c>
      <c r="S39" s="321"/>
      <c r="T39" s="321"/>
      <c r="U39" s="321">
        <v>0</v>
      </c>
      <c r="V39" s="321">
        <v>0</v>
      </c>
      <c r="W39" s="321">
        <v>0</v>
      </c>
      <c r="X39" s="321">
        <v>0</v>
      </c>
      <c r="Y39" s="321">
        <v>0</v>
      </c>
      <c r="Z39" s="321">
        <f ca="1">IF($G39="ManTech",(SUM($N39:$Y39)*(VLOOKUP($L39,$L$9:$AB$24,Z$6,FALSE))),(IF(R39=0,((SUM(N39,#REF!))*(VLOOKUP($L39,$L$9:$AB$24,Z$6,FALSE))),(SUM($R39:$R39)*(VLOOKUP($L39,$L$9:$AB$24,Z$6,FALSE))))))</f>
        <v>0.1901949118</v>
      </c>
      <c r="AA39" s="321">
        <f t="shared" ca="1" si="25"/>
        <v>67.618588911800003</v>
      </c>
      <c r="AB39" s="321">
        <f t="shared" ca="1" si="20"/>
        <v>5.4094871129440003</v>
      </c>
      <c r="AC39" s="321">
        <f t="shared" ca="1" si="26"/>
        <v>73.03</v>
      </c>
      <c r="AD39" s="214">
        <f>VLOOKUP(D39,InputSheet!B180:O194,12,FALSE)</f>
        <v>3480</v>
      </c>
      <c r="AE39" s="336">
        <f t="shared" ca="1" si="21"/>
        <v>254144.4</v>
      </c>
      <c r="AF39" s="1036">
        <f t="shared" ca="1" si="27"/>
        <v>876.36</v>
      </c>
      <c r="AG39" s="323"/>
      <c r="AH39" s="323"/>
      <c r="AI39" s="323">
        <f t="shared" ca="1" si="28"/>
        <v>235312.68941306401</v>
      </c>
      <c r="AJ39" s="323">
        <f t="shared" ca="1" si="29"/>
        <v>254144.4</v>
      </c>
      <c r="AK39" s="323">
        <f t="shared" ca="1" si="30"/>
        <v>18831.71058693598</v>
      </c>
      <c r="AL39" s="20">
        <f t="shared" ca="1" si="31"/>
        <v>0.08</v>
      </c>
      <c r="AM39" s="323"/>
      <c r="AN39" s="323"/>
      <c r="AO39" s="323"/>
      <c r="AP39" s="323">
        <f t="shared" si="32"/>
        <v>0</v>
      </c>
      <c r="AQ39" s="323"/>
      <c r="AR39" s="323"/>
      <c r="AS39" s="323"/>
      <c r="AT39" s="323"/>
      <c r="AU39" s="60"/>
      <c r="AV39" s="324"/>
      <c r="AW39" s="325"/>
      <c r="AZ39" s="251" t="str">
        <f t="shared" ca="1" si="33"/>
        <v>1</v>
      </c>
      <c r="BA39" s="251" t="str">
        <f t="shared" ca="1" si="34"/>
        <v>1</v>
      </c>
    </row>
    <row r="40" spans="4:53">
      <c r="D40" s="8">
        <f t="shared" si="35"/>
        <v>9</v>
      </c>
      <c r="E40" s="319" t="str">
        <f t="shared" si="9"/>
        <v>Radio Technician</v>
      </c>
      <c r="F40" s="8"/>
      <c r="G40" s="363" t="str">
        <f>+InputSheet!E181</f>
        <v>Segovia, Inc.</v>
      </c>
      <c r="H40" s="8"/>
      <c r="I40" s="320">
        <f t="shared" si="10"/>
        <v>0</v>
      </c>
      <c r="J40" s="198" t="str">
        <f t="shared" si="22"/>
        <v>Segovia, Inc.90Govt_Sub</v>
      </c>
      <c r="K40" s="198"/>
      <c r="L40" s="363" t="s">
        <v>684</v>
      </c>
      <c r="M40" s="321">
        <f>IF(G40="ManTech",(VLOOKUP($D40,DL,6,FALSE)),(INDEX('Sub Rates'!$F$9:$IK$48,MATCH(($E40&amp;$L40),'Sub Rates'!$E$9:$E$48,0),MATCH(($E$8&amp;$G40),'Sub Rates'!$F$8:$IK$8,0))))</f>
        <v>57.416666666666664</v>
      </c>
      <c r="N40" s="321">
        <f t="shared" ca="1" si="11"/>
        <v>57.42</v>
      </c>
      <c r="O40" s="321">
        <f t="shared" ca="1" si="12"/>
        <v>0</v>
      </c>
      <c r="P40" s="321">
        <f t="shared" ca="1" si="12"/>
        <v>0</v>
      </c>
      <c r="Q40" s="321">
        <f t="shared" ca="1" si="13"/>
        <v>0</v>
      </c>
      <c r="R40" s="321">
        <f t="shared" ca="1" si="14"/>
        <v>1.7627940000000002</v>
      </c>
      <c r="S40" s="321"/>
      <c r="T40" s="321"/>
      <c r="U40" s="321">
        <v>0</v>
      </c>
      <c r="V40" s="321">
        <v>0</v>
      </c>
      <c r="W40" s="321">
        <v>0</v>
      </c>
      <c r="X40" s="321">
        <v>0</v>
      </c>
      <c r="Y40" s="321">
        <v>0</v>
      </c>
      <c r="Z40" s="321">
        <f ca="1">IF($G40="ManTech",(SUM($N40:$Y40)*(VLOOKUP($L40,$L$9:$AB$24,Z$6,FALSE))),(IF(R40=0,((SUM(N40,#REF!))*(VLOOKUP($L40,$L$9:$AB$24,Z$6,FALSE))),(SUM($R40:$R40)*(VLOOKUP($L40,$L$9:$AB$24,Z$6,FALSE))))))</f>
        <v>0.16693659180000003</v>
      </c>
      <c r="AA40" s="321">
        <f t="shared" ca="1" si="25"/>
        <v>59.349730591800004</v>
      </c>
      <c r="AB40" s="321">
        <f t="shared" ca="1" si="20"/>
        <v>4.7479784473440008</v>
      </c>
      <c r="AC40" s="321">
        <f t="shared" ca="1" si="26"/>
        <v>64.099999999999994</v>
      </c>
      <c r="AD40" s="214">
        <f>VLOOKUP(D40,InputSheet!B181:O195,12,FALSE)</f>
        <v>3480</v>
      </c>
      <c r="AE40" s="336">
        <f t="shared" ca="1" si="21"/>
        <v>223067.99999999997</v>
      </c>
      <c r="AF40" s="1036">
        <f t="shared" ca="1" si="27"/>
        <v>769.19999999999993</v>
      </c>
      <c r="AG40" s="323"/>
      <c r="AH40" s="323"/>
      <c r="AI40" s="323">
        <f t="shared" ca="1" si="28"/>
        <v>206537.06245946401</v>
      </c>
      <c r="AJ40" s="323">
        <f t="shared" ca="1" si="29"/>
        <v>223067.99999999997</v>
      </c>
      <c r="AK40" s="323">
        <f t="shared" ca="1" si="30"/>
        <v>16530.937540535961</v>
      </c>
      <c r="AL40" s="20">
        <f t="shared" ca="1" si="31"/>
        <v>0.08</v>
      </c>
      <c r="AM40" s="323"/>
      <c r="AN40" s="323"/>
      <c r="AO40" s="323"/>
      <c r="AP40" s="323">
        <f t="shared" si="32"/>
        <v>0</v>
      </c>
      <c r="AQ40" s="323"/>
      <c r="AR40" s="323"/>
      <c r="AS40" s="323"/>
      <c r="AT40" s="323"/>
      <c r="AU40" s="60"/>
      <c r="AV40" s="324"/>
      <c r="AW40" s="325"/>
      <c r="AZ40" s="251" t="str">
        <f t="shared" ca="1" si="33"/>
        <v>1</v>
      </c>
      <c r="BA40" s="251" t="str">
        <f t="shared" ca="1" si="34"/>
        <v>1</v>
      </c>
    </row>
    <row r="41" spans="4:53">
      <c r="D41" s="8">
        <f t="shared" si="35"/>
        <v>10</v>
      </c>
      <c r="E41" s="319" t="str">
        <f t="shared" si="9"/>
        <v>Radio Technician</v>
      </c>
      <c r="F41" s="8"/>
      <c r="G41" s="363" t="str">
        <f>+InputSheet!E182</f>
        <v>Segovia, Inc.</v>
      </c>
      <c r="H41" s="8"/>
      <c r="I41" s="320">
        <f t="shared" si="10"/>
        <v>0</v>
      </c>
      <c r="J41" s="198" t="str">
        <f t="shared" si="22"/>
        <v>Segovia, Inc.100Govt_Sub</v>
      </c>
      <c r="K41" s="198"/>
      <c r="L41" s="363" t="s">
        <v>684</v>
      </c>
      <c r="M41" s="321">
        <f>IF(G41="ManTech",(VLOOKUP($D41,DL,6,FALSE)),(INDEX('Sub Rates'!$F$9:$IK$48,MATCH(($E41&amp;$L41),'Sub Rates'!$E$9:$E$48,0),MATCH(($E$8&amp;$G41),'Sub Rates'!$F$8:$IK$8,0))))</f>
        <v>57.416666666666664</v>
      </c>
      <c r="N41" s="321">
        <f t="shared" ca="1" si="11"/>
        <v>57.42</v>
      </c>
      <c r="O41" s="321">
        <f t="shared" ca="1" si="12"/>
        <v>0</v>
      </c>
      <c r="P41" s="321">
        <f t="shared" ca="1" si="12"/>
        <v>0</v>
      </c>
      <c r="Q41" s="321">
        <f t="shared" ca="1" si="13"/>
        <v>0</v>
      </c>
      <c r="R41" s="321">
        <f t="shared" ca="1" si="14"/>
        <v>1.7627940000000002</v>
      </c>
      <c r="S41" s="321"/>
      <c r="T41" s="321"/>
      <c r="U41" s="321">
        <v>0</v>
      </c>
      <c r="V41" s="321">
        <v>0</v>
      </c>
      <c r="W41" s="321">
        <v>0</v>
      </c>
      <c r="X41" s="321">
        <v>0</v>
      </c>
      <c r="Y41" s="321">
        <v>0</v>
      </c>
      <c r="Z41" s="321">
        <f ca="1">IF($G41="ManTech",(SUM($N41:$Y41)*(VLOOKUP($L41,$L$9:$AB$24,Z$6,FALSE))),(IF(R41=0,((SUM(N41,#REF!))*(VLOOKUP($L41,$L$9:$AB$24,Z$6,FALSE))),(SUM($R41:$R41)*(VLOOKUP($L41,$L$9:$AB$24,Z$6,FALSE))))))</f>
        <v>0.16693659180000003</v>
      </c>
      <c r="AA41" s="321">
        <f t="shared" ca="1" si="25"/>
        <v>59.349730591800004</v>
      </c>
      <c r="AB41" s="321">
        <f t="shared" ca="1" si="20"/>
        <v>4.7479784473440008</v>
      </c>
      <c r="AC41" s="321">
        <f t="shared" ca="1" si="26"/>
        <v>64.099999999999994</v>
      </c>
      <c r="AD41" s="214">
        <f>VLOOKUP(D41,InputSheet!B182:O196,12,FALSE)</f>
        <v>3480</v>
      </c>
      <c r="AE41" s="336">
        <f t="shared" ca="1" si="21"/>
        <v>223067.99999999997</v>
      </c>
      <c r="AF41" s="1036">
        <f t="shared" ca="1" si="27"/>
        <v>769.19999999999993</v>
      </c>
      <c r="AG41" s="323"/>
      <c r="AH41" s="323"/>
      <c r="AI41" s="323">
        <f t="shared" ca="1" si="28"/>
        <v>206537.06245946401</v>
      </c>
      <c r="AJ41" s="323">
        <f t="shared" ca="1" si="29"/>
        <v>223067.99999999997</v>
      </c>
      <c r="AK41" s="323">
        <f t="shared" ca="1" si="30"/>
        <v>16530.937540535961</v>
      </c>
      <c r="AL41" s="20">
        <f t="shared" ca="1" si="31"/>
        <v>0.08</v>
      </c>
      <c r="AM41" s="323"/>
      <c r="AN41" s="323"/>
      <c r="AO41" s="323"/>
      <c r="AP41" s="323">
        <f t="shared" si="32"/>
        <v>0</v>
      </c>
      <c r="AQ41" s="323"/>
      <c r="AR41" s="323"/>
      <c r="AS41" s="323"/>
      <c r="AT41" s="323"/>
      <c r="AU41" s="60"/>
      <c r="AV41" s="324"/>
      <c r="AW41" s="325"/>
      <c r="AZ41" s="251" t="str">
        <f t="shared" ca="1" si="33"/>
        <v>1</v>
      </c>
      <c r="BA41" s="251" t="str">
        <f t="shared" ca="1" si="34"/>
        <v>1</v>
      </c>
    </row>
    <row r="42" spans="4:53">
      <c r="D42" s="8">
        <f t="shared" si="35"/>
        <v>11</v>
      </c>
      <c r="E42" s="319" t="str">
        <f t="shared" si="9"/>
        <v>Network Administrator</v>
      </c>
      <c r="F42" s="8"/>
      <c r="G42" s="363" t="str">
        <f>+InputSheet!E183</f>
        <v>ManTech</v>
      </c>
      <c r="H42" s="8"/>
      <c r="I42" s="320">
        <f t="shared" si="10"/>
        <v>0</v>
      </c>
      <c r="J42" s="198" t="str">
        <f t="shared" si="22"/>
        <v>ManTech110Govt</v>
      </c>
      <c r="K42" s="198"/>
      <c r="L42" s="363" t="s">
        <v>623</v>
      </c>
      <c r="M42" s="321">
        <f>IF(G42="ManTech",(VLOOKUP($D42,DL,6,FALSE)),(INDEX('Sub Rates'!$F$9:$IK$48,MATCH(($E42&amp;$L42),'Sub Rates'!$E$9:$E$48,0),MATCH(($E$8&amp;$G42),'Sub Rates'!$F$8:$IK$8,0))))</f>
        <v>27.5</v>
      </c>
      <c r="N42" s="321">
        <f t="shared" ca="1" si="11"/>
        <v>28.18</v>
      </c>
      <c r="O42" s="321">
        <f t="shared" ca="1" si="12"/>
        <v>9.8629999999999995</v>
      </c>
      <c r="P42" s="321">
        <f t="shared" ca="1" si="12"/>
        <v>9.8629999999999995</v>
      </c>
      <c r="Q42" s="321">
        <f t="shared" ca="1" si="13"/>
        <v>14.9658344</v>
      </c>
      <c r="R42" s="321">
        <f t="shared" ca="1" si="14"/>
        <v>1.4020419071199999</v>
      </c>
      <c r="S42" s="321">
        <f ca="1">$S$10/SUM($AD$32:$AD$46)</f>
        <v>0.27029885057471265</v>
      </c>
      <c r="T42" s="321">
        <f ca="1">$T$10/SUM($AD$32:$AD$46)</f>
        <v>7.1668965517241376E-2</v>
      </c>
      <c r="U42" s="321">
        <f>((M42*AD42)*$U$10)/AD42</f>
        <v>4.125</v>
      </c>
      <c r="V42" s="321">
        <f t="shared" si="23"/>
        <v>1.4367816091954022</v>
      </c>
      <c r="W42" s="321">
        <f t="shared" si="24"/>
        <v>0.25875862068965516</v>
      </c>
      <c r="X42" s="321">
        <f ca="1">N42*$X$10</f>
        <v>0.53542000000000001</v>
      </c>
      <c r="Y42" s="321">
        <f>$Y$10/AD42</f>
        <v>2.3649712643678162</v>
      </c>
      <c r="Z42" s="321">
        <f ca="1">IF($G42="ManTech",(SUM($N42:$Y42)*(VLOOKUP($L42,$L$9:$AB$24,Z$6,FALSE))),(IF(R42=0,((SUM(N42,#REF!))*(VLOOKUP($L42,$L$9:$AB$24,Z$6,FALSE))),(SUM($R42:$R42)*(VLOOKUP($L42,$L$9:$AB$24,Z$6,FALSE))))))</f>
        <v>6.944992650973921</v>
      </c>
      <c r="AA42" s="321">
        <f t="shared" ca="1" si="25"/>
        <v>80.281768268438753</v>
      </c>
      <c r="AB42" s="321">
        <f t="shared" ca="1" si="20"/>
        <v>6.4225414614751006</v>
      </c>
      <c r="AC42" s="321">
        <f t="shared" ca="1" si="26"/>
        <v>86.7</v>
      </c>
      <c r="AD42" s="214">
        <f>VLOOKUP(D42,InputSheet!B183:O197,12,FALSE)</f>
        <v>3480</v>
      </c>
      <c r="AE42" s="336">
        <f t="shared" ca="1" si="21"/>
        <v>301716</v>
      </c>
      <c r="AF42" s="1036">
        <f t="shared" ca="1" si="27"/>
        <v>1040.4000000000001</v>
      </c>
      <c r="AG42" s="323"/>
      <c r="AH42" s="323"/>
      <c r="AI42" s="323">
        <f t="shared" ca="1" si="28"/>
        <v>279380.55357416684</v>
      </c>
      <c r="AJ42" s="323">
        <f t="shared" ca="1" si="29"/>
        <v>301716</v>
      </c>
      <c r="AK42" s="323">
        <f t="shared" ca="1" si="30"/>
        <v>22335.446425833157</v>
      </c>
      <c r="AL42" s="20">
        <f t="shared" ca="1" si="31"/>
        <v>0.08</v>
      </c>
      <c r="AM42" s="323"/>
      <c r="AN42" s="323"/>
      <c r="AO42" s="323"/>
      <c r="AP42" s="323">
        <f t="shared" si="32"/>
        <v>8230.1</v>
      </c>
      <c r="AQ42" s="323"/>
      <c r="AR42" s="323"/>
      <c r="AS42" s="323"/>
      <c r="AT42" s="323"/>
      <c r="AU42" s="60"/>
      <c r="AV42" s="324"/>
      <c r="AW42" s="325"/>
      <c r="AZ42" s="251" t="str">
        <f t="shared" ca="1" si="33"/>
        <v>1</v>
      </c>
      <c r="BA42" s="251" t="str">
        <f t="shared" ca="1" si="34"/>
        <v>1</v>
      </c>
    </row>
    <row r="43" spans="4:53">
      <c r="D43" s="8">
        <f>D42+1</f>
        <v>12</v>
      </c>
      <c r="E43" s="319" t="str">
        <f t="shared" si="9"/>
        <v>System Administrator</v>
      </c>
      <c r="F43" s="8"/>
      <c r="G43" s="363" t="str">
        <f>+InputSheet!E184</f>
        <v>ManTech</v>
      </c>
      <c r="H43" s="8"/>
      <c r="I43" s="320">
        <f t="shared" si="10"/>
        <v>0</v>
      </c>
      <c r="J43" s="198" t="str">
        <f t="shared" si="22"/>
        <v>ManTech120Govt</v>
      </c>
      <c r="K43" s="198"/>
      <c r="L43" s="363" t="s">
        <v>623</v>
      </c>
      <c r="M43" s="321">
        <f>IF(G43="ManTech",(VLOOKUP($D43,DL,6,FALSE)),(INDEX('Sub Rates'!$F$9:$IK$48,MATCH(($E43&amp;$L43),'Sub Rates'!$E$9:$E$48,0),MATCH(($E$8&amp;$G43),'Sub Rates'!$F$8:$IK$8,0))))</f>
        <v>28</v>
      </c>
      <c r="N43" s="321">
        <f t="shared" ca="1" si="11"/>
        <v>28.69</v>
      </c>
      <c r="O43" s="321">
        <f t="shared" ca="1" si="12"/>
        <v>10.041499999999999</v>
      </c>
      <c r="P43" s="321">
        <f t="shared" ca="1" si="12"/>
        <v>10.041499999999999</v>
      </c>
      <c r="Q43" s="321">
        <f t="shared" ca="1" si="13"/>
        <v>15.2366852</v>
      </c>
      <c r="R43" s="321">
        <f t="shared" ca="1" si="14"/>
        <v>1.4274159799600001</v>
      </c>
      <c r="S43" s="321">
        <f ca="1">$S$10/SUM($AD$32:$AD$46)</f>
        <v>0.27029885057471265</v>
      </c>
      <c r="T43" s="321">
        <f ca="1">$T$10/SUM($AD$32:$AD$46)</f>
        <v>7.1668965517241376E-2</v>
      </c>
      <c r="U43" s="321">
        <f>((M43*AD43)*$U$10)/AD43</f>
        <v>4.2</v>
      </c>
      <c r="V43" s="321">
        <f t="shared" si="23"/>
        <v>1.4367816091954022</v>
      </c>
      <c r="W43" s="321">
        <f t="shared" si="24"/>
        <v>0.25875862068965516</v>
      </c>
      <c r="X43" s="321">
        <f ca="1">N43*$X$10</f>
        <v>0.54510999999999998</v>
      </c>
      <c r="Y43" s="321">
        <f>$Y$10/AD43</f>
        <v>2.3649712643678162</v>
      </c>
      <c r="Z43" s="321">
        <f ca="1">IF($G43="ManTech",(SUM($N43:$Y43)*(VLOOKUP($L43,$L$9:$AB$24,Z$6,FALSE))),(IF(R43=0,((SUM(N43,#REF!))*(VLOOKUP($L43,$L$9:$AB$24,Z$6,FALSE))),(SUM($R43:$R43)*(VLOOKUP($L43,$L$9:$AB$24,Z$6,FALSE))))))</f>
        <v>7.0631701894318688</v>
      </c>
      <c r="AA43" s="321">
        <f t="shared" ca="1" si="25"/>
        <v>81.647860679736709</v>
      </c>
      <c r="AB43" s="321">
        <f t="shared" ca="1" si="20"/>
        <v>6.5318288543789365</v>
      </c>
      <c r="AC43" s="321">
        <f t="shared" ca="1" si="26"/>
        <v>88.18</v>
      </c>
      <c r="AD43" s="214">
        <f>VLOOKUP(D43,InputSheet!B184:O198,12,FALSE)</f>
        <v>3480</v>
      </c>
      <c r="AE43" s="336">
        <f t="shared" ca="1" si="21"/>
        <v>306866.40000000002</v>
      </c>
      <c r="AF43" s="1036">
        <f t="shared" ca="1" si="27"/>
        <v>1058.1600000000001</v>
      </c>
      <c r="AG43" s="323"/>
      <c r="AH43" s="323"/>
      <c r="AI43" s="323">
        <f t="shared" ca="1" si="28"/>
        <v>284134.55516548373</v>
      </c>
      <c r="AJ43" s="323">
        <f t="shared" ca="1" si="29"/>
        <v>306866.40000000002</v>
      </c>
      <c r="AK43" s="323">
        <f t="shared" ca="1" si="30"/>
        <v>22731.844834516291</v>
      </c>
      <c r="AL43" s="20">
        <f t="shared" ca="1" si="31"/>
        <v>0.08</v>
      </c>
      <c r="AM43" s="323"/>
      <c r="AN43" s="323"/>
      <c r="AO43" s="323"/>
      <c r="AP43" s="323">
        <f t="shared" si="32"/>
        <v>8230.1</v>
      </c>
      <c r="AQ43" s="323"/>
      <c r="AR43" s="323"/>
      <c r="AS43" s="323"/>
      <c r="AT43" s="323"/>
      <c r="AU43" s="60"/>
      <c r="AV43" s="324"/>
      <c r="AW43" s="325"/>
      <c r="AZ43" s="251" t="str">
        <f t="shared" ca="1" si="33"/>
        <v>1</v>
      </c>
      <c r="BA43" s="251" t="str">
        <f t="shared" ca="1" si="34"/>
        <v>1</v>
      </c>
    </row>
    <row r="44" spans="4:53">
      <c r="D44" s="8">
        <f>D43+1</f>
        <v>13</v>
      </c>
      <c r="E44" s="319" t="str">
        <f t="shared" si="9"/>
        <v>Configuration Manager</v>
      </c>
      <c r="F44" s="8"/>
      <c r="G44" s="363" t="str">
        <f>+InputSheet!E185</f>
        <v>ManTech</v>
      </c>
      <c r="H44" s="8"/>
      <c r="I44" s="320">
        <f t="shared" si="10"/>
        <v>0</v>
      </c>
      <c r="J44" s="198" t="str">
        <f t="shared" si="22"/>
        <v>ManTech130Govt</v>
      </c>
      <c r="K44" s="198"/>
      <c r="L44" s="363" t="s">
        <v>623</v>
      </c>
      <c r="M44" s="321">
        <f>IF(G44="ManTech",(VLOOKUP($D44,DL,6,FALSE)),(INDEX('Sub Rates'!$F$9:$IK$48,MATCH(($E44&amp;$L44),'Sub Rates'!$E$9:$E$48,0),MATCH(($E$8&amp;$G44),'Sub Rates'!$F$8:$IK$8,0))))</f>
        <v>26</v>
      </c>
      <c r="N44" s="321">
        <f t="shared" ca="1" si="11"/>
        <v>26.64</v>
      </c>
      <c r="O44" s="321">
        <f t="shared" ca="1" si="12"/>
        <v>9.3239999999999998</v>
      </c>
      <c r="P44" s="321">
        <f t="shared" ca="1" si="12"/>
        <v>9.3239999999999998</v>
      </c>
      <c r="Q44" s="321">
        <f t="shared" ca="1" si="13"/>
        <v>14.147971199999999</v>
      </c>
      <c r="R44" s="321">
        <f t="shared" ca="1" si="14"/>
        <v>1.3254221577600001</v>
      </c>
      <c r="S44" s="321">
        <f ca="1">$S$10/SUM($AD$32:$AD$46)</f>
        <v>0.27029885057471265</v>
      </c>
      <c r="T44" s="321">
        <f ca="1">$T$10/SUM($AD$32:$AD$46)</f>
        <v>7.1668965517241376E-2</v>
      </c>
      <c r="U44" s="321">
        <f>((M44*AD44)*$U$10)/AD44</f>
        <v>3.9</v>
      </c>
      <c r="V44" s="321">
        <f t="shared" si="23"/>
        <v>1.4367816091954022</v>
      </c>
      <c r="W44" s="321">
        <f t="shared" si="24"/>
        <v>0.25875862068965516</v>
      </c>
      <c r="X44" s="321">
        <f ca="1">N44*$X$10</f>
        <v>0.50615999999999994</v>
      </c>
      <c r="Y44" s="321">
        <f>$Y$10/AD44</f>
        <v>2.3649712643678162</v>
      </c>
      <c r="Z44" s="321">
        <f ca="1">IF($G44="ManTech",(SUM($N44:$Y44)*(VLOOKUP($L44,$L$9:$AB$24,Z$6,FALSE))),(IF(R44=0,((SUM(N44,#REF!))*(VLOOKUP($L44,$L$9:$AB$24,Z$6,FALSE))),(SUM($R44:$R44)*(VLOOKUP($L44,$L$9:$AB$24,Z$6,FALSE))))))</f>
        <v>6.5882820936695277</v>
      </c>
      <c r="AA44" s="321">
        <f t="shared" ca="1" si="25"/>
        <v>76.158314761774363</v>
      </c>
      <c r="AB44" s="321">
        <f t="shared" ca="1" si="20"/>
        <v>6.0926651809419496</v>
      </c>
      <c r="AC44" s="321">
        <f t="shared" ca="1" si="26"/>
        <v>82.25</v>
      </c>
      <c r="AD44" s="214">
        <f>VLOOKUP(D44,InputSheet!B185:O199,12,FALSE)</f>
        <v>3480</v>
      </c>
      <c r="AE44" s="336">
        <f t="shared" ca="1" si="21"/>
        <v>286230</v>
      </c>
      <c r="AF44" s="1036">
        <f t="shared" ca="1" si="27"/>
        <v>987</v>
      </c>
      <c r="AG44" s="323"/>
      <c r="AH44" s="323"/>
      <c r="AI44" s="323">
        <f t="shared" ca="1" si="28"/>
        <v>265030.93537097477</v>
      </c>
      <c r="AJ44" s="323">
        <f t="shared" ca="1" si="29"/>
        <v>286230</v>
      </c>
      <c r="AK44" s="323">
        <f t="shared" ca="1" si="30"/>
        <v>21199.064629025233</v>
      </c>
      <c r="AL44" s="20">
        <f t="shared" ca="1" si="31"/>
        <v>0.08</v>
      </c>
      <c r="AM44" s="323"/>
      <c r="AN44" s="323"/>
      <c r="AO44" s="323"/>
      <c r="AP44" s="323">
        <f t="shared" si="32"/>
        <v>8230.1</v>
      </c>
      <c r="AQ44" s="323"/>
      <c r="AR44" s="323"/>
      <c r="AS44" s="323"/>
      <c r="AT44" s="323"/>
      <c r="AU44" s="60"/>
      <c r="AV44" s="324"/>
      <c r="AW44" s="325"/>
      <c r="AZ44" s="251" t="str">
        <f t="shared" ca="1" si="33"/>
        <v>1</v>
      </c>
      <c r="BA44" s="251" t="str">
        <f t="shared" ca="1" si="34"/>
        <v>1</v>
      </c>
    </row>
    <row r="45" spans="4:53">
      <c r="D45" s="8">
        <f>D44+1</f>
        <v>14</v>
      </c>
      <c r="E45" s="319" t="str">
        <f t="shared" si="9"/>
        <v>Hardware Technician</v>
      </c>
      <c r="F45" s="8"/>
      <c r="G45" s="363" t="str">
        <f>+InputSheet!E186</f>
        <v>ManTech</v>
      </c>
      <c r="H45" s="8"/>
      <c r="I45" s="320">
        <f t="shared" si="10"/>
        <v>0</v>
      </c>
      <c r="J45" s="198" t="str">
        <f t="shared" si="22"/>
        <v>ManTech140Govt</v>
      </c>
      <c r="K45" s="198"/>
      <c r="L45" s="363" t="s">
        <v>623</v>
      </c>
      <c r="M45" s="321">
        <f>IF(G45="ManTech",(VLOOKUP($D45,DL,6,FALSE)),(INDEX('Sub Rates'!$F$9:$IK$48,MATCH(($E45&amp;$L45),'Sub Rates'!$E$9:$E$48,0),MATCH(($E$8&amp;$G45),'Sub Rates'!$F$8:$IK$8,0))))</f>
        <v>26</v>
      </c>
      <c r="N45" s="321">
        <f t="shared" ca="1" si="11"/>
        <v>26.64</v>
      </c>
      <c r="O45" s="321">
        <f t="shared" ca="1" si="12"/>
        <v>9.3239999999999998</v>
      </c>
      <c r="P45" s="321">
        <f t="shared" ca="1" si="12"/>
        <v>9.3239999999999998</v>
      </c>
      <c r="Q45" s="321">
        <f t="shared" ca="1" si="13"/>
        <v>14.147971199999999</v>
      </c>
      <c r="R45" s="321">
        <f t="shared" ca="1" si="14"/>
        <v>1.3254221577600001</v>
      </c>
      <c r="S45" s="321">
        <f ca="1">$S$10/SUM($AD$32:$AD$46)</f>
        <v>0.27029885057471265</v>
      </c>
      <c r="T45" s="321">
        <f ca="1">$T$10/SUM($AD$32:$AD$46)</f>
        <v>7.1668965517241376E-2</v>
      </c>
      <c r="U45" s="321">
        <f>((M45*AD45)*$U$10)/AD45</f>
        <v>3.9</v>
      </c>
      <c r="V45" s="321">
        <f t="shared" si="23"/>
        <v>1.4367816091954022</v>
      </c>
      <c r="W45" s="321">
        <f t="shared" si="24"/>
        <v>0.25875862068965516</v>
      </c>
      <c r="X45" s="321">
        <f ca="1">N45*$X$10</f>
        <v>0.50615999999999994</v>
      </c>
      <c r="Y45" s="321">
        <f>$Y$10/AD45</f>
        <v>2.3649712643678162</v>
      </c>
      <c r="Z45" s="321">
        <f ca="1">IF($G45="ManTech",(SUM($N45:$Y45)*(VLOOKUP($L45,$L$9:$AB$24,Z$6,FALSE))),(IF(R45=0,((SUM(N45,#REF!))*(VLOOKUP($L45,$L$9:$AB$24,Z$6,FALSE))),(SUM($R45:$R45)*(VLOOKUP($L45,$L$9:$AB$24,Z$6,FALSE))))))</f>
        <v>6.5882820936695277</v>
      </c>
      <c r="AA45" s="321">
        <f t="shared" ca="1" si="25"/>
        <v>76.158314761774363</v>
      </c>
      <c r="AB45" s="321">
        <f t="shared" ca="1" si="20"/>
        <v>6.0926651809419496</v>
      </c>
      <c r="AC45" s="321">
        <f t="shared" ca="1" si="26"/>
        <v>82.25</v>
      </c>
      <c r="AD45" s="214">
        <f>VLOOKUP(D45,InputSheet!B186:O200,12,FALSE)</f>
        <v>3480</v>
      </c>
      <c r="AE45" s="336">
        <f t="shared" ca="1" si="21"/>
        <v>286230</v>
      </c>
      <c r="AF45" s="1036">
        <f t="shared" ca="1" si="27"/>
        <v>987</v>
      </c>
      <c r="AG45" s="323"/>
      <c r="AH45" s="323"/>
      <c r="AI45" s="323">
        <f t="shared" ca="1" si="28"/>
        <v>265030.93537097477</v>
      </c>
      <c r="AJ45" s="323">
        <f t="shared" ca="1" si="29"/>
        <v>286230</v>
      </c>
      <c r="AK45" s="323">
        <f t="shared" ca="1" si="30"/>
        <v>21199.064629025233</v>
      </c>
      <c r="AL45" s="20">
        <f t="shared" ca="1" si="31"/>
        <v>0.08</v>
      </c>
      <c r="AM45" s="323"/>
      <c r="AN45" s="323"/>
      <c r="AO45" s="323"/>
      <c r="AP45" s="323">
        <f t="shared" si="32"/>
        <v>8230.1</v>
      </c>
      <c r="AQ45" s="323"/>
      <c r="AR45" s="323"/>
      <c r="AS45" s="323"/>
      <c r="AT45" s="323"/>
      <c r="AU45" s="60"/>
      <c r="AV45" s="324"/>
      <c r="AW45" s="325"/>
      <c r="AZ45" s="251" t="str">
        <f t="shared" ca="1" si="33"/>
        <v>1</v>
      </c>
      <c r="BA45" s="251" t="str">
        <f t="shared" ca="1" si="34"/>
        <v>1</v>
      </c>
    </row>
    <row r="46" spans="4:53">
      <c r="D46" s="8">
        <f>D45+1</f>
        <v>15</v>
      </c>
      <c r="E46" s="319" t="str">
        <f t="shared" si="9"/>
        <v>Repair/Exchange Specialist</v>
      </c>
      <c r="F46" s="8"/>
      <c r="G46" s="363" t="str">
        <f>+InputSheet!E187</f>
        <v>ManTech</v>
      </c>
      <c r="H46" s="8"/>
      <c r="I46" s="320">
        <f t="shared" si="10"/>
        <v>0</v>
      </c>
      <c r="J46" s="198" t="str">
        <f t="shared" si="22"/>
        <v>ManTech150Govt</v>
      </c>
      <c r="K46" s="198"/>
      <c r="L46" s="363" t="s">
        <v>623</v>
      </c>
      <c r="M46" s="321">
        <f>IF(G46="ManTech",(VLOOKUP($D46,DL,6,FALSE)),(INDEX('Sub Rates'!$F$9:$IK$48,MATCH(($E46&amp;$L46),'Sub Rates'!$E$9:$E$48,0),MATCH(($E$8&amp;$G46),'Sub Rates'!$F$8:$IK$8,0))))</f>
        <v>25</v>
      </c>
      <c r="N46" s="321">
        <f t="shared" ca="1" si="11"/>
        <v>25.62</v>
      </c>
      <c r="O46" s="321">
        <f t="shared" ca="1" si="12"/>
        <v>8.9670000000000005</v>
      </c>
      <c r="P46" s="321">
        <f t="shared" ca="1" si="12"/>
        <v>8.9670000000000005</v>
      </c>
      <c r="Q46" s="321">
        <f t="shared" ca="1" si="13"/>
        <v>13.606269600000001</v>
      </c>
      <c r="R46" s="321">
        <f t="shared" ca="1" si="14"/>
        <v>1.27467401208</v>
      </c>
      <c r="S46" s="321">
        <f ca="1">$S$10/SUM($AD$32:$AD$46)</f>
        <v>0.27029885057471265</v>
      </c>
      <c r="T46" s="321">
        <f ca="1">$T$10/SUM($AD$32:$AD$46)</f>
        <v>7.1668965517241376E-2</v>
      </c>
      <c r="U46" s="321">
        <f>((M46*AD46)*$U$10)/AD46</f>
        <v>3.75</v>
      </c>
      <c r="V46" s="321">
        <f t="shared" si="23"/>
        <v>1.4367816091954022</v>
      </c>
      <c r="W46" s="321">
        <f t="shared" si="24"/>
        <v>0.25875862068965516</v>
      </c>
      <c r="X46" s="321">
        <f ca="1">N46*$X$10</f>
        <v>0.48677999999999999</v>
      </c>
      <c r="Y46" s="321">
        <f>$Y$10/AD46</f>
        <v>2.3649712643678162</v>
      </c>
      <c r="Z46" s="321">
        <f ca="1">IF($G46="ManTech",(SUM($N46:$Y46)*(VLOOKUP($L46,$L$9:$AB$24,Z$6,FALSE))),(IF(R46=0,((SUM(N46,#REF!))*(VLOOKUP($L46,$L$9:$AB$24,Z$6,FALSE))),(SUM($R46:$R46)*(VLOOKUP($L46,$L$9:$AB$24,Z$6,FALSE))))))</f>
        <v>6.3519270167536304</v>
      </c>
      <c r="AA46" s="321">
        <f t="shared" ca="1" si="25"/>
        <v>73.426129939178452</v>
      </c>
      <c r="AB46" s="321">
        <f t="shared" ca="1" si="20"/>
        <v>5.8740903951342762</v>
      </c>
      <c r="AC46" s="321">
        <f t="shared" ca="1" si="26"/>
        <v>79.3</v>
      </c>
      <c r="AD46" s="214">
        <f>VLOOKUP(D46,InputSheet!B187:O201,12,FALSE)</f>
        <v>3480</v>
      </c>
      <c r="AE46" s="336">
        <f t="shared" ca="1" si="21"/>
        <v>275964</v>
      </c>
      <c r="AF46" s="1036">
        <f t="shared" ca="1" si="27"/>
        <v>951.59999999999991</v>
      </c>
      <c r="AG46" s="323"/>
      <c r="AH46" s="323"/>
      <c r="AI46" s="323">
        <f t="shared" ca="1" si="28"/>
        <v>255522.93218834102</v>
      </c>
      <c r="AJ46" s="323">
        <f t="shared" ca="1" si="29"/>
        <v>275964</v>
      </c>
      <c r="AK46" s="323">
        <f t="shared" ca="1" si="30"/>
        <v>20441.067811658984</v>
      </c>
      <c r="AL46" s="20">
        <f t="shared" ca="1" si="31"/>
        <v>0.08</v>
      </c>
      <c r="AM46" s="323"/>
      <c r="AN46" s="323"/>
      <c r="AO46" s="323"/>
      <c r="AP46" s="323">
        <f t="shared" si="32"/>
        <v>8230.1</v>
      </c>
      <c r="AQ46" s="323"/>
      <c r="AR46" s="323"/>
      <c r="AS46" s="323"/>
      <c r="AT46" s="323"/>
      <c r="AU46" s="60"/>
      <c r="AV46" s="324"/>
      <c r="AW46" s="325"/>
      <c r="AZ46" s="251" t="str">
        <f t="shared" ca="1" si="33"/>
        <v>1</v>
      </c>
      <c r="BA46" s="251" t="str">
        <f t="shared" ca="1" si="34"/>
        <v>1</v>
      </c>
    </row>
    <row r="47" spans="4:53">
      <c r="E47" s="319"/>
      <c r="F47" s="8"/>
      <c r="G47" s="363"/>
      <c r="H47" s="8"/>
      <c r="I47" s="320"/>
      <c r="J47" s="198"/>
      <c r="K47" s="198"/>
      <c r="L47" s="363"/>
      <c r="M47" s="321"/>
      <c r="N47" s="321"/>
      <c r="O47" s="321"/>
      <c r="P47" s="321"/>
      <c r="Q47" s="321"/>
      <c r="R47" s="321"/>
      <c r="S47" s="321"/>
      <c r="T47" s="321"/>
      <c r="U47" s="321"/>
      <c r="V47" s="321"/>
      <c r="W47" s="321"/>
      <c r="X47" s="321"/>
      <c r="Y47" s="321"/>
      <c r="Z47" s="321"/>
      <c r="AA47" s="321"/>
      <c r="AB47" s="321"/>
      <c r="AC47" s="321"/>
      <c r="AD47" s="214"/>
      <c r="AE47" s="336"/>
      <c r="AF47" s="1036"/>
      <c r="AG47" s="323"/>
      <c r="AH47" s="323"/>
      <c r="AI47" s="323"/>
      <c r="AJ47" s="323"/>
      <c r="AK47" s="323"/>
      <c r="AL47" s="20"/>
      <c r="AM47" s="323"/>
      <c r="AN47" s="323"/>
      <c r="AO47" s="323"/>
      <c r="AP47" s="323"/>
      <c r="AQ47" s="323"/>
      <c r="AR47" s="323"/>
      <c r="AS47" s="323"/>
      <c r="AT47" s="323"/>
      <c r="AU47" s="60"/>
      <c r="AV47" s="324"/>
      <c r="AW47" s="325"/>
    </row>
    <row r="48" spans="4:53">
      <c r="D48" s="8">
        <v>16</v>
      </c>
      <c r="E48" s="319" t="str">
        <f t="shared" si="9"/>
        <v>PMO Cost</v>
      </c>
      <c r="F48" s="8"/>
      <c r="G48" s="363" t="s">
        <v>643</v>
      </c>
      <c r="H48" s="8"/>
      <c r="I48" s="320" t="str">
        <f t="shared" si="10"/>
        <v>Martin,Lindy E</v>
      </c>
      <c r="J48" s="198" t="str">
        <f>G48&amp;D48&amp;I48&amp;L48</f>
        <v>ManTech16Martin,Lindy EGovt</v>
      </c>
      <c r="K48" s="198"/>
      <c r="L48" s="363" t="s">
        <v>623</v>
      </c>
      <c r="M48" s="321">
        <f>IF(G48="ManTech",(VLOOKUP($D48,DL,6,FALSE)),(INDEX('Sub Rates'!$F$9:$IK$48,MATCH(($E48&amp;$L48),'Sub Rates'!$E$9:$E$48,0),MATCH(($E$8&amp;$G48),'Sub Rates'!$F$8:$IK$8,0))))</f>
        <v>108.5</v>
      </c>
      <c r="N48" s="321">
        <f t="shared" ca="1" si="11"/>
        <v>111.19</v>
      </c>
      <c r="O48" s="321">
        <v>0</v>
      </c>
      <c r="P48" s="321">
        <v>0</v>
      </c>
      <c r="Q48" s="321">
        <f t="shared" ca="1" si="13"/>
        <v>34.735756000000002</v>
      </c>
      <c r="R48" s="321">
        <f ca="1">($N48+$Q48+O48+P48)*(VLOOKUP($L48,$L$9:$AB$24,R$6,FALSE))</f>
        <v>3.2541443588000001</v>
      </c>
      <c r="S48" s="321"/>
      <c r="T48" s="321"/>
      <c r="U48" s="321">
        <v>0</v>
      </c>
      <c r="V48" s="321">
        <v>0</v>
      </c>
      <c r="W48" s="321">
        <v>0</v>
      </c>
      <c r="X48" s="321">
        <v>0</v>
      </c>
      <c r="Y48" s="321">
        <v>0</v>
      </c>
      <c r="Z48" s="321">
        <f ca="1">IF($G48="ManTech",(SUM($N48:$Y48)*(VLOOKUP($L48,$L$9:$AB$24,Z$6,FALSE))),(IF(R48=0,((SUM(N48,#REF!))*(VLOOKUP($L48,$L$9:$AB$24,Z$6,FALSE))),(SUM($R48:$R48)*(VLOOKUP($L48,$L$9:$AB$24,Z$6,FALSE))))))</f>
        <v>14.127336563978362</v>
      </c>
      <c r="AA48" s="321">
        <f ca="1">SUM(N48:Z48)</f>
        <v>163.30723692277837</v>
      </c>
      <c r="AB48" s="321">
        <f ca="1">(AA48*(VLOOKUP($L48,$L$9:$AB$24,AB$6,FALSE)))</f>
        <v>13.06457895382227</v>
      </c>
      <c r="AC48" s="321">
        <f ca="1">ROUND(SUM(AA48:AB48),2)</f>
        <v>176.37</v>
      </c>
      <c r="AD48" s="214">
        <v>80</v>
      </c>
      <c r="AE48" s="336">
        <f t="shared" ca="1" si="21"/>
        <v>14109.6</v>
      </c>
      <c r="AF48" s="1036">
        <f ca="1">AC48*$AF$29</f>
        <v>2116.44</v>
      </c>
      <c r="AG48" s="323"/>
      <c r="AH48" s="323"/>
      <c r="AI48" s="323">
        <f ca="1">AA48*AD48</f>
        <v>13064.578953822271</v>
      </c>
      <c r="AJ48" s="323">
        <f ca="1">AC48*AD48</f>
        <v>14109.6</v>
      </c>
      <c r="AK48" s="323">
        <f ca="1">AJ48-AI48</f>
        <v>1045.0210461777297</v>
      </c>
      <c r="AL48" s="20">
        <f ca="1">IF(AK48=0,0,ROUND(AK48/AI48,2))</f>
        <v>0.08</v>
      </c>
      <c r="AM48" s="323"/>
      <c r="AN48" s="323"/>
      <c r="AO48" s="323"/>
      <c r="AP48" s="323">
        <f>Y48*AD48</f>
        <v>0</v>
      </c>
      <c r="AQ48" s="323"/>
      <c r="AR48" s="323"/>
      <c r="AS48" s="323"/>
      <c r="AT48" s="323"/>
      <c r="AU48" s="60"/>
      <c r="AV48" s="324"/>
      <c r="AW48" s="325"/>
      <c r="AZ48" s="251" t="str">
        <f ca="1">IF((OR((AC48=""),(AC48&gt;0))),"1","0")</f>
        <v>1</v>
      </c>
      <c r="BA48" s="251" t="str">
        <f ca="1">IF((OR((AE48=""),(AE48&gt;0))),"1","0")</f>
        <v>1</v>
      </c>
    </row>
    <row r="49" spans="2:53">
      <c r="D49" s="8">
        <f>D48+1</f>
        <v>17</v>
      </c>
      <c r="E49" s="319" t="str">
        <f t="shared" si="9"/>
        <v>Project Controller Cost</v>
      </c>
      <c r="F49" s="8"/>
      <c r="G49" s="363" t="str">
        <f>+InputSheet!E190</f>
        <v>Yvan</v>
      </c>
      <c r="H49" s="8"/>
      <c r="I49" s="320">
        <f t="shared" si="10"/>
        <v>0</v>
      </c>
      <c r="J49" s="198" t="str">
        <f>G49&amp;D49&amp;I49&amp;L49</f>
        <v>Yvan170Govt_Sub</v>
      </c>
      <c r="K49" s="198"/>
      <c r="L49" s="363" t="s">
        <v>684</v>
      </c>
      <c r="M49" s="321">
        <f>IF(G49="ManTech",(VLOOKUP($D49,DL,6,FALSE)),(INDEX('Sub Rates'!$F$9:$IK$48,MATCH(($E49&amp;$L49),'Sub Rates'!$E$9:$E$48,0),MATCH(($E$8&amp;$G49),'Sub Rates'!$F$8:$IK$8,0))))</f>
        <v>139.63999999999999</v>
      </c>
      <c r="N49" s="321">
        <f t="shared" ca="1" si="11"/>
        <v>139.63999999999999</v>
      </c>
      <c r="O49" s="321">
        <f t="shared" ca="1" si="12"/>
        <v>0</v>
      </c>
      <c r="P49" s="321">
        <f t="shared" ca="1" si="12"/>
        <v>0</v>
      </c>
      <c r="Q49" s="321">
        <f ca="1">($N49+O49+P49)*(VLOOKUP($L49,$L$9:$AB$24,Q$6,FALSE))</f>
        <v>0</v>
      </c>
      <c r="R49" s="321">
        <f ca="1">($N49+$Q49+O49+P49)*(VLOOKUP($L49,$L$9:$AB$24,R$6,FALSE))</f>
        <v>4.2869479999999998</v>
      </c>
      <c r="S49" s="321"/>
      <c r="T49" s="321"/>
      <c r="U49" s="321">
        <v>0</v>
      </c>
      <c r="V49" s="321">
        <v>0</v>
      </c>
      <c r="W49" s="321">
        <v>0</v>
      </c>
      <c r="X49" s="321">
        <v>0</v>
      </c>
      <c r="Y49" s="321">
        <v>0</v>
      </c>
      <c r="Z49" s="321">
        <f ca="1">IF($G49="ManTech",(SUM($N49:$Y49)*(VLOOKUP($L49,$L$9:$AB$24,Z$6,FALSE))),(IF(R49=0,((SUM(N49,#REF!))*(VLOOKUP($L49,$L$9:$AB$24,Z$6,FALSE))),(SUM($R49:$R49)*(VLOOKUP($L49,$L$9:$AB$24,Z$6,FALSE))))))</f>
        <v>0.40597397559999998</v>
      </c>
      <c r="AA49" s="321">
        <f ca="1">SUM(N49:Z49)</f>
        <v>144.33292197559999</v>
      </c>
      <c r="AB49" s="321">
        <f ca="1">(AA49*(VLOOKUP($L49,$L$9:$AB$24,AB$6,FALSE)))</f>
        <v>11.546633758047999</v>
      </c>
      <c r="AC49" s="321">
        <f ca="1">ROUND(SUM(AA49:AB49),2)</f>
        <v>155.88</v>
      </c>
      <c r="AD49" s="214">
        <v>24</v>
      </c>
      <c r="AE49" s="336">
        <f t="shared" ca="1" si="21"/>
        <v>3741.12</v>
      </c>
      <c r="AF49" s="1036">
        <f ca="1">AC49*$AF$29</f>
        <v>1870.56</v>
      </c>
      <c r="AG49" s="323"/>
      <c r="AH49" s="323"/>
      <c r="AI49" s="323">
        <f ca="1">AA49*AD49</f>
        <v>3463.9901274143995</v>
      </c>
      <c r="AJ49" s="323">
        <f ca="1">AC49*AD49</f>
        <v>3741.12</v>
      </c>
      <c r="AK49" s="323">
        <f ca="1">AJ49-AI49</f>
        <v>277.12987258560042</v>
      </c>
      <c r="AL49" s="20">
        <f ca="1">IF(AK49=0,0,ROUND(AK49/AI49,2))</f>
        <v>0.08</v>
      </c>
      <c r="AM49" s="323"/>
      <c r="AN49" s="323"/>
      <c r="AO49" s="323"/>
      <c r="AP49" s="323">
        <f>Y49*AD49</f>
        <v>0</v>
      </c>
      <c r="AQ49" s="323"/>
      <c r="AR49" s="323"/>
      <c r="AS49" s="323"/>
      <c r="AT49" s="323"/>
      <c r="AU49" s="60"/>
      <c r="AV49" s="324"/>
      <c r="AW49" s="325"/>
      <c r="AZ49" s="251" t="str">
        <f ca="1">IF((OR((AC49=""),(AC49&gt;0))),"1","0")</f>
        <v>1</v>
      </c>
      <c r="BA49" s="251" t="str">
        <f ca="1">IF((OR((AE49=""),(AE49&gt;0))),"1","0")</f>
        <v>1</v>
      </c>
    </row>
    <row r="50" spans="2:53">
      <c r="E50" s="326"/>
      <c r="F50" s="327"/>
      <c r="G50" s="327"/>
      <c r="H50" s="327"/>
      <c r="I50" s="328"/>
      <c r="J50" s="329"/>
      <c r="K50" s="329"/>
      <c r="L50" s="364"/>
      <c r="M50" s="330"/>
      <c r="N50" s="330"/>
      <c r="O50" s="330"/>
      <c r="P50" s="330"/>
      <c r="Q50" s="330"/>
      <c r="R50" s="330"/>
      <c r="S50" s="330"/>
      <c r="T50" s="330"/>
      <c r="U50" s="330"/>
      <c r="V50" s="330"/>
      <c r="W50" s="330"/>
      <c r="X50" s="330"/>
      <c r="Y50" s="330"/>
      <c r="Z50" s="330"/>
      <c r="AA50" s="330"/>
      <c r="AB50" s="330"/>
      <c r="AC50" s="330"/>
      <c r="AD50" s="218"/>
      <c r="AE50" s="339"/>
      <c r="AF50" s="1037"/>
      <c r="AG50" s="332"/>
      <c r="AH50" s="332"/>
      <c r="AI50" s="332"/>
      <c r="AJ50" s="332"/>
      <c r="AK50" s="332"/>
      <c r="AL50" s="332"/>
      <c r="AM50" s="332"/>
      <c r="AN50" s="332"/>
      <c r="AO50" s="332"/>
      <c r="AP50" s="332"/>
      <c r="AQ50" s="332"/>
      <c r="AR50" s="332"/>
      <c r="AS50" s="332"/>
      <c r="AT50" s="332"/>
      <c r="AU50" s="332"/>
      <c r="AV50" s="333"/>
      <c r="AW50" s="325"/>
      <c r="AZ50" s="251" t="str">
        <f t="shared" si="33"/>
        <v>1</v>
      </c>
      <c r="BA50" s="251" t="str">
        <f t="shared" si="34"/>
        <v>1</v>
      </c>
    </row>
    <row r="51" spans="2:53">
      <c r="E51" s="248"/>
      <c r="F51" s="8"/>
      <c r="G51" s="8"/>
      <c r="H51" s="8"/>
      <c r="I51" s="8"/>
      <c r="J51" s="8"/>
      <c r="K51" s="8"/>
      <c r="L51" s="8"/>
      <c r="M51" s="321"/>
      <c r="N51" s="321"/>
      <c r="O51" s="321"/>
      <c r="P51" s="321"/>
      <c r="Q51" s="321"/>
      <c r="R51" s="321"/>
      <c r="S51" s="321"/>
      <c r="T51" s="321"/>
      <c r="U51" s="321"/>
      <c r="V51" s="321"/>
      <c r="W51" s="321"/>
      <c r="X51" s="321"/>
      <c r="Y51" s="321"/>
      <c r="Z51" s="321"/>
      <c r="AA51" s="321"/>
      <c r="AB51" s="321"/>
      <c r="AC51" s="321"/>
      <c r="AD51" s="321"/>
      <c r="AE51" s="321"/>
      <c r="AF51" s="250"/>
      <c r="AG51" s="323"/>
      <c r="AH51" s="323"/>
      <c r="AI51" s="323"/>
      <c r="AJ51" s="323"/>
      <c r="AK51" s="323"/>
      <c r="AL51" s="323"/>
      <c r="AM51" s="323"/>
      <c r="AN51" s="323"/>
      <c r="AO51" s="323"/>
      <c r="AP51" s="323">
        <f>SUM(AP32:AP46)</f>
        <v>90531.10000000002</v>
      </c>
      <c r="AQ51" s="323"/>
      <c r="AR51" s="323"/>
      <c r="AS51" s="323"/>
      <c r="AT51" s="323"/>
      <c r="AU51" s="60"/>
      <c r="AV51" s="324"/>
      <c r="AW51" s="325"/>
      <c r="AZ51" s="251" t="str">
        <f t="shared" si="33"/>
        <v>1</v>
      </c>
      <c r="BA51" s="251" t="str">
        <f t="shared" si="34"/>
        <v>1</v>
      </c>
    </row>
    <row r="52" spans="2:53">
      <c r="E52" s="248"/>
      <c r="F52" s="8"/>
      <c r="G52" s="8"/>
      <c r="H52" s="8"/>
      <c r="I52" s="8"/>
      <c r="J52" s="8"/>
      <c r="K52" s="8"/>
      <c r="L52" s="8"/>
      <c r="M52" s="8"/>
      <c r="N52" s="8"/>
      <c r="O52" s="8"/>
      <c r="P52" s="8"/>
      <c r="Q52" s="8"/>
      <c r="R52" s="8"/>
      <c r="S52" s="8"/>
      <c r="T52" s="8"/>
      <c r="U52" s="8"/>
      <c r="V52" s="8"/>
      <c r="W52" s="8"/>
      <c r="X52" s="8"/>
      <c r="Y52" s="8"/>
      <c r="Z52" s="8"/>
      <c r="AA52" s="8"/>
      <c r="AB52" s="8"/>
      <c r="AC52" s="313" t="s">
        <v>647</v>
      </c>
      <c r="AD52" s="334">
        <f>SUBTOTAL(9,AD$31:AD$51)</f>
        <v>52304</v>
      </c>
      <c r="AE52" s="1028">
        <f ca="1">SUBTOTAL(9,AE$31:AE$51)</f>
        <v>4463585.5199999996</v>
      </c>
      <c r="AF52" s="250"/>
      <c r="AG52" s="323"/>
      <c r="AH52" s="323"/>
      <c r="AI52" s="323"/>
      <c r="AJ52" s="323"/>
      <c r="AK52" s="323"/>
      <c r="AL52" s="323"/>
      <c r="AM52" s="323"/>
      <c r="AN52" s="323"/>
      <c r="AO52" s="323"/>
      <c r="AP52" s="323"/>
      <c r="AQ52" s="323"/>
      <c r="AR52" s="323"/>
      <c r="AS52" s="323"/>
      <c r="AT52" s="323"/>
      <c r="AU52" s="60"/>
      <c r="AV52" s="324"/>
      <c r="AW52" s="325"/>
      <c r="AZ52" s="251" t="str">
        <f t="shared" si="33"/>
        <v>1</v>
      </c>
      <c r="BA52" s="251" t="str">
        <f t="shared" ca="1" si="34"/>
        <v>1</v>
      </c>
    </row>
    <row r="53" spans="2:53" ht="13.5" thickBot="1">
      <c r="B53" s="8" t="s">
        <v>854</v>
      </c>
      <c r="E53" s="248"/>
      <c r="F53" s="8"/>
      <c r="G53" s="8"/>
      <c r="H53" s="8"/>
      <c r="I53" s="8"/>
      <c r="J53" s="8"/>
      <c r="K53" s="8"/>
      <c r="L53" s="8"/>
      <c r="M53" s="8"/>
      <c r="N53" s="8"/>
      <c r="O53" s="8"/>
      <c r="P53" s="8"/>
      <c r="Q53" s="8"/>
      <c r="R53" s="8"/>
      <c r="S53" s="8"/>
      <c r="T53" s="8"/>
      <c r="U53" s="8"/>
      <c r="V53" s="8"/>
      <c r="W53" s="8"/>
      <c r="X53" s="8"/>
      <c r="Y53" s="8"/>
      <c r="Z53" s="8"/>
      <c r="AA53" s="8"/>
      <c r="AB53" s="8"/>
      <c r="AC53" s="313"/>
      <c r="AD53" s="57"/>
      <c r="AE53" s="60"/>
      <c r="AF53" s="250"/>
      <c r="AR53" s="13"/>
      <c r="AS53" s="335"/>
      <c r="AZ53" s="251" t="str">
        <f t="shared" si="33"/>
        <v>1</v>
      </c>
      <c r="BA53" s="251" t="str">
        <f t="shared" si="34"/>
        <v>1</v>
      </c>
    </row>
    <row r="54" spans="2:53" s="317" customFormat="1" ht="16.5" thickBot="1">
      <c r="B54" s="919">
        <v>1.4735</v>
      </c>
      <c r="E54" s="240" t="s">
        <v>737</v>
      </c>
      <c r="F54" s="202"/>
      <c r="G54" s="202"/>
      <c r="H54" s="203"/>
      <c r="I54" s="202"/>
      <c r="J54" s="201"/>
      <c r="K54" s="201"/>
      <c r="L54" s="202"/>
      <c r="M54" s="204"/>
      <c r="N54" s="204"/>
      <c r="O54" s="204"/>
      <c r="P54" s="204"/>
      <c r="Q54" s="204"/>
      <c r="R54" s="204"/>
      <c r="S54" s="204"/>
      <c r="T54" s="204"/>
      <c r="U54" s="204"/>
      <c r="V54" s="204"/>
      <c r="W54" s="204"/>
      <c r="X54" s="204"/>
      <c r="Y54" s="204"/>
      <c r="Z54" s="204"/>
      <c r="AA54" s="204"/>
      <c r="AB54" s="204"/>
      <c r="AC54" s="204"/>
      <c r="AD54" s="204"/>
      <c r="AE54" s="204"/>
      <c r="AF54" s="1038"/>
      <c r="AG54" s="206"/>
      <c r="AH54" s="206"/>
      <c r="AI54" s="206"/>
      <c r="AJ54" s="206"/>
      <c r="AK54" s="206"/>
      <c r="AL54" s="206"/>
      <c r="AM54" s="206"/>
      <c r="AN54" s="206"/>
      <c r="AO54" s="206"/>
      <c r="AP54" s="206"/>
      <c r="AQ54" s="206"/>
      <c r="AR54" s="206"/>
      <c r="AS54" s="206"/>
      <c r="AT54" s="206"/>
      <c r="AU54" s="206"/>
      <c r="AV54" s="206"/>
      <c r="AW54" s="318"/>
      <c r="AZ54" s="251" t="str">
        <f t="shared" si="33"/>
        <v>1</v>
      </c>
      <c r="BA54" s="251" t="str">
        <f t="shared" si="34"/>
        <v>1</v>
      </c>
    </row>
    <row r="55" spans="2:53" ht="15.75">
      <c r="E55" s="1059" t="s">
        <v>941</v>
      </c>
      <c r="F55" s="1060"/>
      <c r="G55" s="1060"/>
      <c r="H55" s="1061"/>
      <c r="I55" s="1060"/>
      <c r="J55" s="1062"/>
      <c r="K55" s="1062"/>
      <c r="L55" s="1060"/>
      <c r="M55" s="1063"/>
      <c r="N55" s="1063"/>
      <c r="O55" s="1063"/>
      <c r="P55" s="1063"/>
      <c r="Q55" s="1063"/>
      <c r="R55" s="1063"/>
      <c r="S55" s="1063"/>
      <c r="T55" s="1063"/>
      <c r="U55" s="1063"/>
      <c r="V55" s="1063"/>
      <c r="W55" s="1063"/>
      <c r="X55" s="1063"/>
      <c r="Y55" s="1063"/>
      <c r="Z55" s="1063"/>
      <c r="AA55" s="1063"/>
      <c r="AB55" s="1063"/>
      <c r="AC55" s="1063"/>
      <c r="AD55" s="1063"/>
      <c r="AE55" s="1063"/>
      <c r="AF55" s="1064"/>
      <c r="AG55" s="337"/>
      <c r="AH55" s="337"/>
      <c r="AI55" s="323"/>
      <c r="AJ55" s="323"/>
      <c r="AK55" s="323"/>
      <c r="AL55" s="20"/>
      <c r="AM55" s="337"/>
      <c r="AN55" s="337"/>
      <c r="AO55" s="337"/>
      <c r="AP55" s="337"/>
      <c r="AQ55" s="337"/>
      <c r="AR55" s="323"/>
      <c r="AS55" s="337"/>
      <c r="AT55" s="323"/>
      <c r="AU55" s="60"/>
      <c r="AV55" s="324"/>
      <c r="AW55" s="325"/>
    </row>
    <row r="56" spans="2:53">
      <c r="E56" s="832" t="s">
        <v>912</v>
      </c>
      <c r="F56" s="8"/>
      <c r="G56" s="8"/>
      <c r="H56" s="8"/>
      <c r="I56" s="8"/>
      <c r="J56" s="8"/>
      <c r="K56" s="8"/>
      <c r="L56" s="363" t="s">
        <v>617</v>
      </c>
      <c r="M56" s="336">
        <f>'[6]Service Quote'!$E$23</f>
        <v>499.95</v>
      </c>
      <c r="N56" s="336">
        <f ca="1">ROUND($M56*(VLOOKUP($L56,$L$9:$AB$24,N$6,FALSE)),2)</f>
        <v>499.95</v>
      </c>
      <c r="O56" s="336">
        <f t="shared" ref="O56:Q59" ca="1" si="36">ROUND($N56*(VLOOKUP($L56,$L$9:$AB$24,O$6,FALSE)),2)</f>
        <v>0</v>
      </c>
      <c r="P56" s="336">
        <f t="shared" ca="1" si="36"/>
        <v>0</v>
      </c>
      <c r="Q56" s="336">
        <f t="shared" ca="1" si="36"/>
        <v>0</v>
      </c>
      <c r="R56" s="336">
        <f ca="1">ROUND(($N56+$Q56)*(VLOOKUP($L56,$L$9:$AB$24,R$6,FALSE)),2)</f>
        <v>0</v>
      </c>
      <c r="S56" s="336"/>
      <c r="T56" s="336"/>
      <c r="U56" s="336">
        <f t="shared" ref="U56:Y59" ca="1" si="37">ROUND($N56*(VLOOKUP($L56,$L$9:$AB$24,U$6,FALSE)),2)</f>
        <v>0</v>
      </c>
      <c r="V56" s="336">
        <f t="shared" ca="1" si="37"/>
        <v>0</v>
      </c>
      <c r="W56" s="336">
        <f t="shared" ca="1" si="37"/>
        <v>0</v>
      </c>
      <c r="X56" s="336">
        <f t="shared" ca="1" si="37"/>
        <v>0</v>
      </c>
      <c r="Y56" s="336">
        <f t="shared" ca="1" si="37"/>
        <v>0</v>
      </c>
      <c r="Z56" s="336">
        <f ca="1">IF($R56=0,ROUND(SUM($N56:$R56)*(VLOOKUP($L56,$L$9:$AB$24,Z$6,FALSE)),2),ROUND(SUM($R56:$R56)*(VLOOKUP($L56,$L$9:$AB$24,Z$6,FALSE)),2))</f>
        <v>47.35</v>
      </c>
      <c r="AA56" s="336">
        <f ca="1">SUM(N56:Z56)</f>
        <v>547.29999999999995</v>
      </c>
      <c r="AB56" s="336">
        <f ca="1">ROUND(AA56*(VLOOKUP($L56,$L$9:$AB$24,AB$6,FALSE)),2)</f>
        <v>43.78</v>
      </c>
      <c r="AC56" s="336">
        <f ca="1">SUM(AA56:AB56)</f>
        <v>591.07999999999993</v>
      </c>
      <c r="AD56" s="214">
        <v>1</v>
      </c>
      <c r="AE56" s="336">
        <f ca="1">$AC56*$AD56</f>
        <v>591.07999999999993</v>
      </c>
      <c r="AF56" s="250"/>
      <c r="AG56" s="337"/>
      <c r="AH56" s="337"/>
      <c r="AI56" s="323">
        <f ca="1">AA56*AD56</f>
        <v>547.29999999999995</v>
      </c>
      <c r="AJ56" s="323">
        <f ca="1">AC56*AD56</f>
        <v>591.07999999999993</v>
      </c>
      <c r="AK56" s="323">
        <f ca="1">AJ56-AI56</f>
        <v>43.779999999999973</v>
      </c>
      <c r="AL56" s="20">
        <f ca="1">IF(AK56=0,0,ROUND(AK56/AI56,2))</f>
        <v>0.08</v>
      </c>
      <c r="AM56" s="337"/>
      <c r="AN56" s="337"/>
      <c r="AO56" s="337"/>
      <c r="AP56" s="337"/>
      <c r="AQ56" s="337"/>
      <c r="AR56" s="323"/>
      <c r="AS56" s="337"/>
      <c r="AT56" s="323"/>
      <c r="AU56" s="60"/>
      <c r="AV56" s="324"/>
      <c r="AW56" s="325"/>
      <c r="AZ56" s="251" t="str">
        <f ca="1">IF((OR((AC56=""),(AC56&gt;0))),"1","0")</f>
        <v>1</v>
      </c>
      <c r="BA56" s="251" t="str">
        <f ca="1">IF((OR((AE56=""),(AE56&gt;0))),"1","0")</f>
        <v>1</v>
      </c>
    </row>
    <row r="57" spans="2:53">
      <c r="E57" s="832" t="s">
        <v>913</v>
      </c>
      <c r="F57" s="8"/>
      <c r="G57" s="8"/>
      <c r="H57" s="8"/>
      <c r="I57" s="8"/>
      <c r="J57" s="8"/>
      <c r="K57" s="8"/>
      <c r="L57" s="363" t="s">
        <v>617</v>
      </c>
      <c r="M57" s="336">
        <f>'[6]Service Quote'!$E$26</f>
        <v>359</v>
      </c>
      <c r="N57" s="336">
        <f ca="1">ROUND($M57*(VLOOKUP($L57,$L$9:$AB$24,N$6,FALSE)),2)</f>
        <v>359</v>
      </c>
      <c r="O57" s="336">
        <f t="shared" ca="1" si="36"/>
        <v>0</v>
      </c>
      <c r="P57" s="336">
        <f t="shared" ca="1" si="36"/>
        <v>0</v>
      </c>
      <c r="Q57" s="336">
        <f t="shared" ca="1" si="36"/>
        <v>0</v>
      </c>
      <c r="R57" s="336">
        <f ca="1">ROUND(($N57+$Q57)*(VLOOKUP($L57,$L$9:$AB$24,R$6,FALSE)),2)</f>
        <v>0</v>
      </c>
      <c r="S57" s="336"/>
      <c r="T57" s="336"/>
      <c r="U57" s="336">
        <f t="shared" ca="1" si="37"/>
        <v>0</v>
      </c>
      <c r="V57" s="336">
        <f t="shared" ca="1" si="37"/>
        <v>0</v>
      </c>
      <c r="W57" s="336">
        <f t="shared" ca="1" si="37"/>
        <v>0</v>
      </c>
      <c r="X57" s="336">
        <f t="shared" ca="1" si="37"/>
        <v>0</v>
      </c>
      <c r="Y57" s="336">
        <f t="shared" ca="1" si="37"/>
        <v>0</v>
      </c>
      <c r="Z57" s="336">
        <f ca="1">IF($R57=0,ROUND(SUM($N57:$R57)*(VLOOKUP($L57,$L$9:$AB$24,Z$6,FALSE)),2),ROUND(SUM($R57:$R57)*(VLOOKUP($L57,$L$9:$AB$24,Z$6,FALSE)),2))</f>
        <v>34</v>
      </c>
      <c r="AA57" s="336">
        <f ca="1">SUM(N57:Z57)</f>
        <v>393</v>
      </c>
      <c r="AB57" s="336">
        <f ca="1">ROUND(AA57*(VLOOKUP($L57,$L$9:$AB$24,AB$6,FALSE)),2)</f>
        <v>31.44</v>
      </c>
      <c r="AC57" s="336">
        <f ca="1">SUM(AA57:AB57)</f>
        <v>424.44</v>
      </c>
      <c r="AD57" s="214">
        <v>1</v>
      </c>
      <c r="AE57" s="336">
        <f ca="1">$AC57*$AD57</f>
        <v>424.44</v>
      </c>
      <c r="AF57" s="250"/>
      <c r="AG57" s="337"/>
      <c r="AH57" s="337"/>
      <c r="AI57" s="323">
        <f ca="1">AA57*AD57</f>
        <v>393</v>
      </c>
      <c r="AJ57" s="323">
        <f ca="1">AC57*AD57</f>
        <v>424.44</v>
      </c>
      <c r="AK57" s="323">
        <f ca="1">AJ57-AI57</f>
        <v>31.439999999999998</v>
      </c>
      <c r="AL57" s="20">
        <f ca="1">IF(AK57=0,0,ROUND(AK57/AI57,2))</f>
        <v>0.08</v>
      </c>
      <c r="AM57" s="337"/>
      <c r="AN57" s="337"/>
      <c r="AO57" s="337"/>
      <c r="AP57" s="337"/>
      <c r="AQ57" s="337"/>
      <c r="AR57" s="323"/>
      <c r="AS57" s="337"/>
      <c r="AT57" s="323"/>
      <c r="AU57" s="60"/>
      <c r="AV57" s="324"/>
      <c r="AW57" s="325"/>
      <c r="AZ57" s="251" t="str">
        <f ca="1">IF((OR((AC57=""),(AC57&gt;0))),"1","0")</f>
        <v>1</v>
      </c>
      <c r="BA57" s="251" t="str">
        <f ca="1">IF((OR((AE57=""),(AE57&gt;0))),"1","0")</f>
        <v>1</v>
      </c>
    </row>
    <row r="58" spans="2:53">
      <c r="E58" s="832" t="s">
        <v>914</v>
      </c>
      <c r="F58" s="8"/>
      <c r="G58" s="8"/>
      <c r="H58" s="8"/>
      <c r="I58" s="8"/>
      <c r="J58" s="8"/>
      <c r="K58" s="8"/>
      <c r="L58" s="363" t="s">
        <v>617</v>
      </c>
      <c r="M58" s="336">
        <f>'[6]Service Quote'!$E$29</f>
        <v>199.95</v>
      </c>
      <c r="N58" s="336">
        <f ca="1">ROUND($M58*(VLOOKUP($L58,$L$9:$AB$24,N$6,FALSE)),2)</f>
        <v>199.95</v>
      </c>
      <c r="O58" s="336">
        <f t="shared" ca="1" si="36"/>
        <v>0</v>
      </c>
      <c r="P58" s="336">
        <f t="shared" ca="1" si="36"/>
        <v>0</v>
      </c>
      <c r="Q58" s="336">
        <f t="shared" ca="1" si="36"/>
        <v>0</v>
      </c>
      <c r="R58" s="336">
        <f ca="1">ROUND(($N58+$Q58)*(VLOOKUP($L58,$L$9:$AB$24,R$6,FALSE)),2)</f>
        <v>0</v>
      </c>
      <c r="S58" s="336"/>
      <c r="T58" s="336"/>
      <c r="U58" s="336">
        <f t="shared" ca="1" si="37"/>
        <v>0</v>
      </c>
      <c r="V58" s="336">
        <f t="shared" ca="1" si="37"/>
        <v>0</v>
      </c>
      <c r="W58" s="336">
        <f t="shared" ca="1" si="37"/>
        <v>0</v>
      </c>
      <c r="X58" s="336">
        <f t="shared" ca="1" si="37"/>
        <v>0</v>
      </c>
      <c r="Y58" s="336">
        <f t="shared" ca="1" si="37"/>
        <v>0</v>
      </c>
      <c r="Z58" s="336">
        <f ca="1">IF($R58=0,ROUND(SUM($N58:$R58)*(VLOOKUP($L58,$L$9:$AB$24,Z$6,FALSE)),2),ROUND(SUM($R58:$R58)*(VLOOKUP($L58,$L$9:$AB$24,Z$6,FALSE)),2))</f>
        <v>18.940000000000001</v>
      </c>
      <c r="AA58" s="336">
        <f ca="1">SUM(N58:Z58)</f>
        <v>218.89</v>
      </c>
      <c r="AB58" s="336">
        <f ca="1">ROUND(AA58*(VLOOKUP($L58,$L$9:$AB$24,AB$6,FALSE)),2)</f>
        <v>17.510000000000002</v>
      </c>
      <c r="AC58" s="336">
        <f ca="1">SUM(AA58:AB58)</f>
        <v>236.39999999999998</v>
      </c>
      <c r="AD58" s="214">
        <v>1</v>
      </c>
      <c r="AE58" s="336">
        <f ca="1">$AC58*$AD58</f>
        <v>236.39999999999998</v>
      </c>
      <c r="AF58" s="250"/>
      <c r="AG58" s="337"/>
      <c r="AH58" s="337"/>
      <c r="AI58" s="323">
        <f ca="1">AA58*AD58</f>
        <v>218.89</v>
      </c>
      <c r="AJ58" s="323">
        <f ca="1">AC58*AD58</f>
        <v>236.39999999999998</v>
      </c>
      <c r="AK58" s="323">
        <f ca="1">AJ58-AI58</f>
        <v>17.509999999999991</v>
      </c>
      <c r="AL58" s="20">
        <f ca="1">IF(AK58=0,0,ROUND(AK58/AI58,2))</f>
        <v>0.08</v>
      </c>
      <c r="AM58" s="337"/>
      <c r="AN58" s="337"/>
      <c r="AO58" s="337"/>
      <c r="AP58" s="337"/>
      <c r="AQ58" s="337"/>
      <c r="AR58" s="323"/>
      <c r="AS58" s="337"/>
      <c r="AT58" s="323"/>
      <c r="AU58" s="60"/>
      <c r="AV58" s="324"/>
      <c r="AW58" s="325"/>
    </row>
    <row r="59" spans="2:53">
      <c r="E59" s="832" t="s">
        <v>999</v>
      </c>
      <c r="F59" s="8"/>
      <c r="G59" s="8"/>
      <c r="H59" s="8"/>
      <c r="I59" s="8"/>
      <c r="J59" s="8"/>
      <c r="K59" s="8"/>
      <c r="L59" s="363" t="s">
        <v>617</v>
      </c>
      <c r="M59" s="1164">
        <v>300</v>
      </c>
      <c r="N59" s="336">
        <f ca="1">ROUND($M59*(VLOOKUP($L59,$L$9:$AB$24,N$6,FALSE)),2)</f>
        <v>300</v>
      </c>
      <c r="O59" s="336">
        <f t="shared" ca="1" si="36"/>
        <v>0</v>
      </c>
      <c r="P59" s="336">
        <f t="shared" ca="1" si="36"/>
        <v>0</v>
      </c>
      <c r="Q59" s="336">
        <f t="shared" ca="1" si="36"/>
        <v>0</v>
      </c>
      <c r="R59" s="336">
        <f ca="1">ROUND(($N59+$Q59)*(VLOOKUP($L59,$L$9:$AB$24,R$6,FALSE)),2)</f>
        <v>0</v>
      </c>
      <c r="S59" s="336"/>
      <c r="T59" s="336"/>
      <c r="U59" s="336">
        <f t="shared" ca="1" si="37"/>
        <v>0</v>
      </c>
      <c r="V59" s="336">
        <f t="shared" ca="1" si="37"/>
        <v>0</v>
      </c>
      <c r="W59" s="336">
        <f t="shared" ca="1" si="37"/>
        <v>0</v>
      </c>
      <c r="X59" s="336">
        <f t="shared" ca="1" si="37"/>
        <v>0</v>
      </c>
      <c r="Y59" s="336">
        <f t="shared" ca="1" si="37"/>
        <v>0</v>
      </c>
      <c r="Z59" s="336">
        <f ca="1">IF($R59=0,ROUND(SUM($N59:$R59)*(VLOOKUP($L59,$L$9:$AB$24,Z$6,FALSE)),2),ROUND(SUM($R59:$R59)*(VLOOKUP($L59,$L$9:$AB$24,Z$6,FALSE)),2))</f>
        <v>28.41</v>
      </c>
      <c r="AA59" s="336">
        <f ca="1">SUM(N59:Z59)</f>
        <v>328.41</v>
      </c>
      <c r="AB59" s="336">
        <f ca="1">ROUND(AA59*(VLOOKUP($L59,$L$9:$AB$24,AB$6,FALSE)),2)</f>
        <v>26.27</v>
      </c>
      <c r="AC59" s="336">
        <f ca="1">SUM(AA59:AB59)</f>
        <v>354.68</v>
      </c>
      <c r="AD59" s="214">
        <v>1</v>
      </c>
      <c r="AE59" s="336">
        <f ca="1">$AC59*$AD59</f>
        <v>354.68</v>
      </c>
      <c r="AF59" s="250"/>
      <c r="AG59" s="337"/>
      <c r="AH59" s="337"/>
      <c r="AI59" s="323"/>
      <c r="AJ59" s="323"/>
      <c r="AK59" s="323"/>
      <c r="AL59" s="20"/>
      <c r="AM59" s="337"/>
      <c r="AN59" s="337"/>
      <c r="AO59" s="337"/>
      <c r="AP59" s="337"/>
      <c r="AQ59" s="337"/>
      <c r="AR59" s="323"/>
      <c r="AS59" s="337"/>
      <c r="AT59" s="323"/>
      <c r="AU59" s="60"/>
      <c r="AV59" s="324"/>
      <c r="AW59" s="325"/>
    </row>
    <row r="60" spans="2:53">
      <c r="E60" s="832"/>
      <c r="F60" s="8"/>
      <c r="G60" s="8"/>
      <c r="H60" s="8"/>
      <c r="I60" s="8"/>
      <c r="J60" s="8"/>
      <c r="K60" s="8"/>
      <c r="L60" s="363"/>
      <c r="M60" s="336"/>
      <c r="N60" s="336"/>
      <c r="O60" s="336"/>
      <c r="P60" s="336"/>
      <c r="Q60" s="336"/>
      <c r="R60" s="336"/>
      <c r="S60" s="336"/>
      <c r="T60" s="336"/>
      <c r="U60" s="336"/>
      <c r="V60" s="336"/>
      <c r="W60" s="336"/>
      <c r="X60" s="336"/>
      <c r="Y60" s="336"/>
      <c r="Z60" s="336"/>
      <c r="AA60" s="336"/>
      <c r="AB60" s="336"/>
      <c r="AC60" s="336" t="s">
        <v>942</v>
      </c>
      <c r="AD60" s="214"/>
      <c r="AE60" s="336">
        <f ca="1">SUBTOTAL(9,AE56:AE59)</f>
        <v>1606.6000000000001</v>
      </c>
      <c r="AF60" s="250"/>
      <c r="AG60" s="337"/>
      <c r="AH60" s="337"/>
      <c r="AI60" s="323"/>
      <c r="AJ60" s="323"/>
      <c r="AK60" s="323"/>
      <c r="AL60" s="20"/>
      <c r="AM60" s="337"/>
      <c r="AN60" s="337"/>
      <c r="AO60" s="337"/>
      <c r="AP60" s="337"/>
      <c r="AQ60" s="337"/>
      <c r="AR60" s="323"/>
      <c r="AS60" s="337"/>
      <c r="AT60" s="323"/>
      <c r="AU60" s="60"/>
      <c r="AV60" s="324"/>
      <c r="AW60" s="325"/>
    </row>
    <row r="61" spans="2:53">
      <c r="E61" s="338"/>
      <c r="F61" s="327"/>
      <c r="G61" s="327"/>
      <c r="H61" s="327"/>
      <c r="I61" s="327"/>
      <c r="J61" s="327"/>
      <c r="K61" s="327"/>
      <c r="L61" s="327"/>
      <c r="M61" s="339"/>
      <c r="N61" s="339"/>
      <c r="O61" s="339"/>
      <c r="P61" s="339"/>
      <c r="Q61" s="339"/>
      <c r="R61" s="339"/>
      <c r="S61" s="339"/>
      <c r="T61" s="339"/>
      <c r="U61" s="339"/>
      <c r="V61" s="339"/>
      <c r="W61" s="339"/>
      <c r="X61" s="339"/>
      <c r="Y61" s="339"/>
      <c r="Z61" s="339"/>
      <c r="AA61" s="339"/>
      <c r="AB61" s="339"/>
      <c r="AC61" s="339"/>
      <c r="AD61" s="331"/>
      <c r="AE61" s="339"/>
      <c r="AF61" s="1037"/>
      <c r="AG61" s="339"/>
      <c r="AH61" s="339"/>
      <c r="AI61" s="339"/>
      <c r="AJ61" s="339"/>
      <c r="AK61" s="339"/>
      <c r="AL61" s="339"/>
      <c r="AM61" s="339"/>
      <c r="AN61" s="339"/>
      <c r="AO61" s="339"/>
      <c r="AP61" s="339"/>
      <c r="AQ61" s="339"/>
      <c r="AR61" s="332"/>
      <c r="AS61" s="339"/>
      <c r="AT61" s="332"/>
      <c r="AU61" s="332"/>
      <c r="AV61" s="333"/>
      <c r="AW61" s="325"/>
      <c r="AZ61" s="251" t="str">
        <f t="shared" si="33"/>
        <v>1</v>
      </c>
      <c r="BA61" s="251" t="str">
        <f t="shared" si="34"/>
        <v>1</v>
      </c>
    </row>
    <row r="62" spans="2:53">
      <c r="E62" s="248"/>
      <c r="F62" s="8"/>
      <c r="G62" s="8"/>
      <c r="H62" s="8"/>
      <c r="I62" s="8"/>
      <c r="J62" s="8"/>
      <c r="K62" s="8"/>
      <c r="L62" s="8"/>
      <c r="M62" s="8"/>
      <c r="N62" s="8"/>
      <c r="O62" s="8"/>
      <c r="P62" s="8"/>
      <c r="Q62" s="8"/>
      <c r="R62" s="8"/>
      <c r="S62" s="8"/>
      <c r="T62" s="8"/>
      <c r="U62" s="8"/>
      <c r="V62" s="8"/>
      <c r="W62" s="8"/>
      <c r="X62" s="8"/>
      <c r="Y62" s="8"/>
      <c r="Z62" s="8"/>
      <c r="AA62" s="8"/>
      <c r="AB62" s="8"/>
      <c r="AC62" s="8"/>
      <c r="AD62" s="8"/>
      <c r="AE62" s="336"/>
      <c r="AF62" s="250"/>
      <c r="AZ62" s="251" t="str">
        <f t="shared" si="33"/>
        <v>1</v>
      </c>
      <c r="BA62" s="251" t="str">
        <f t="shared" si="34"/>
        <v>1</v>
      </c>
    </row>
    <row r="63" spans="2:53">
      <c r="E63" s="248"/>
      <c r="F63" s="8"/>
      <c r="G63" s="8"/>
      <c r="H63" s="8"/>
      <c r="I63" s="8"/>
      <c r="J63" s="8"/>
      <c r="K63" s="8"/>
      <c r="L63" s="8"/>
      <c r="M63" s="8"/>
      <c r="N63" s="8"/>
      <c r="O63" s="8"/>
      <c r="P63" s="8"/>
      <c r="Q63" s="8"/>
      <c r="R63" s="8"/>
      <c r="S63" s="8"/>
      <c r="T63" s="8"/>
      <c r="U63" s="8"/>
      <c r="V63" s="8"/>
      <c r="W63" s="8"/>
      <c r="X63" s="8"/>
      <c r="Y63" s="8"/>
      <c r="Z63" s="8"/>
      <c r="AA63" s="8"/>
      <c r="AB63" s="8"/>
      <c r="AC63" s="313" t="s">
        <v>648</v>
      </c>
      <c r="AD63" s="322"/>
      <c r="AE63" s="1029">
        <f ca="1">SUBTOTAL(9,AE$54:AE$62)</f>
        <v>1606.6000000000001</v>
      </c>
      <c r="AF63" s="250"/>
      <c r="AG63" s="337"/>
      <c r="AH63" s="337"/>
      <c r="AI63" s="337">
        <f ca="1">SUM(AI32:AI58)</f>
        <v>4134049.2598308437</v>
      </c>
      <c r="AJ63" s="337">
        <f ca="1">SUM(AJ32:AJ58)</f>
        <v>4464837.4400000004</v>
      </c>
      <c r="AK63" s="337">
        <f ca="1">SUM(AK32:AK58)</f>
        <v>330788.18016915617</v>
      </c>
      <c r="AL63" s="20">
        <f ca="1">IF(AK63=0,0,ROUND(AK63/AI63,2))</f>
        <v>0.08</v>
      </c>
      <c r="AM63" s="337"/>
      <c r="AN63" s="337"/>
      <c r="AO63" s="337"/>
      <c r="AP63" s="337"/>
      <c r="AQ63" s="337"/>
      <c r="AR63" s="337"/>
      <c r="AS63" s="337"/>
      <c r="AT63" s="337"/>
      <c r="AU63" s="336"/>
      <c r="AV63" s="324"/>
      <c r="AW63" s="325"/>
      <c r="AZ63" s="251" t="str">
        <f t="shared" si="33"/>
        <v>1</v>
      </c>
      <c r="BA63" s="251" t="str">
        <f t="shared" ca="1" si="34"/>
        <v>1</v>
      </c>
    </row>
    <row r="64" spans="2:53">
      <c r="E64" s="248"/>
      <c r="F64" s="8"/>
      <c r="G64" s="8"/>
      <c r="H64" s="8"/>
      <c r="I64" s="8"/>
      <c r="J64" s="8"/>
      <c r="K64" s="8"/>
      <c r="L64" s="8"/>
      <c r="M64" s="8"/>
      <c r="N64" s="8"/>
      <c r="O64" s="8"/>
      <c r="P64" s="8"/>
      <c r="Q64" s="8"/>
      <c r="R64" s="8"/>
      <c r="S64" s="8"/>
      <c r="T64" s="8"/>
      <c r="U64" s="8"/>
      <c r="V64" s="8"/>
      <c r="W64" s="8"/>
      <c r="X64" s="8"/>
      <c r="Y64" s="8"/>
      <c r="Z64" s="8"/>
      <c r="AA64" s="8"/>
      <c r="AB64" s="8"/>
      <c r="AC64" s="8"/>
      <c r="AD64" s="8"/>
      <c r="AE64" s="8"/>
      <c r="AF64" s="250"/>
      <c r="AR64" s="13"/>
      <c r="AS64" s="335"/>
      <c r="AZ64" s="251" t="str">
        <f t="shared" si="33"/>
        <v>1</v>
      </c>
      <c r="BA64" s="251" t="str">
        <f t="shared" si="34"/>
        <v>1</v>
      </c>
    </row>
    <row r="65" spans="5:53">
      <c r="E65" s="340"/>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41"/>
      <c r="AG65" s="307"/>
      <c r="AH65" s="307"/>
      <c r="AI65" s="307"/>
      <c r="AJ65" s="307"/>
      <c r="AK65" s="307"/>
      <c r="AL65" s="307"/>
      <c r="AM65" s="307"/>
      <c r="AN65" s="307"/>
      <c r="AO65" s="307"/>
      <c r="AP65" s="307"/>
      <c r="AQ65" s="307"/>
      <c r="AR65" s="307"/>
      <c r="AS65" s="307"/>
      <c r="AT65" s="307"/>
      <c r="AV65" s="307"/>
      <c r="AZ65" s="251" t="str">
        <f t="shared" si="33"/>
        <v>1</v>
      </c>
      <c r="BA65" s="251" t="str">
        <f t="shared" si="34"/>
        <v>1</v>
      </c>
    </row>
    <row r="66" spans="5:53" ht="13.5" thickBot="1">
      <c r="E66" s="252"/>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342" t="s">
        <v>649</v>
      </c>
      <c r="AD66" s="343">
        <f>AD52</f>
        <v>52304</v>
      </c>
      <c r="AE66" s="1030">
        <f ca="1">SUBTOTAL(9,AE$31:AE$65)</f>
        <v>4465192.12</v>
      </c>
      <c r="AF66" s="258"/>
      <c r="AG66" s="323"/>
      <c r="AH66" s="323"/>
      <c r="AI66" s="323"/>
      <c r="AJ66" s="323"/>
      <c r="AK66" s="323"/>
      <c r="AL66" s="323"/>
      <c r="AM66" s="323"/>
      <c r="AN66" s="323"/>
      <c r="AO66" s="323"/>
      <c r="AP66" s="323"/>
      <c r="AQ66" s="323"/>
      <c r="AR66" s="323"/>
      <c r="AS66" s="323"/>
      <c r="AT66" s="323"/>
      <c r="AU66" s="60"/>
      <c r="AV66" s="324"/>
      <c r="AW66" s="325"/>
      <c r="AZ66" s="251" t="str">
        <f t="shared" si="33"/>
        <v>1</v>
      </c>
      <c r="BA66" s="251" t="str">
        <f t="shared" ca="1" si="34"/>
        <v>1</v>
      </c>
    </row>
    <row r="67" spans="5:53">
      <c r="AR67" s="344"/>
      <c r="AS67" s="345"/>
      <c r="AZ67" s="251" t="str">
        <f t="shared" si="33"/>
        <v>1</v>
      </c>
      <c r="BA67" s="251" t="str">
        <f t="shared" si="34"/>
        <v>1</v>
      </c>
    </row>
    <row r="68" spans="5:53">
      <c r="AZ68" s="251" t="str">
        <f t="shared" si="33"/>
        <v>1</v>
      </c>
      <c r="BA68" s="251" t="str">
        <f t="shared" si="34"/>
        <v>1</v>
      </c>
    </row>
    <row r="69" spans="5:53">
      <c r="O69" s="346"/>
      <c r="P69" s="346"/>
      <c r="R69" s="280" t="s">
        <v>633</v>
      </c>
      <c r="S69" s="1160"/>
      <c r="T69" s="1160"/>
      <c r="U69" s="346"/>
      <c r="V69" s="346"/>
      <c r="W69" s="346"/>
      <c r="X69" s="346"/>
      <c r="Y69" s="346"/>
      <c r="Z69" s="282" t="s">
        <v>61</v>
      </c>
      <c r="AA69" s="281" t="s">
        <v>60</v>
      </c>
      <c r="AB69" s="282" t="s">
        <v>63</v>
      </c>
      <c r="AC69" s="281" t="s">
        <v>59</v>
      </c>
      <c r="AD69" s="282" t="s">
        <v>602</v>
      </c>
      <c r="AE69" s="281" t="s">
        <v>638</v>
      </c>
      <c r="AZ69" s="251" t="str">
        <f t="shared" si="33"/>
        <v>1</v>
      </c>
      <c r="BA69" s="251" t="str">
        <f t="shared" si="34"/>
        <v>1</v>
      </c>
    </row>
    <row r="70" spans="5:53">
      <c r="O70" s="8"/>
      <c r="P70" s="8"/>
      <c r="R70" s="347" t="s">
        <v>643</v>
      </c>
      <c r="S70" s="1161"/>
      <c r="T70" s="1161"/>
      <c r="U70" s="8"/>
      <c r="V70" s="8"/>
      <c r="W70" s="8"/>
      <c r="X70" s="8"/>
      <c r="Y70" s="8"/>
      <c r="Z70" s="348">
        <f>IF(AD70=0,0,(AD70/AD$91))</f>
        <v>0.73340471092077086</v>
      </c>
      <c r="AA70" s="349">
        <f ca="1">IF(AE70=0,0,(AE70/AE$91))</f>
        <v>0.7754746905801414</v>
      </c>
      <c r="AB70" s="350" t="s">
        <v>62</v>
      </c>
      <c r="AC70" s="269" t="s">
        <v>62</v>
      </c>
      <c r="AD70" s="351">
        <f t="shared" ref="AD70:AE90" si="38">SUMIF($G$31:$G$53,$R70,AD$31:AD$64)</f>
        <v>38360</v>
      </c>
      <c r="AE70" s="352">
        <f t="shared" ca="1" si="38"/>
        <v>3461397.6</v>
      </c>
      <c r="AF70" s="6" t="str">
        <f t="shared" ref="AF70:AF90" si="39">R70</f>
        <v>ManTech</v>
      </c>
      <c r="AG70" s="60"/>
      <c r="AH70" s="60"/>
      <c r="AI70" s="60"/>
      <c r="AJ70" s="60"/>
      <c r="AK70" s="60"/>
      <c r="AL70" s="60"/>
      <c r="AM70" s="60"/>
      <c r="AN70" s="60"/>
      <c r="AO70" s="60"/>
      <c r="AP70" s="60"/>
      <c r="AQ70" s="60"/>
      <c r="AR70" s="60"/>
      <c r="AS70" s="60"/>
      <c r="AT70" s="60"/>
      <c r="AU70" s="60"/>
      <c r="AV70" s="324"/>
      <c r="AW70" s="325"/>
      <c r="AZ70" s="251" t="str">
        <f t="shared" si="33"/>
        <v>1</v>
      </c>
      <c r="BA70" s="251" t="str">
        <f t="shared" ca="1" si="34"/>
        <v>1</v>
      </c>
    </row>
    <row r="71" spans="5:53">
      <c r="M71" s="11"/>
      <c r="O71" s="8"/>
      <c r="P71" s="8"/>
      <c r="R71" s="347" t="str">
        <f>InputSheet!C149</f>
        <v>Segovia, Inc.</v>
      </c>
      <c r="S71" s="1161"/>
      <c r="T71" s="1161"/>
      <c r="U71" s="8"/>
      <c r="V71" s="8"/>
      <c r="W71" s="8"/>
      <c r="X71" s="8"/>
      <c r="Y71" s="8"/>
      <c r="Z71" s="348">
        <f t="shared" ref="Z71:Z90" si="40">IF(AD71=0,0,(AD71/AD$91))</f>
        <v>0.26613643315998775</v>
      </c>
      <c r="AA71" s="349">
        <f t="shared" ref="AA71:AA90" ca="1" si="41">IF(AE71=0,0,(AE71/AE$91))</f>
        <v>0.22368716708266406</v>
      </c>
      <c r="AB71" s="348">
        <f>IF(AD71=0,0,(AD71/(AD$91-AD$70)))</f>
        <v>0.99827882960413084</v>
      </c>
      <c r="AC71" s="353">
        <f ca="1">IF(AE71=0,0,(AE71/(AE$91-AE$70)))</f>
        <v>0.99626704740164862</v>
      </c>
      <c r="AD71" s="351">
        <f t="shared" si="38"/>
        <v>13920</v>
      </c>
      <c r="AE71" s="352">
        <f t="shared" ca="1" si="38"/>
        <v>998446.8</v>
      </c>
      <c r="AF71" s="6" t="str">
        <f t="shared" si="39"/>
        <v>Segovia, Inc.</v>
      </c>
      <c r="AG71" s="60"/>
      <c r="AH71" s="60"/>
      <c r="AI71" s="60"/>
      <c r="AJ71" s="60"/>
      <c r="AK71" s="60"/>
      <c r="AL71" s="60"/>
      <c r="AM71" s="60"/>
      <c r="AN71" s="60"/>
      <c r="AO71" s="60"/>
      <c r="AP71" s="60"/>
      <c r="AQ71" s="60"/>
      <c r="AR71" s="60"/>
      <c r="AS71" s="60"/>
      <c r="AT71" s="60"/>
      <c r="AU71" s="60"/>
      <c r="AV71" s="324"/>
      <c r="AW71" s="325"/>
      <c r="AZ71" s="251" t="str">
        <f t="shared" ca="1" si="33"/>
        <v>1</v>
      </c>
      <c r="BA71" s="251" t="str">
        <f t="shared" ca="1" si="34"/>
        <v>1</v>
      </c>
    </row>
    <row r="72" spans="5:53">
      <c r="M72" s="11"/>
      <c r="O72" s="8"/>
      <c r="P72" s="8"/>
      <c r="R72" s="347" t="str">
        <f>InputSheet!C150</f>
        <v>Briggs and Sons</v>
      </c>
      <c r="S72" s="1161"/>
      <c r="T72" s="1161"/>
      <c r="U72" s="8"/>
      <c r="V72" s="8"/>
      <c r="W72" s="8"/>
      <c r="X72" s="8"/>
      <c r="Y72" s="8"/>
      <c r="Z72" s="348">
        <f t="shared" si="40"/>
        <v>0</v>
      </c>
      <c r="AA72" s="349">
        <f t="shared" si="41"/>
        <v>0</v>
      </c>
      <c r="AB72" s="348">
        <f t="shared" ref="AB72:AC90" si="42">IF(AD72=0,0,(AD72/(AD$91-AD$70)))</f>
        <v>0</v>
      </c>
      <c r="AC72" s="353">
        <f t="shared" si="42"/>
        <v>0</v>
      </c>
      <c r="AD72" s="351">
        <f t="shared" si="38"/>
        <v>0</v>
      </c>
      <c r="AE72" s="352">
        <f t="shared" si="38"/>
        <v>0</v>
      </c>
      <c r="AF72" s="6" t="str">
        <f t="shared" si="39"/>
        <v>Briggs and Sons</v>
      </c>
      <c r="AG72" s="60"/>
      <c r="AH72" s="60"/>
      <c r="AI72" s="60"/>
      <c r="AJ72" s="60"/>
      <c r="AK72" s="60"/>
      <c r="AL72" s="60"/>
      <c r="AM72" s="60"/>
      <c r="AN72" s="60"/>
      <c r="AO72" s="60"/>
      <c r="AP72" s="60"/>
      <c r="AQ72" s="60"/>
      <c r="AR72" s="60"/>
      <c r="AS72" s="60"/>
      <c r="AT72" s="60"/>
      <c r="AU72" s="60"/>
      <c r="AV72" s="324"/>
      <c r="AW72" s="325"/>
      <c r="AZ72" s="251" t="str">
        <f t="shared" si="33"/>
        <v>0</v>
      </c>
      <c r="BA72" s="251" t="str">
        <f t="shared" si="34"/>
        <v>0</v>
      </c>
    </row>
    <row r="73" spans="5:53">
      <c r="M73" s="11"/>
      <c r="O73" s="8"/>
      <c r="P73" s="8"/>
      <c r="R73" s="347" t="str">
        <f>InputSheet!C151</f>
        <v>Yvan</v>
      </c>
      <c r="S73" s="1161"/>
      <c r="T73" s="1161"/>
      <c r="U73" s="8"/>
      <c r="V73" s="8"/>
      <c r="W73" s="8"/>
      <c r="X73" s="8"/>
      <c r="Y73" s="8"/>
      <c r="Z73" s="348">
        <f t="shared" si="40"/>
        <v>4.588559192413582E-4</v>
      </c>
      <c r="AA73" s="349">
        <f t="shared" ca="1" si="41"/>
        <v>8.3814233719442651E-4</v>
      </c>
      <c r="AB73" s="348">
        <f t="shared" si="42"/>
        <v>1.7211703958691911E-3</v>
      </c>
      <c r="AC73" s="353">
        <f t="shared" ca="1" si="42"/>
        <v>3.7329525983510145E-3</v>
      </c>
      <c r="AD73" s="351">
        <f t="shared" si="38"/>
        <v>24</v>
      </c>
      <c r="AE73" s="352">
        <f t="shared" ca="1" si="38"/>
        <v>3741.12</v>
      </c>
      <c r="AF73" s="6" t="str">
        <f t="shared" si="39"/>
        <v>Yvan</v>
      </c>
      <c r="AG73" s="60"/>
      <c r="AH73" s="60"/>
      <c r="AI73" s="60"/>
      <c r="AJ73" s="60"/>
      <c r="AK73" s="60"/>
      <c r="AL73" s="60"/>
      <c r="AM73" s="60"/>
      <c r="AN73" s="60"/>
      <c r="AO73" s="60"/>
      <c r="AP73" s="60"/>
      <c r="AQ73" s="60"/>
      <c r="AR73" s="60"/>
      <c r="AS73" s="60"/>
      <c r="AT73" s="60"/>
      <c r="AU73" s="60"/>
      <c r="AV73" s="324"/>
      <c r="AW73" s="325"/>
      <c r="AZ73" s="251" t="str">
        <f t="shared" ca="1" si="33"/>
        <v>1</v>
      </c>
      <c r="BA73" s="251" t="str">
        <f t="shared" ca="1" si="34"/>
        <v>1</v>
      </c>
    </row>
    <row r="74" spans="5:53">
      <c r="O74" s="8"/>
      <c r="P74" s="8"/>
      <c r="R74" s="347" t="str">
        <f>InputSheet!C152</f>
        <v>Sub 4</v>
      </c>
      <c r="S74" s="1161"/>
      <c r="T74" s="1161"/>
      <c r="U74" s="8"/>
      <c r="V74" s="8"/>
      <c r="W74" s="8"/>
      <c r="X74" s="8"/>
      <c r="Y74" s="8"/>
      <c r="Z74" s="348">
        <f t="shared" si="40"/>
        <v>0</v>
      </c>
      <c r="AA74" s="349">
        <f t="shared" si="41"/>
        <v>0</v>
      </c>
      <c r="AB74" s="348">
        <f t="shared" si="42"/>
        <v>0</v>
      </c>
      <c r="AC74" s="353">
        <f t="shared" si="42"/>
        <v>0</v>
      </c>
      <c r="AD74" s="351">
        <f t="shared" si="38"/>
        <v>0</v>
      </c>
      <c r="AE74" s="352">
        <f t="shared" si="38"/>
        <v>0</v>
      </c>
      <c r="AF74" s="6" t="str">
        <f t="shared" si="39"/>
        <v>Sub 4</v>
      </c>
      <c r="AG74" s="60"/>
      <c r="AH74" s="60"/>
      <c r="AI74" s="60"/>
      <c r="AJ74" s="60"/>
      <c r="AK74" s="60"/>
      <c r="AL74" s="60"/>
      <c r="AM74" s="60"/>
      <c r="AN74" s="60"/>
      <c r="AO74" s="60"/>
      <c r="AP74" s="60"/>
      <c r="AQ74" s="60"/>
      <c r="AR74" s="60"/>
      <c r="AS74" s="60"/>
      <c r="AT74" s="60"/>
      <c r="AU74" s="60"/>
      <c r="AV74" s="324"/>
      <c r="AW74" s="325"/>
      <c r="AZ74" s="251" t="str">
        <f t="shared" si="33"/>
        <v>0</v>
      </c>
      <c r="BA74" s="251" t="str">
        <f t="shared" si="34"/>
        <v>0</v>
      </c>
    </row>
    <row r="75" spans="5:53">
      <c r="O75" s="8"/>
      <c r="P75" s="8"/>
      <c r="R75" s="347" t="str">
        <f>InputSheet!C153</f>
        <v>Sub 5</v>
      </c>
      <c r="S75" s="1161"/>
      <c r="T75" s="1161"/>
      <c r="U75" s="8"/>
      <c r="V75" s="8"/>
      <c r="W75" s="8"/>
      <c r="X75" s="8"/>
      <c r="Y75" s="8"/>
      <c r="Z75" s="348">
        <f t="shared" si="40"/>
        <v>0</v>
      </c>
      <c r="AA75" s="349">
        <f t="shared" si="41"/>
        <v>0</v>
      </c>
      <c r="AB75" s="348">
        <f t="shared" si="42"/>
        <v>0</v>
      </c>
      <c r="AC75" s="353">
        <f t="shared" si="42"/>
        <v>0</v>
      </c>
      <c r="AD75" s="351">
        <f t="shared" si="38"/>
        <v>0</v>
      </c>
      <c r="AE75" s="352">
        <f t="shared" si="38"/>
        <v>0</v>
      </c>
      <c r="AF75" s="6" t="str">
        <f t="shared" si="39"/>
        <v>Sub 5</v>
      </c>
      <c r="AG75" s="60"/>
      <c r="AH75" s="60"/>
      <c r="AI75" s="60"/>
      <c r="AJ75" s="60"/>
      <c r="AK75" s="60"/>
      <c r="AL75" s="60"/>
      <c r="AM75" s="60"/>
      <c r="AN75" s="60"/>
      <c r="AO75" s="60"/>
      <c r="AP75" s="60"/>
      <c r="AQ75" s="60"/>
      <c r="AR75" s="60"/>
      <c r="AS75" s="60"/>
      <c r="AT75" s="60"/>
      <c r="AU75" s="60"/>
      <c r="AV75" s="324"/>
      <c r="AW75" s="325"/>
      <c r="AZ75" s="251" t="str">
        <f t="shared" si="33"/>
        <v>0</v>
      </c>
      <c r="BA75" s="251" t="str">
        <f t="shared" si="34"/>
        <v>0</v>
      </c>
    </row>
    <row r="76" spans="5:53">
      <c r="O76" s="8"/>
      <c r="P76" s="8"/>
      <c r="R76" s="347" t="str">
        <f>InputSheet!C154</f>
        <v>Sub 6</v>
      </c>
      <c r="S76" s="1161"/>
      <c r="T76" s="1161"/>
      <c r="U76" s="8"/>
      <c r="V76" s="8"/>
      <c r="W76" s="8"/>
      <c r="X76" s="8"/>
      <c r="Y76" s="8"/>
      <c r="Z76" s="348">
        <f t="shared" si="40"/>
        <v>0</v>
      </c>
      <c r="AA76" s="349">
        <f t="shared" si="41"/>
        <v>0</v>
      </c>
      <c r="AB76" s="348">
        <f t="shared" si="42"/>
        <v>0</v>
      </c>
      <c r="AC76" s="353">
        <f t="shared" si="42"/>
        <v>0</v>
      </c>
      <c r="AD76" s="351">
        <f t="shared" si="38"/>
        <v>0</v>
      </c>
      <c r="AE76" s="352">
        <f t="shared" si="38"/>
        <v>0</v>
      </c>
      <c r="AF76" s="6" t="str">
        <f t="shared" si="39"/>
        <v>Sub 6</v>
      </c>
      <c r="AG76" s="60"/>
      <c r="AH76" s="60"/>
      <c r="AI76" s="60"/>
      <c r="AJ76" s="60"/>
      <c r="AK76" s="60"/>
      <c r="AL76" s="60"/>
      <c r="AM76" s="60"/>
      <c r="AN76" s="60"/>
      <c r="AO76" s="60"/>
      <c r="AP76" s="60"/>
      <c r="AQ76" s="60"/>
      <c r="AR76" s="60"/>
      <c r="AS76" s="60"/>
      <c r="AT76" s="60"/>
      <c r="AU76" s="60"/>
      <c r="AV76" s="324"/>
      <c r="AW76" s="325"/>
      <c r="AZ76" s="251" t="str">
        <f t="shared" si="33"/>
        <v>0</v>
      </c>
      <c r="BA76" s="251" t="str">
        <f t="shared" si="34"/>
        <v>0</v>
      </c>
    </row>
    <row r="77" spans="5:53">
      <c r="O77" s="8"/>
      <c r="P77" s="8"/>
      <c r="R77" s="347" t="str">
        <f>InputSheet!C155</f>
        <v>Sub 7</v>
      </c>
      <c r="S77" s="1161"/>
      <c r="T77" s="1161"/>
      <c r="U77" s="8"/>
      <c r="V77" s="8"/>
      <c r="W77" s="8"/>
      <c r="X77" s="8"/>
      <c r="Y77" s="8"/>
      <c r="Z77" s="348">
        <f t="shared" si="40"/>
        <v>0</v>
      </c>
      <c r="AA77" s="349">
        <f t="shared" si="41"/>
        <v>0</v>
      </c>
      <c r="AB77" s="348">
        <f t="shared" si="42"/>
        <v>0</v>
      </c>
      <c r="AC77" s="353">
        <f t="shared" si="42"/>
        <v>0</v>
      </c>
      <c r="AD77" s="351">
        <f t="shared" si="38"/>
        <v>0</v>
      </c>
      <c r="AE77" s="352">
        <f t="shared" si="38"/>
        <v>0</v>
      </c>
      <c r="AF77" s="6" t="str">
        <f t="shared" si="39"/>
        <v>Sub 7</v>
      </c>
      <c r="AG77" s="60"/>
      <c r="AH77" s="60"/>
      <c r="AI77" s="60"/>
      <c r="AJ77" s="60"/>
      <c r="AK77" s="60"/>
      <c r="AL77" s="60"/>
      <c r="AM77" s="60"/>
      <c r="AN77" s="60"/>
      <c r="AO77" s="60"/>
      <c r="AP77" s="60"/>
      <c r="AQ77" s="60"/>
      <c r="AR77" s="60"/>
      <c r="AS77" s="60"/>
      <c r="AT77" s="60"/>
      <c r="AU77" s="60"/>
      <c r="AV77" s="324"/>
      <c r="AW77" s="325"/>
      <c r="AZ77" s="251" t="str">
        <f t="shared" si="33"/>
        <v>0</v>
      </c>
      <c r="BA77" s="251" t="str">
        <f t="shared" si="34"/>
        <v>0</v>
      </c>
    </row>
    <row r="78" spans="5:53">
      <c r="O78" s="8"/>
      <c r="P78" s="8"/>
      <c r="R78" s="347" t="str">
        <f>InputSheet!C156</f>
        <v>Sub 8</v>
      </c>
      <c r="S78" s="1161"/>
      <c r="T78" s="1161"/>
      <c r="U78" s="8"/>
      <c r="V78" s="8"/>
      <c r="W78" s="8"/>
      <c r="X78" s="8"/>
      <c r="Y78" s="8"/>
      <c r="Z78" s="348">
        <f t="shared" si="40"/>
        <v>0</v>
      </c>
      <c r="AA78" s="349">
        <f t="shared" si="41"/>
        <v>0</v>
      </c>
      <c r="AB78" s="348">
        <f t="shared" si="42"/>
        <v>0</v>
      </c>
      <c r="AC78" s="353">
        <f t="shared" si="42"/>
        <v>0</v>
      </c>
      <c r="AD78" s="351">
        <f t="shared" si="38"/>
        <v>0</v>
      </c>
      <c r="AE78" s="352">
        <f t="shared" si="38"/>
        <v>0</v>
      </c>
      <c r="AF78" s="6" t="str">
        <f t="shared" si="39"/>
        <v>Sub 8</v>
      </c>
      <c r="AG78" s="60"/>
      <c r="AH78" s="60"/>
      <c r="AI78" s="60"/>
      <c r="AJ78" s="60"/>
      <c r="AK78" s="60"/>
      <c r="AL78" s="60"/>
      <c r="AM78" s="60"/>
      <c r="AN78" s="60"/>
      <c r="AO78" s="60"/>
      <c r="AP78" s="60"/>
      <c r="AQ78" s="60"/>
      <c r="AR78" s="60"/>
      <c r="AS78" s="60"/>
      <c r="AT78" s="60"/>
      <c r="AU78" s="60"/>
      <c r="AV78" s="324"/>
      <c r="AW78" s="325"/>
      <c r="AZ78" s="251" t="str">
        <f t="shared" si="33"/>
        <v>0</v>
      </c>
      <c r="BA78" s="251" t="str">
        <f t="shared" si="34"/>
        <v>0</v>
      </c>
    </row>
    <row r="79" spans="5:53">
      <c r="O79" s="8"/>
      <c r="P79" s="8"/>
      <c r="R79" s="347" t="str">
        <f>InputSheet!C157</f>
        <v>Sub 9</v>
      </c>
      <c r="S79" s="1161"/>
      <c r="T79" s="1161"/>
      <c r="U79" s="8"/>
      <c r="V79" s="8"/>
      <c r="W79" s="8"/>
      <c r="X79" s="8"/>
      <c r="Y79" s="8"/>
      <c r="Z79" s="348">
        <f t="shared" si="40"/>
        <v>0</v>
      </c>
      <c r="AA79" s="349">
        <f t="shared" si="41"/>
        <v>0</v>
      </c>
      <c r="AB79" s="348">
        <f t="shared" si="42"/>
        <v>0</v>
      </c>
      <c r="AC79" s="353">
        <f t="shared" si="42"/>
        <v>0</v>
      </c>
      <c r="AD79" s="351">
        <f t="shared" si="38"/>
        <v>0</v>
      </c>
      <c r="AE79" s="352">
        <f t="shared" si="38"/>
        <v>0</v>
      </c>
      <c r="AF79" s="6" t="str">
        <f t="shared" si="39"/>
        <v>Sub 9</v>
      </c>
      <c r="AG79" s="60"/>
      <c r="AH79" s="60"/>
      <c r="AI79" s="60"/>
      <c r="AJ79" s="60"/>
      <c r="AK79" s="60"/>
      <c r="AL79" s="60"/>
      <c r="AM79" s="60"/>
      <c r="AN79" s="60"/>
      <c r="AO79" s="60"/>
      <c r="AP79" s="60"/>
      <c r="AQ79" s="60"/>
      <c r="AR79" s="60"/>
      <c r="AS79" s="60"/>
      <c r="AT79" s="60"/>
      <c r="AU79" s="60"/>
      <c r="AV79" s="324"/>
      <c r="AW79" s="325"/>
      <c r="AZ79" s="251" t="str">
        <f t="shared" si="33"/>
        <v>0</v>
      </c>
      <c r="BA79" s="251" t="str">
        <f t="shared" si="34"/>
        <v>0</v>
      </c>
    </row>
    <row r="80" spans="5:53">
      <c r="O80" s="8"/>
      <c r="P80" s="8"/>
      <c r="R80" s="347" t="str">
        <f>InputSheet!C158</f>
        <v>Sub 10</v>
      </c>
      <c r="S80" s="1161"/>
      <c r="T80" s="1161"/>
      <c r="U80" s="8"/>
      <c r="V80" s="8"/>
      <c r="W80" s="8"/>
      <c r="X80" s="8"/>
      <c r="Y80" s="8"/>
      <c r="Z80" s="348">
        <f t="shared" si="40"/>
        <v>0</v>
      </c>
      <c r="AA80" s="349">
        <f t="shared" si="41"/>
        <v>0</v>
      </c>
      <c r="AB80" s="348">
        <f t="shared" si="42"/>
        <v>0</v>
      </c>
      <c r="AC80" s="353">
        <f t="shared" si="42"/>
        <v>0</v>
      </c>
      <c r="AD80" s="351">
        <f t="shared" si="38"/>
        <v>0</v>
      </c>
      <c r="AE80" s="352">
        <f t="shared" si="38"/>
        <v>0</v>
      </c>
      <c r="AF80" s="6" t="str">
        <f t="shared" si="39"/>
        <v>Sub 10</v>
      </c>
      <c r="AG80" s="60"/>
      <c r="AH80" s="60"/>
      <c r="AI80" s="60"/>
      <c r="AJ80" s="60"/>
      <c r="AK80" s="60"/>
      <c r="AL80" s="60"/>
      <c r="AM80" s="60"/>
      <c r="AN80" s="60"/>
      <c r="AO80" s="60"/>
      <c r="AP80" s="60"/>
      <c r="AQ80" s="60"/>
      <c r="AR80" s="60"/>
      <c r="AS80" s="60"/>
      <c r="AT80" s="60"/>
      <c r="AU80" s="60"/>
      <c r="AV80" s="324"/>
      <c r="AW80" s="325"/>
      <c r="AZ80" s="251" t="str">
        <f t="shared" si="33"/>
        <v>0</v>
      </c>
      <c r="BA80" s="251" t="str">
        <f t="shared" si="34"/>
        <v>0</v>
      </c>
    </row>
    <row r="81" spans="15:53">
      <c r="O81" s="8"/>
      <c r="P81" s="8"/>
      <c r="R81" s="347" t="str">
        <f>InputSheet!C159</f>
        <v>Sub 11</v>
      </c>
      <c r="S81" s="1161"/>
      <c r="T81" s="1161"/>
      <c r="U81" s="8"/>
      <c r="V81" s="8"/>
      <c r="W81" s="8"/>
      <c r="X81" s="8"/>
      <c r="Y81" s="8"/>
      <c r="Z81" s="348">
        <f t="shared" si="40"/>
        <v>0</v>
      </c>
      <c r="AA81" s="349">
        <f t="shared" si="41"/>
        <v>0</v>
      </c>
      <c r="AB81" s="348">
        <f t="shared" si="42"/>
        <v>0</v>
      </c>
      <c r="AC81" s="353">
        <f t="shared" si="42"/>
        <v>0</v>
      </c>
      <c r="AD81" s="351">
        <f t="shared" si="38"/>
        <v>0</v>
      </c>
      <c r="AE81" s="352">
        <f t="shared" si="38"/>
        <v>0</v>
      </c>
      <c r="AF81" s="6" t="str">
        <f t="shared" si="39"/>
        <v>Sub 11</v>
      </c>
      <c r="AG81" s="60"/>
      <c r="AH81" s="60"/>
      <c r="AI81" s="60"/>
      <c r="AJ81" s="60"/>
      <c r="AK81" s="60"/>
      <c r="AL81" s="60"/>
      <c r="AM81" s="60"/>
      <c r="AN81" s="60"/>
      <c r="AO81" s="60"/>
      <c r="AP81" s="60"/>
      <c r="AQ81" s="60"/>
      <c r="AR81" s="60"/>
      <c r="AS81" s="60"/>
      <c r="AT81" s="60"/>
      <c r="AU81" s="60"/>
      <c r="AV81" s="324"/>
      <c r="AW81" s="325"/>
      <c r="AZ81" s="251" t="str">
        <f t="shared" si="33"/>
        <v>0</v>
      </c>
      <c r="BA81" s="251" t="str">
        <f t="shared" si="34"/>
        <v>0</v>
      </c>
    </row>
    <row r="82" spans="15:53">
      <c r="O82" s="8"/>
      <c r="P82" s="8"/>
      <c r="R82" s="347" t="str">
        <f>InputSheet!C160</f>
        <v>Sub 12</v>
      </c>
      <c r="S82" s="1161"/>
      <c r="T82" s="1161"/>
      <c r="U82" s="8"/>
      <c r="V82" s="8"/>
      <c r="W82" s="8"/>
      <c r="X82" s="8"/>
      <c r="Y82" s="8"/>
      <c r="Z82" s="348">
        <f t="shared" si="40"/>
        <v>0</v>
      </c>
      <c r="AA82" s="349">
        <f t="shared" si="41"/>
        <v>0</v>
      </c>
      <c r="AB82" s="348">
        <f t="shared" si="42"/>
        <v>0</v>
      </c>
      <c r="AC82" s="353">
        <f t="shared" si="42"/>
        <v>0</v>
      </c>
      <c r="AD82" s="351">
        <f t="shared" si="38"/>
        <v>0</v>
      </c>
      <c r="AE82" s="352">
        <f t="shared" si="38"/>
        <v>0</v>
      </c>
      <c r="AF82" s="6" t="str">
        <f t="shared" si="39"/>
        <v>Sub 12</v>
      </c>
      <c r="AG82" s="60"/>
      <c r="AH82" s="60"/>
      <c r="AI82" s="60"/>
      <c r="AJ82" s="60"/>
      <c r="AK82" s="60"/>
      <c r="AL82" s="60"/>
      <c r="AM82" s="60"/>
      <c r="AN82" s="60"/>
      <c r="AO82" s="60"/>
      <c r="AP82" s="60"/>
      <c r="AQ82" s="60"/>
      <c r="AR82" s="60"/>
      <c r="AS82" s="60"/>
      <c r="AT82" s="60"/>
      <c r="AU82" s="60"/>
      <c r="AV82" s="324"/>
      <c r="AW82" s="325"/>
      <c r="AZ82" s="251" t="str">
        <f t="shared" si="33"/>
        <v>0</v>
      </c>
      <c r="BA82" s="251" t="str">
        <f t="shared" si="34"/>
        <v>0</v>
      </c>
    </row>
    <row r="83" spans="15:53">
      <c r="O83" s="8"/>
      <c r="P83" s="8"/>
      <c r="R83" s="347" t="str">
        <f>InputSheet!C161</f>
        <v>Sub 13</v>
      </c>
      <c r="S83" s="1161"/>
      <c r="T83" s="1161"/>
      <c r="U83" s="8"/>
      <c r="V83" s="8"/>
      <c r="W83" s="8"/>
      <c r="X83" s="8"/>
      <c r="Y83" s="8"/>
      <c r="Z83" s="348">
        <f t="shared" si="40"/>
        <v>0</v>
      </c>
      <c r="AA83" s="349">
        <f t="shared" si="41"/>
        <v>0</v>
      </c>
      <c r="AB83" s="348">
        <f t="shared" si="42"/>
        <v>0</v>
      </c>
      <c r="AC83" s="353">
        <f t="shared" si="42"/>
        <v>0</v>
      </c>
      <c r="AD83" s="351">
        <f t="shared" si="38"/>
        <v>0</v>
      </c>
      <c r="AE83" s="352">
        <f t="shared" si="38"/>
        <v>0</v>
      </c>
      <c r="AF83" s="6" t="str">
        <f t="shared" si="39"/>
        <v>Sub 13</v>
      </c>
      <c r="AG83" s="60"/>
      <c r="AH83" s="60"/>
      <c r="AI83" s="60"/>
      <c r="AJ83" s="60"/>
      <c r="AK83" s="60"/>
      <c r="AL83" s="60"/>
      <c r="AM83" s="60"/>
      <c r="AN83" s="60"/>
      <c r="AO83" s="60"/>
      <c r="AP83" s="60"/>
      <c r="AQ83" s="60"/>
      <c r="AR83" s="60"/>
      <c r="AS83" s="60"/>
      <c r="AT83" s="60"/>
      <c r="AU83" s="60"/>
      <c r="AV83" s="324"/>
      <c r="AW83" s="325"/>
      <c r="AZ83" s="251" t="str">
        <f t="shared" si="33"/>
        <v>0</v>
      </c>
      <c r="BA83" s="251" t="str">
        <f t="shared" si="34"/>
        <v>0</v>
      </c>
    </row>
    <row r="84" spans="15:53">
      <c r="O84" s="8"/>
      <c r="P84" s="8"/>
      <c r="R84" s="347" t="str">
        <f>InputSheet!C162</f>
        <v>Sub 14</v>
      </c>
      <c r="S84" s="1161"/>
      <c r="T84" s="1161"/>
      <c r="U84" s="8"/>
      <c r="V84" s="8"/>
      <c r="W84" s="8"/>
      <c r="X84" s="8"/>
      <c r="Y84" s="8"/>
      <c r="Z84" s="348">
        <f t="shared" si="40"/>
        <v>0</v>
      </c>
      <c r="AA84" s="349">
        <f t="shared" si="41"/>
        <v>0</v>
      </c>
      <c r="AB84" s="348">
        <f t="shared" si="42"/>
        <v>0</v>
      </c>
      <c r="AC84" s="353">
        <f t="shared" si="42"/>
        <v>0</v>
      </c>
      <c r="AD84" s="351">
        <f t="shared" si="38"/>
        <v>0</v>
      </c>
      <c r="AE84" s="352">
        <f t="shared" si="38"/>
        <v>0</v>
      </c>
      <c r="AF84" s="6" t="str">
        <f t="shared" si="39"/>
        <v>Sub 14</v>
      </c>
      <c r="AG84" s="60"/>
      <c r="AH84" s="60"/>
      <c r="AI84" s="60"/>
      <c r="AJ84" s="60"/>
      <c r="AK84" s="60"/>
      <c r="AL84" s="60"/>
      <c r="AM84" s="60"/>
      <c r="AN84" s="60"/>
      <c r="AO84" s="60"/>
      <c r="AP84" s="60"/>
      <c r="AQ84" s="60"/>
      <c r="AR84" s="60"/>
      <c r="AS84" s="60"/>
      <c r="AT84" s="60"/>
      <c r="AU84" s="60"/>
      <c r="AV84" s="324"/>
      <c r="AW84" s="325"/>
      <c r="AZ84" s="251" t="str">
        <f t="shared" si="33"/>
        <v>0</v>
      </c>
      <c r="BA84" s="251" t="str">
        <f t="shared" si="34"/>
        <v>0</v>
      </c>
    </row>
    <row r="85" spans="15:53">
      <c r="O85" s="8"/>
      <c r="P85" s="8"/>
      <c r="R85" s="347" t="str">
        <f>InputSheet!C163</f>
        <v>Sub 15</v>
      </c>
      <c r="S85" s="1161"/>
      <c r="T85" s="1161"/>
      <c r="U85" s="8"/>
      <c r="V85" s="8"/>
      <c r="W85" s="8"/>
      <c r="X85" s="8"/>
      <c r="Y85" s="8"/>
      <c r="Z85" s="348">
        <f t="shared" si="40"/>
        <v>0</v>
      </c>
      <c r="AA85" s="349">
        <f t="shared" si="41"/>
        <v>0</v>
      </c>
      <c r="AB85" s="348">
        <f t="shared" si="42"/>
        <v>0</v>
      </c>
      <c r="AC85" s="353">
        <f t="shared" si="42"/>
        <v>0</v>
      </c>
      <c r="AD85" s="351">
        <f t="shared" si="38"/>
        <v>0</v>
      </c>
      <c r="AE85" s="352">
        <f t="shared" si="38"/>
        <v>0</v>
      </c>
      <c r="AF85" s="6" t="str">
        <f t="shared" si="39"/>
        <v>Sub 15</v>
      </c>
      <c r="AG85" s="60"/>
      <c r="AH85" s="60"/>
      <c r="AI85" s="60"/>
      <c r="AJ85" s="60"/>
      <c r="AK85" s="60"/>
      <c r="AL85" s="60"/>
      <c r="AM85" s="60"/>
      <c r="AN85" s="60"/>
      <c r="AO85" s="60"/>
      <c r="AP85" s="60"/>
      <c r="AQ85" s="60"/>
      <c r="AR85" s="60"/>
      <c r="AS85" s="60"/>
      <c r="AT85" s="60"/>
      <c r="AU85" s="60"/>
      <c r="AV85" s="324"/>
      <c r="AW85" s="325"/>
      <c r="AZ85" s="251" t="str">
        <f t="shared" si="33"/>
        <v>0</v>
      </c>
      <c r="BA85" s="251" t="str">
        <f t="shared" si="34"/>
        <v>0</v>
      </c>
    </row>
    <row r="86" spans="15:53">
      <c r="O86" s="8"/>
      <c r="P86" s="8"/>
      <c r="R86" s="347" t="str">
        <f>InputSheet!C164</f>
        <v>Sub 16</v>
      </c>
      <c r="S86" s="1161"/>
      <c r="T86" s="1161"/>
      <c r="U86" s="8"/>
      <c r="V86" s="8"/>
      <c r="W86" s="8"/>
      <c r="X86" s="8"/>
      <c r="Y86" s="8"/>
      <c r="Z86" s="348">
        <f t="shared" si="40"/>
        <v>0</v>
      </c>
      <c r="AA86" s="349">
        <f t="shared" si="41"/>
        <v>0</v>
      </c>
      <c r="AB86" s="348">
        <f t="shared" si="42"/>
        <v>0</v>
      </c>
      <c r="AC86" s="353">
        <f t="shared" si="42"/>
        <v>0</v>
      </c>
      <c r="AD86" s="351">
        <f t="shared" si="38"/>
        <v>0</v>
      </c>
      <c r="AE86" s="352">
        <f t="shared" si="38"/>
        <v>0</v>
      </c>
      <c r="AF86" s="6" t="str">
        <f t="shared" si="39"/>
        <v>Sub 16</v>
      </c>
      <c r="AG86" s="60"/>
      <c r="AH86" s="60"/>
      <c r="AI86" s="60"/>
      <c r="AJ86" s="60"/>
      <c r="AK86" s="60"/>
      <c r="AL86" s="60"/>
      <c r="AM86" s="60"/>
      <c r="AN86" s="60"/>
      <c r="AO86" s="60"/>
      <c r="AP86" s="60"/>
      <c r="AQ86" s="60"/>
      <c r="AR86" s="60"/>
      <c r="AS86" s="60"/>
      <c r="AT86" s="60"/>
      <c r="AU86" s="60"/>
      <c r="AV86" s="324"/>
      <c r="AW86" s="325"/>
      <c r="AZ86" s="251" t="str">
        <f t="shared" si="33"/>
        <v>0</v>
      </c>
      <c r="BA86" s="251" t="str">
        <f t="shared" si="34"/>
        <v>0</v>
      </c>
    </row>
    <row r="87" spans="15:53">
      <c r="O87" s="8"/>
      <c r="P87" s="8"/>
      <c r="R87" s="347" t="str">
        <f>InputSheet!C165</f>
        <v>Sub 17</v>
      </c>
      <c r="S87" s="1161"/>
      <c r="T87" s="1161"/>
      <c r="U87" s="8"/>
      <c r="V87" s="8"/>
      <c r="W87" s="8"/>
      <c r="X87" s="8"/>
      <c r="Y87" s="8"/>
      <c r="Z87" s="348">
        <f t="shared" si="40"/>
        <v>0</v>
      </c>
      <c r="AA87" s="349">
        <f t="shared" si="41"/>
        <v>0</v>
      </c>
      <c r="AB87" s="348">
        <f t="shared" si="42"/>
        <v>0</v>
      </c>
      <c r="AC87" s="353">
        <f t="shared" si="42"/>
        <v>0</v>
      </c>
      <c r="AD87" s="351">
        <f t="shared" si="38"/>
        <v>0</v>
      </c>
      <c r="AE87" s="352">
        <f t="shared" si="38"/>
        <v>0</v>
      </c>
      <c r="AF87" s="6" t="str">
        <f t="shared" si="39"/>
        <v>Sub 17</v>
      </c>
      <c r="AG87" s="60"/>
      <c r="AH87" s="60"/>
      <c r="AI87" s="60"/>
      <c r="AJ87" s="60"/>
      <c r="AK87" s="60"/>
      <c r="AL87" s="60"/>
      <c r="AM87" s="60"/>
      <c r="AN87" s="60"/>
      <c r="AO87" s="60"/>
      <c r="AP87" s="60"/>
      <c r="AQ87" s="60"/>
      <c r="AR87" s="60"/>
      <c r="AS87" s="60"/>
      <c r="AT87" s="60"/>
      <c r="AU87" s="60"/>
      <c r="AV87" s="324"/>
      <c r="AW87" s="325"/>
      <c r="AZ87" s="251" t="str">
        <f t="shared" si="33"/>
        <v>0</v>
      </c>
      <c r="BA87" s="251" t="str">
        <f t="shared" si="34"/>
        <v>0</v>
      </c>
    </row>
    <row r="88" spans="15:53">
      <c r="O88" s="8"/>
      <c r="P88" s="8"/>
      <c r="R88" s="347" t="str">
        <f>InputSheet!C166</f>
        <v>Sub 18</v>
      </c>
      <c r="S88" s="1161"/>
      <c r="T88" s="1161"/>
      <c r="U88" s="8"/>
      <c r="V88" s="8"/>
      <c r="W88" s="8"/>
      <c r="X88" s="8"/>
      <c r="Y88" s="8"/>
      <c r="Z88" s="348">
        <f t="shared" si="40"/>
        <v>0</v>
      </c>
      <c r="AA88" s="349">
        <f t="shared" si="41"/>
        <v>0</v>
      </c>
      <c r="AB88" s="348">
        <f t="shared" si="42"/>
        <v>0</v>
      </c>
      <c r="AC88" s="353">
        <f t="shared" si="42"/>
        <v>0</v>
      </c>
      <c r="AD88" s="351">
        <f t="shared" si="38"/>
        <v>0</v>
      </c>
      <c r="AE88" s="352">
        <f t="shared" si="38"/>
        <v>0</v>
      </c>
      <c r="AF88" s="6" t="str">
        <f t="shared" si="39"/>
        <v>Sub 18</v>
      </c>
      <c r="AG88" s="60"/>
      <c r="AH88" s="60"/>
      <c r="AI88" s="60"/>
      <c r="AJ88" s="60"/>
      <c r="AK88" s="60"/>
      <c r="AL88" s="60"/>
      <c r="AM88" s="60"/>
      <c r="AN88" s="60"/>
      <c r="AO88" s="60"/>
      <c r="AP88" s="60"/>
      <c r="AQ88" s="60"/>
      <c r="AR88" s="60"/>
      <c r="AS88" s="60"/>
      <c r="AT88" s="60"/>
      <c r="AU88" s="60"/>
      <c r="AV88" s="324"/>
      <c r="AW88" s="325"/>
      <c r="AZ88" s="251" t="str">
        <f t="shared" si="33"/>
        <v>0</v>
      </c>
      <c r="BA88" s="251" t="str">
        <f t="shared" si="34"/>
        <v>0</v>
      </c>
    </row>
    <row r="89" spans="15:53">
      <c r="O89" s="8"/>
      <c r="P89" s="8"/>
      <c r="R89" s="347" t="str">
        <f>InputSheet!C167</f>
        <v>Sub 19</v>
      </c>
      <c r="S89" s="1161"/>
      <c r="T89" s="1161"/>
      <c r="U89" s="8"/>
      <c r="V89" s="8"/>
      <c r="W89" s="8"/>
      <c r="X89" s="8"/>
      <c r="Y89" s="8"/>
      <c r="Z89" s="348">
        <f t="shared" si="40"/>
        <v>0</v>
      </c>
      <c r="AA89" s="349">
        <f t="shared" si="41"/>
        <v>0</v>
      </c>
      <c r="AB89" s="348">
        <f t="shared" si="42"/>
        <v>0</v>
      </c>
      <c r="AC89" s="353">
        <f t="shared" si="42"/>
        <v>0</v>
      </c>
      <c r="AD89" s="351">
        <f t="shared" si="38"/>
        <v>0</v>
      </c>
      <c r="AE89" s="352">
        <f t="shared" si="38"/>
        <v>0</v>
      </c>
      <c r="AF89" s="6" t="str">
        <f t="shared" si="39"/>
        <v>Sub 19</v>
      </c>
      <c r="AG89" s="60"/>
      <c r="AH89" s="60"/>
      <c r="AI89" s="60"/>
      <c r="AJ89" s="60"/>
      <c r="AK89" s="60"/>
      <c r="AL89" s="60"/>
      <c r="AM89" s="60"/>
      <c r="AN89" s="60"/>
      <c r="AO89" s="60"/>
      <c r="AP89" s="60"/>
      <c r="AQ89" s="60"/>
      <c r="AR89" s="60"/>
      <c r="AS89" s="60"/>
      <c r="AT89" s="60"/>
      <c r="AU89" s="60"/>
      <c r="AV89" s="324"/>
      <c r="AW89" s="325"/>
      <c r="AZ89" s="251" t="str">
        <f t="shared" si="33"/>
        <v>0</v>
      </c>
      <c r="BA89" s="251" t="str">
        <f t="shared" si="34"/>
        <v>0</v>
      </c>
    </row>
    <row r="90" spans="15:53">
      <c r="O90" s="8"/>
      <c r="P90" s="8"/>
      <c r="R90" s="347" t="str">
        <f>InputSheet!C168</f>
        <v>Sub 20</v>
      </c>
      <c r="S90" s="1161"/>
      <c r="T90" s="1161"/>
      <c r="U90" s="8"/>
      <c r="V90" s="8"/>
      <c r="W90" s="8"/>
      <c r="X90" s="8"/>
      <c r="Y90" s="8"/>
      <c r="Z90" s="348">
        <f t="shared" si="40"/>
        <v>0</v>
      </c>
      <c r="AA90" s="349">
        <f t="shared" si="41"/>
        <v>0</v>
      </c>
      <c r="AB90" s="348">
        <f t="shared" si="42"/>
        <v>0</v>
      </c>
      <c r="AC90" s="353">
        <f t="shared" si="42"/>
        <v>0</v>
      </c>
      <c r="AD90" s="351">
        <f t="shared" si="38"/>
        <v>0</v>
      </c>
      <c r="AE90" s="352">
        <f t="shared" si="38"/>
        <v>0</v>
      </c>
      <c r="AF90" s="6" t="str">
        <f t="shared" si="39"/>
        <v>Sub 20</v>
      </c>
      <c r="AG90" s="60"/>
      <c r="AH90" s="60"/>
      <c r="AI90" s="60"/>
      <c r="AJ90" s="60"/>
      <c r="AK90" s="60"/>
      <c r="AL90" s="60"/>
      <c r="AM90" s="60"/>
      <c r="AN90" s="60"/>
      <c r="AO90" s="60"/>
      <c r="AP90" s="60"/>
      <c r="AQ90" s="60"/>
      <c r="AR90" s="60"/>
      <c r="AS90" s="60"/>
      <c r="AT90" s="60"/>
      <c r="AU90" s="60"/>
      <c r="AV90" s="324"/>
      <c r="AW90" s="325"/>
      <c r="AZ90" s="251" t="str">
        <f t="shared" si="33"/>
        <v>0</v>
      </c>
      <c r="BA90" s="251" t="str">
        <f t="shared" si="34"/>
        <v>0</v>
      </c>
    </row>
    <row r="91" spans="15:53" ht="13.5" thickBot="1">
      <c r="O91" s="355"/>
      <c r="P91" s="355"/>
      <c r="R91" s="354" t="s">
        <v>650</v>
      </c>
      <c r="S91" s="355"/>
      <c r="T91" s="355"/>
      <c r="U91" s="355"/>
      <c r="V91" s="355"/>
      <c r="W91" s="355"/>
      <c r="X91" s="355"/>
      <c r="Y91" s="355"/>
      <c r="Z91" s="354"/>
      <c r="AA91" s="356"/>
      <c r="AB91" s="354"/>
      <c r="AC91" s="357"/>
      <c r="AD91" s="358">
        <f>SUM(AD70:AD90)</f>
        <v>52304</v>
      </c>
      <c r="AE91" s="359">
        <f ca="1">SUM(AE70:AE90)</f>
        <v>4463585.5200000005</v>
      </c>
      <c r="AG91" s="360"/>
      <c r="AH91" s="360"/>
      <c r="AI91" s="360"/>
      <c r="AJ91" s="360"/>
      <c r="AK91" s="360"/>
      <c r="AL91" s="360"/>
      <c r="AM91" s="360"/>
      <c r="AN91" s="360"/>
      <c r="AO91" s="360"/>
      <c r="AP91" s="360"/>
      <c r="AQ91" s="360"/>
      <c r="AR91" s="360"/>
      <c r="AS91" s="360"/>
      <c r="AT91" s="360"/>
      <c r="AU91" s="60"/>
      <c r="AV91" s="324"/>
      <c r="AW91" s="325"/>
      <c r="AZ91" s="251" t="str">
        <f t="shared" si="33"/>
        <v>1</v>
      </c>
      <c r="BA91" s="251" t="str">
        <f t="shared" ca="1" si="34"/>
        <v>1</v>
      </c>
    </row>
    <row r="92" spans="15:53" ht="13.5" thickTop="1">
      <c r="O92" s="327"/>
      <c r="P92" s="327"/>
      <c r="R92" s="361"/>
      <c r="S92" s="327"/>
      <c r="T92" s="327"/>
      <c r="U92" s="327"/>
      <c r="V92" s="327"/>
      <c r="W92" s="327"/>
      <c r="X92" s="327"/>
      <c r="Y92" s="327"/>
      <c r="Z92" s="327"/>
      <c r="AA92" s="327"/>
      <c r="AB92" s="327"/>
      <c r="AC92" s="327"/>
      <c r="AD92" s="327"/>
      <c r="AE92" s="362"/>
      <c r="AZ92" s="251" t="str">
        <f t="shared" si="33"/>
        <v>1</v>
      </c>
      <c r="BA92" s="251" t="str">
        <f t="shared" si="34"/>
        <v>1</v>
      </c>
    </row>
  </sheetData>
  <autoFilter ref="AZ29:BA29"/>
  <customSheetViews>
    <customSheetView guid="{81186096-D7BA-4F5C-9DAA-F5D1FADD2876}" scale="60" showPageBreaks="1" fitToPage="1" printArea="1" hiddenColumns="1" showRuler="0">
      <selection activeCell="E90" sqref="E90"/>
      <pageMargins left="1" right="1" top="1" bottom="1" header="0.5" footer="0.5"/>
      <pageSetup scale="63" fitToHeight="1000" orientation="landscape" r:id="rId1"/>
      <headerFooter alignWithMargins="0"/>
    </customSheetView>
  </customSheetViews>
  <mergeCells count="1">
    <mergeCell ref="F2:L2"/>
  </mergeCells>
  <phoneticPr fontId="0" type="noConversion"/>
  <conditionalFormatting sqref="R24:U24">
    <cfRule type="cellIs" dxfId="7" priority="1" stopIfTrue="1" operator="greaterThan">
      <formula>0</formula>
    </cfRule>
  </conditionalFormatting>
  <dataValidations count="2">
    <dataValidation type="list" allowBlank="1" showInputMessage="1" showErrorMessage="1" sqref="L32:L49">
      <formula1>$L$9:$L$25</formula1>
    </dataValidation>
    <dataValidation type="list" allowBlank="1" showInputMessage="1" showErrorMessage="1" sqref="G32:G49">
      <formula1>$R$70:$R$90</formula1>
    </dataValidation>
  </dataValidations>
  <printOptions horizontalCentered="1" verticalCentered="1"/>
  <pageMargins left="0.25" right="0.25" top="0.25" bottom="0.25" header="0.5" footer="0.5"/>
  <pageSetup paperSize="5" scale="47" orientation="landscape" r:id="rId2"/>
  <headerFooter alignWithMargins="0"/>
  <rowBreaks count="1" manualBreakCount="1">
    <brk id="67" min="3" max="25" man="1"/>
  </rowBreaks>
  <legacyDrawing r:id="rId3"/>
</worksheet>
</file>

<file path=xl/worksheets/sheet8.xml><?xml version="1.0" encoding="utf-8"?>
<worksheet xmlns="http://schemas.openxmlformats.org/spreadsheetml/2006/main" xmlns:r="http://schemas.openxmlformats.org/officeDocument/2006/relationships">
  <sheetPr codeName="Sheet9">
    <tabColor indexed="57"/>
    <pageSetUpPr fitToPage="1"/>
  </sheetPr>
  <dimension ref="A1:BA92"/>
  <sheetViews>
    <sheetView showGridLines="0" view="pageBreakPreview" topLeftCell="D1" zoomScale="85" zoomScaleNormal="70" zoomScaleSheetLayoutView="85" workbookViewId="0">
      <selection activeCell="H47" sqref="H47"/>
    </sheetView>
  </sheetViews>
  <sheetFormatPr defaultRowHeight="12.75" outlineLevelRow="1" outlineLevelCol="1"/>
  <cols>
    <col min="1" max="1" width="9.5703125" style="8" bestFit="1" customWidth="1"/>
    <col min="2" max="2" width="9.5703125" style="8" customWidth="1"/>
    <col min="3" max="3" width="9.140625" style="8"/>
    <col min="4" max="4" width="3.85546875" style="8" customWidth="1"/>
    <col min="5" max="5" width="17.7109375" style="6" customWidth="1"/>
    <col min="6" max="7" width="10.5703125" style="6" customWidth="1"/>
    <col min="8" max="8" width="3" style="6" customWidth="1"/>
    <col min="9" max="9" width="11.28515625" style="6" bestFit="1" customWidth="1"/>
    <col min="10" max="10" width="16.5703125" style="6" hidden="1" customWidth="1" outlineLevel="1"/>
    <col min="11" max="11" width="20.42578125" style="6" hidden="1" customWidth="1" outlineLevel="1"/>
    <col min="12" max="12" width="14" style="6" bestFit="1" customWidth="1" collapsed="1"/>
    <col min="13" max="13" width="14.7109375" style="6" bestFit="1" customWidth="1"/>
    <col min="14" max="14" width="12" style="6" customWidth="1"/>
    <col min="15" max="15" width="11.140625" style="6" customWidth="1" outlineLevel="1"/>
    <col min="16" max="16" width="9.85546875" style="6" customWidth="1" outlineLevel="1"/>
    <col min="17" max="17" width="9.85546875" style="6" bestFit="1" customWidth="1"/>
    <col min="18" max="18" width="16.5703125" style="6" bestFit="1" customWidth="1"/>
    <col min="19" max="19" width="20" style="6" bestFit="1" customWidth="1"/>
    <col min="20" max="20" width="10.5703125" style="6" bestFit="1" customWidth="1"/>
    <col min="21" max="23" width="12.28515625" style="6" bestFit="1" customWidth="1" outlineLevel="1"/>
    <col min="24" max="25" width="8.42578125" style="6" bestFit="1" customWidth="1" outlineLevel="1"/>
    <col min="26" max="26" width="10.5703125" style="6" customWidth="1"/>
    <col min="27" max="27" width="8.85546875" style="6" bestFit="1" customWidth="1"/>
    <col min="28" max="28" width="11.140625" style="6" customWidth="1"/>
    <col min="29" max="29" width="10" style="6" customWidth="1"/>
    <col min="30" max="30" width="10.42578125" style="6" customWidth="1"/>
    <col min="31" max="31" width="13.28515625" style="6" customWidth="1"/>
    <col min="32" max="32" width="12.42578125" style="6" customWidth="1" outlineLevel="1"/>
    <col min="33" max="35" width="10.7109375" style="6" customWidth="1" outlineLevel="1"/>
    <col min="36" max="36" width="9.85546875" style="6" customWidth="1" outlineLevel="1"/>
    <col min="37" max="42" width="11.140625" style="6" customWidth="1" outlineLevel="1"/>
    <col min="43" max="43" width="11.28515625" style="6" customWidth="1" outlineLevel="1" collapsed="1"/>
    <col min="44" max="44" width="10.28515625" style="6" customWidth="1" outlineLevel="1"/>
    <col min="45" max="45" width="11.140625" style="6" customWidth="1" outlineLevel="1"/>
    <col min="46" max="46" width="10.7109375" style="6" customWidth="1" outlineLevel="1"/>
    <col min="47" max="47" width="3.5703125" style="8" customWidth="1" outlineLevel="1"/>
    <col min="48" max="48" width="13.7109375" style="6" customWidth="1" outlineLevel="1"/>
    <col min="49" max="49" width="13.7109375" style="8" customWidth="1"/>
    <col min="50" max="51" width="9.140625" style="8" customWidth="1"/>
    <col min="52" max="53" width="19.85546875" style="251" bestFit="1" customWidth="1"/>
    <col min="54" max="16384" width="9.140625" style="8"/>
  </cols>
  <sheetData>
    <row r="1" spans="1:53">
      <c r="E1" s="241" t="s">
        <v>666</v>
      </c>
      <c r="F1" s="242" t="str">
        <f>InputSheet!D1</f>
        <v>NCSA HQ 7010</v>
      </c>
      <c r="G1" s="243"/>
      <c r="H1" s="243"/>
      <c r="I1" s="243"/>
      <c r="J1" s="244"/>
      <c r="K1" s="244"/>
      <c r="L1" s="243"/>
      <c r="M1" s="245" t="s">
        <v>610</v>
      </c>
      <c r="N1" s="242" t="str">
        <f>InputSheet!D4</f>
        <v>P-12246</v>
      </c>
      <c r="O1" s="243"/>
      <c r="P1" s="243"/>
      <c r="Q1" s="243"/>
      <c r="R1" s="243"/>
      <c r="S1" s="243"/>
      <c r="T1" s="243"/>
      <c r="U1" s="243"/>
      <c r="V1" s="243"/>
      <c r="W1" s="243"/>
      <c r="X1" s="243"/>
      <c r="Y1" s="243"/>
      <c r="Z1" s="243"/>
      <c r="AA1" s="243"/>
      <c r="AB1" s="243"/>
      <c r="AC1" s="243"/>
      <c r="AD1" s="243"/>
      <c r="AE1" s="243"/>
      <c r="AF1" s="246"/>
      <c r="AZ1" s="247"/>
      <c r="BA1" s="247"/>
    </row>
    <row r="2" spans="1:53">
      <c r="E2" s="248" t="s">
        <v>612</v>
      </c>
      <c r="F2" s="1195" t="str">
        <f>InputSheet!D2</f>
        <v>CIS Consultant Services</v>
      </c>
      <c r="G2" s="1195"/>
      <c r="H2" s="1195"/>
      <c r="I2" s="1195"/>
      <c r="J2" s="1195"/>
      <c r="K2" s="1195"/>
      <c r="L2" s="1196"/>
      <c r="M2" s="249" t="s">
        <v>611</v>
      </c>
      <c r="N2" s="27" t="str">
        <f>InputSheet!D3</f>
        <v>ManTech Telecommunications and Information Systems Corporation</v>
      </c>
      <c r="O2" s="8"/>
      <c r="P2" s="8"/>
      <c r="Q2" s="8"/>
      <c r="R2" s="8"/>
      <c r="S2" s="8"/>
      <c r="T2" s="8"/>
      <c r="U2" s="8"/>
      <c r="V2" s="8"/>
      <c r="W2" s="8"/>
      <c r="X2" s="8"/>
      <c r="Y2" s="8"/>
      <c r="Z2" s="8"/>
      <c r="AA2" s="8"/>
      <c r="AB2" s="8"/>
      <c r="AC2" s="8"/>
      <c r="AD2" s="8"/>
      <c r="AE2" s="8"/>
      <c r="AF2" s="250"/>
    </row>
    <row r="3" spans="1:53" s="254" customFormat="1" ht="13.5" thickBot="1">
      <c r="A3" s="8"/>
      <c r="B3" s="8"/>
      <c r="C3" s="8"/>
      <c r="D3" s="8"/>
      <c r="E3" s="252" t="s">
        <v>613</v>
      </c>
      <c r="F3" s="253" t="s">
        <v>619</v>
      </c>
      <c r="J3" s="255"/>
      <c r="K3" s="255"/>
      <c r="M3" s="256"/>
      <c r="Q3" s="257"/>
      <c r="AF3" s="258"/>
      <c r="AK3" s="257"/>
      <c r="AL3" s="257"/>
      <c r="AM3" s="257"/>
      <c r="AN3" s="257"/>
      <c r="AO3" s="257"/>
      <c r="AP3" s="257"/>
      <c r="AZ3" s="259"/>
      <c r="BA3" s="259"/>
    </row>
    <row r="4" spans="1:53">
      <c r="E4" s="248"/>
      <c r="F4" s="8"/>
      <c r="G4" s="8"/>
      <c r="H4" s="8"/>
      <c r="I4" s="8"/>
      <c r="J4" s="260"/>
      <c r="K4" s="260"/>
      <c r="L4" s="8"/>
      <c r="M4" s="8"/>
      <c r="N4" s="8"/>
      <c r="O4" s="8"/>
      <c r="P4" s="8"/>
      <c r="Q4" s="8"/>
      <c r="R4" s="8"/>
      <c r="S4" s="8"/>
      <c r="T4" s="8"/>
      <c r="U4" s="8"/>
      <c r="V4" s="8"/>
      <c r="W4" s="8"/>
      <c r="X4" s="8"/>
      <c r="Y4" s="8"/>
      <c r="Z4" s="8"/>
      <c r="AA4" s="8"/>
      <c r="AB4" s="8"/>
      <c r="AC4" s="8"/>
      <c r="AD4" s="8"/>
      <c r="AE4" s="8"/>
      <c r="AF4" s="1031"/>
      <c r="AT4" s="8"/>
    </row>
    <row r="5" spans="1:53" hidden="1" outlineLevel="1">
      <c r="E5" s="248"/>
      <c r="F5" s="8"/>
      <c r="G5" s="8"/>
      <c r="H5" s="8"/>
      <c r="I5" s="8"/>
      <c r="J5" s="261"/>
      <c r="K5" s="261"/>
      <c r="L5" s="262"/>
      <c r="M5" s="8"/>
      <c r="N5" s="263" t="str">
        <f>N28&amp;"%"</f>
        <v>B%</v>
      </c>
      <c r="O5" s="263" t="str">
        <f>O28&amp;"%"</f>
        <v>%</v>
      </c>
      <c r="P5" s="263" t="str">
        <f>P28&amp;"%"</f>
        <v>%</v>
      </c>
      <c r="Q5" s="263" t="str">
        <f>Q28&amp;"%"</f>
        <v>C%</v>
      </c>
      <c r="R5" s="263" t="str">
        <f>R28&amp;"%"</f>
        <v>D%</v>
      </c>
      <c r="S5" s="263"/>
      <c r="T5" s="263"/>
      <c r="U5" s="263" t="str">
        <f t="shared" ref="U5:Z5" si="0">U28&amp;"%"</f>
        <v>%</v>
      </c>
      <c r="V5" s="263" t="str">
        <f t="shared" si="0"/>
        <v>%</v>
      </c>
      <c r="W5" s="263" t="str">
        <f t="shared" si="0"/>
        <v>%</v>
      </c>
      <c r="X5" s="263" t="str">
        <f t="shared" si="0"/>
        <v>%</v>
      </c>
      <c r="Y5" s="263" t="str">
        <f t="shared" si="0"/>
        <v>%</v>
      </c>
      <c r="Z5" s="263" t="str">
        <f t="shared" si="0"/>
        <v>E%</v>
      </c>
      <c r="AA5" s="263"/>
      <c r="AB5" s="263" t="str">
        <f>AB28&amp;"%"</f>
        <v>G%</v>
      </c>
      <c r="AC5" s="8"/>
      <c r="AD5" s="8"/>
      <c r="AE5" s="8"/>
      <c r="AF5" s="1031"/>
      <c r="AJ5" s="263"/>
      <c r="AK5" s="263"/>
      <c r="AL5" s="263"/>
      <c r="AM5" s="263"/>
      <c r="AN5" s="263"/>
      <c r="AO5" s="263"/>
      <c r="AP5" s="263"/>
      <c r="AQ5" s="263"/>
      <c r="AR5" s="263"/>
      <c r="AS5" s="263"/>
      <c r="AT5" s="264"/>
      <c r="AU5" s="47"/>
    </row>
    <row r="6" spans="1:53" hidden="1" outlineLevel="1">
      <c r="E6" s="248"/>
      <c r="F6" s="8"/>
      <c r="G6" s="8"/>
      <c r="H6" s="8"/>
      <c r="I6" s="265"/>
      <c r="J6" s="266"/>
      <c r="K6" s="263"/>
      <c r="L6" s="267">
        <f ca="1">COLUMN(L6)-COLUMN(OFFSET($L6,0,-1))</f>
        <v>1</v>
      </c>
      <c r="M6" s="267">
        <f t="shared" ref="M6:AB6" ca="1" si="1">COLUMN(M6)-COLUMN(OFFSET($L6,0,-1))</f>
        <v>2</v>
      </c>
      <c r="N6" s="267">
        <f t="shared" ca="1" si="1"/>
        <v>3</v>
      </c>
      <c r="O6" s="267">
        <f t="shared" ca="1" si="1"/>
        <v>4</v>
      </c>
      <c r="P6" s="267">
        <f t="shared" ca="1" si="1"/>
        <v>5</v>
      </c>
      <c r="Q6" s="267">
        <f t="shared" ca="1" si="1"/>
        <v>6</v>
      </c>
      <c r="R6" s="267">
        <f t="shared" ca="1" si="1"/>
        <v>7</v>
      </c>
      <c r="S6" s="267"/>
      <c r="T6" s="267"/>
      <c r="U6" s="267">
        <f t="shared" ca="1" si="1"/>
        <v>10</v>
      </c>
      <c r="V6" s="267">
        <f t="shared" ca="1" si="1"/>
        <v>11</v>
      </c>
      <c r="W6" s="267">
        <f t="shared" ca="1" si="1"/>
        <v>12</v>
      </c>
      <c r="X6" s="267">
        <f t="shared" ca="1" si="1"/>
        <v>13</v>
      </c>
      <c r="Y6" s="267">
        <f t="shared" ca="1" si="1"/>
        <v>14</v>
      </c>
      <c r="Z6" s="267">
        <f t="shared" ca="1" si="1"/>
        <v>15</v>
      </c>
      <c r="AA6" s="267"/>
      <c r="AB6" s="267">
        <f t="shared" ca="1" si="1"/>
        <v>17</v>
      </c>
      <c r="AC6" s="8"/>
      <c r="AD6" s="8"/>
      <c r="AE6" s="8"/>
      <c r="AF6" s="1031"/>
      <c r="AG6" s="266"/>
      <c r="AH6" s="266"/>
      <c r="AI6" s="266"/>
      <c r="AJ6" s="263"/>
      <c r="AK6" s="263"/>
      <c r="AL6" s="263"/>
      <c r="AM6" s="263"/>
      <c r="AN6" s="263"/>
      <c r="AO6" s="263"/>
      <c r="AP6" s="263"/>
      <c r="AQ6" s="263"/>
      <c r="AR6" s="263"/>
      <c r="AS6" s="263"/>
      <c r="AT6" s="264"/>
      <c r="AU6" s="47"/>
    </row>
    <row r="7" spans="1:53" collapsed="1">
      <c r="E7" s="268"/>
      <c r="F7" s="39" t="s">
        <v>587</v>
      </c>
      <c r="G7" s="39" t="s">
        <v>588</v>
      </c>
      <c r="H7" s="39"/>
      <c r="I7" s="269"/>
      <c r="J7" s="270"/>
      <c r="K7" s="270"/>
      <c r="L7" s="271"/>
      <c r="M7" s="272"/>
      <c r="N7" s="272"/>
      <c r="O7" s="272"/>
      <c r="P7" s="272"/>
      <c r="Q7" s="272" t="str">
        <f>InputSheet!D41</f>
        <v>Contr/Govt</v>
      </c>
      <c r="R7" s="272"/>
      <c r="S7" s="272"/>
      <c r="T7" s="272"/>
      <c r="U7" s="272"/>
      <c r="V7" s="272"/>
      <c r="W7" s="272"/>
      <c r="X7" s="272"/>
      <c r="Y7" s="272"/>
      <c r="Z7" s="272" t="str">
        <f>$Q7</f>
        <v>Contr/Govt</v>
      </c>
      <c r="AA7" s="272"/>
      <c r="AB7" s="273"/>
      <c r="AC7" s="8"/>
      <c r="AD7" s="8"/>
      <c r="AE7" s="8"/>
      <c r="AF7" s="1032"/>
      <c r="AG7" s="270"/>
      <c r="AH7" s="270"/>
      <c r="AI7" s="270"/>
      <c r="AJ7" s="270"/>
      <c r="AK7" s="270"/>
      <c r="AL7" s="270"/>
      <c r="AM7" s="270"/>
      <c r="AN7" s="270"/>
      <c r="AO7" s="270"/>
      <c r="AP7" s="270"/>
      <c r="AQ7" s="270"/>
      <c r="AR7" s="270"/>
      <c r="AS7" s="274"/>
      <c r="AT7" s="249"/>
    </row>
    <row r="8" spans="1:53" ht="14.25" customHeight="1">
      <c r="E8" s="239" t="str">
        <f>InputSheet!$C$23</f>
        <v>Option Year 1</v>
      </c>
      <c r="F8" s="275">
        <f>VLOOKUP($E$8,InputSheet!$C$22:$G$38,2,FALSE)</f>
        <v>40544</v>
      </c>
      <c r="G8" s="276">
        <f>VLOOKUP($E$8,InputSheet!$C$22:$G$38,3,FALSE)</f>
        <v>40908</v>
      </c>
      <c r="H8" s="277"/>
      <c r="I8" s="278"/>
      <c r="J8" s="279" t="s">
        <v>593</v>
      </c>
      <c r="K8" s="279" t="s">
        <v>628</v>
      </c>
      <c r="L8" s="280" t="s">
        <v>52</v>
      </c>
      <c r="M8" s="279" t="s">
        <v>0</v>
      </c>
      <c r="N8" s="279" t="s">
        <v>620</v>
      </c>
      <c r="O8" s="279" t="s">
        <v>895</v>
      </c>
      <c r="P8" s="279" t="s">
        <v>911</v>
      </c>
      <c r="Q8" s="279" t="s">
        <v>621</v>
      </c>
      <c r="R8" s="279" t="s">
        <v>637</v>
      </c>
      <c r="S8" s="1158" t="s">
        <v>996</v>
      </c>
      <c r="T8" s="1158" t="s">
        <v>995</v>
      </c>
      <c r="U8" s="1158" t="s">
        <v>993</v>
      </c>
      <c r="V8" s="279" t="s">
        <v>957</v>
      </c>
      <c r="W8" s="279" t="s">
        <v>949</v>
      </c>
      <c r="X8" s="279" t="s">
        <v>950</v>
      </c>
      <c r="Y8" s="279" t="s">
        <v>718</v>
      </c>
      <c r="Z8" s="279" t="s">
        <v>597</v>
      </c>
      <c r="AA8" s="279" t="s">
        <v>53</v>
      </c>
      <c r="AB8" s="281" t="s">
        <v>55</v>
      </c>
      <c r="AC8" s="8"/>
      <c r="AD8" s="8"/>
      <c r="AE8" s="8"/>
      <c r="AF8" s="1033" t="s">
        <v>717</v>
      </c>
      <c r="AG8" s="279"/>
      <c r="AH8" s="279"/>
      <c r="AI8" s="279"/>
      <c r="AJ8" s="279"/>
      <c r="AK8" s="279"/>
      <c r="AL8" s="279"/>
      <c r="AM8" s="279"/>
      <c r="AN8" s="279"/>
      <c r="AO8" s="279"/>
      <c r="AP8" s="279"/>
      <c r="AQ8" s="279"/>
      <c r="AR8" s="279"/>
      <c r="AS8" s="279"/>
      <c r="AT8" s="249"/>
    </row>
    <row r="9" spans="1:53" hidden="1">
      <c r="B9" s="8">
        <v>750</v>
      </c>
      <c r="E9" s="248"/>
      <c r="F9" s="8"/>
      <c r="G9" s="8"/>
      <c r="H9" s="8"/>
      <c r="I9" s="278"/>
      <c r="J9" s="283" t="str">
        <f>InputSheet!I40</f>
        <v>IS</v>
      </c>
      <c r="K9" s="284" t="str">
        <f>InputSheet!$D$42</f>
        <v>Contr</v>
      </c>
      <c r="L9" s="207" t="s">
        <v>622</v>
      </c>
      <c r="M9" s="285">
        <f>InputSheet!$E$7</f>
        <v>3.3000000000000002E-2</v>
      </c>
      <c r="N9" s="286">
        <f>VLOOKUP(($E$8&amp;$J9),InputSheet!$A$22:$G$130,7,FALSE)</f>
        <v>1.0585667499999998</v>
      </c>
      <c r="O9" s="833">
        <v>0.35</v>
      </c>
      <c r="P9" s="833">
        <v>0.35</v>
      </c>
      <c r="Q9" s="287">
        <f>IF(Q$7="",VLOOKUP($E$8&amp;$J9&amp;Q$8&amp;$K9,Indirects,2,FALSE),VLOOKUP($E$8&amp;$J9&amp;Q$8&amp;Q$7,Indirects,2,FALSE))</f>
        <v>0.31240000000000001</v>
      </c>
      <c r="R9" s="287">
        <f>IF(R$7="",VLOOKUP($E$8&amp;$J9&amp;R$8&amp;$K9,Indirects,2,FALSE),VLOOKUP($E$8&amp;$J9&amp;R$8&amp;R$7,Indirects,2,FALSE))</f>
        <v>0.1988</v>
      </c>
      <c r="S9" s="287"/>
      <c r="T9" s="287"/>
      <c r="U9" s="1015">
        <v>5000</v>
      </c>
      <c r="V9" s="1015">
        <v>5000</v>
      </c>
      <c r="W9" s="833">
        <v>0.35</v>
      </c>
      <c r="X9" s="833">
        <v>0.35</v>
      </c>
      <c r="Y9" s="833">
        <v>0.35</v>
      </c>
      <c r="Z9" s="287">
        <f>IF(Z$7="",VLOOKUP($E$8&amp;$J9&amp;Z$8&amp;$K9,Indirects,2,FALSE),VLOOKUP($E$8&amp;$J9&amp;Z$8&amp;Z$7,Indirects,2,FALSE))</f>
        <v>9.1999999999999998E-2</v>
      </c>
      <c r="AA9" s="288"/>
      <c r="AB9" s="213">
        <v>0.15</v>
      </c>
      <c r="AC9" s="8"/>
      <c r="AD9" s="8"/>
      <c r="AE9" s="8"/>
      <c r="AF9" s="1034">
        <f t="shared" ref="AF9:AF24" si="2">IF(M9="","",M9)</f>
        <v>3.3000000000000002E-2</v>
      </c>
      <c r="AG9" s="1018"/>
      <c r="AH9" s="1018"/>
      <c r="AI9" s="1018"/>
      <c r="AJ9" s="287"/>
      <c r="AK9" s="287"/>
      <c r="AL9" s="287"/>
      <c r="AM9" s="287"/>
      <c r="AN9" s="287"/>
      <c r="AO9" s="287"/>
      <c r="AP9" s="287"/>
      <c r="AQ9" s="287"/>
      <c r="AR9" s="287"/>
      <c r="AS9" s="287"/>
      <c r="AT9" s="249"/>
    </row>
    <row r="10" spans="1:53" ht="15" customHeight="1">
      <c r="B10" s="8">
        <f>B9/3</f>
        <v>250</v>
      </c>
      <c r="E10" s="248"/>
      <c r="F10" s="8"/>
      <c r="G10" s="8"/>
      <c r="H10" s="8"/>
      <c r="I10" s="278"/>
      <c r="J10" s="289" t="str">
        <f>J$9</f>
        <v>IS</v>
      </c>
      <c r="K10" s="290" t="str">
        <f>InputSheet!$D$43</f>
        <v>Govt</v>
      </c>
      <c r="L10" s="208" t="s">
        <v>623</v>
      </c>
      <c r="M10" s="285">
        <f>InputSheet!$E$7</f>
        <v>3.3000000000000002E-2</v>
      </c>
      <c r="N10" s="286">
        <f>VLOOKUP(($E$8&amp;$J10),InputSheet!$A$22:$G$130,7,FALSE)</f>
        <v>1.0585667499999998</v>
      </c>
      <c r="O10" s="834">
        <v>0.35</v>
      </c>
      <c r="P10" s="834">
        <v>0.35</v>
      </c>
      <c r="Q10" s="287">
        <f>IF(Q$7="",VLOOKUP($E$8&amp;$J10&amp;Q$8&amp;$K10,Indirects,2,FALSE),VLOOKUP($E$8&amp;$J10&amp;Q$8&amp;Q$7,Indirects,2,FALSE))</f>
        <v>0.31240000000000001</v>
      </c>
      <c r="R10" s="287">
        <f>IF(R$7="",VLOOKUP($E$8&amp;$J10&amp;R$8&amp;$K10,Indirects,2,FALSE),VLOOKUP($E$8&amp;$J10&amp;R$8&amp;R$7,Indirects,2,FALSE))</f>
        <v>2.23E-2</v>
      </c>
      <c r="S10" s="1163">
        <f ca="1">+AE48</f>
        <v>14538.4</v>
      </c>
      <c r="T10" s="1163">
        <f ca="1">+AE49</f>
        <v>3848.88</v>
      </c>
      <c r="U10" s="1159">
        <v>0</v>
      </c>
      <c r="V10" s="1015">
        <v>5000</v>
      </c>
      <c r="W10" s="1094">
        <f>75.04*12</f>
        <v>900.48</v>
      </c>
      <c r="X10" s="834">
        <v>1.9E-2</v>
      </c>
      <c r="Y10" s="1091">
        <f>'Travel - Year 2'!$Q$21</f>
        <v>2141.1</v>
      </c>
      <c r="Z10" s="287">
        <f t="shared" ref="Z10:Z24" si="3">IF(Z$7="",VLOOKUP($E$8&amp;$J10&amp;Z$8&amp;$K10,Indirects,2,FALSE),VLOOKUP($E$8&amp;$J10&amp;Z$8&amp;Z$7,Indirects,2,FALSE))</f>
        <v>9.1999999999999998E-2</v>
      </c>
      <c r="AA10" s="291"/>
      <c r="AB10" s="209">
        <f>'Pricing Summary'!C52</f>
        <v>0.08</v>
      </c>
      <c r="AC10" s="8"/>
      <c r="AD10" s="8"/>
      <c r="AE10" s="8"/>
      <c r="AF10" s="1034">
        <f t="shared" si="2"/>
        <v>3.3000000000000002E-2</v>
      </c>
      <c r="AG10" s="1019"/>
      <c r="AH10" s="1019"/>
      <c r="AI10" s="1019"/>
      <c r="AJ10" s="287"/>
      <c r="AK10" s="287"/>
      <c r="AL10" s="287"/>
      <c r="AM10" s="287"/>
      <c r="AN10" s="287"/>
      <c r="AO10" s="287"/>
      <c r="AP10" s="287"/>
      <c r="AQ10" s="287"/>
      <c r="AR10" s="287"/>
      <c r="AS10" s="287"/>
      <c r="AT10" s="249"/>
    </row>
    <row r="11" spans="1:53" hidden="1" outlineLevel="1">
      <c r="E11" s="248"/>
      <c r="F11" s="8"/>
      <c r="G11" s="8"/>
      <c r="H11" s="8"/>
      <c r="I11" s="278"/>
      <c r="J11" s="289" t="str">
        <f t="shared" ref="J11:J24" si="4">J$9</f>
        <v>IS</v>
      </c>
      <c r="K11" s="290" t="str">
        <f>K$9</f>
        <v>Contr</v>
      </c>
      <c r="L11" s="208" t="s">
        <v>667</v>
      </c>
      <c r="M11" s="293">
        <v>0</v>
      </c>
      <c r="N11" s="292">
        <v>1</v>
      </c>
      <c r="O11" s="833">
        <v>0</v>
      </c>
      <c r="P11" s="834">
        <v>0</v>
      </c>
      <c r="Q11" s="287">
        <f t="shared" ref="Q11:R20" si="5">IF(Q$7="",VLOOKUP($E$8&amp;$J11&amp;Q$8&amp;$K11,Indirects,2,FALSE),VLOOKUP($E$8&amp;$J11&amp;Q$8&amp;Q$7,Indirects,2,FALSE))</f>
        <v>0.31240000000000001</v>
      </c>
      <c r="R11" s="287">
        <f t="shared" si="5"/>
        <v>0.1988</v>
      </c>
      <c r="S11" s="287"/>
      <c r="T11" s="287"/>
      <c r="U11" s="834">
        <v>0</v>
      </c>
      <c r="V11" s="834">
        <v>0</v>
      </c>
      <c r="W11" s="834">
        <v>0</v>
      </c>
      <c r="X11" s="834">
        <v>0</v>
      </c>
      <c r="Y11" s="834">
        <v>0</v>
      </c>
      <c r="Z11" s="287">
        <f t="shared" si="3"/>
        <v>9.1999999999999998E-2</v>
      </c>
      <c r="AA11" s="291"/>
      <c r="AB11" s="209">
        <f t="shared" ref="AB11:AB22" si="6">AB10</f>
        <v>0.08</v>
      </c>
      <c r="AC11" s="8"/>
      <c r="AD11" s="8"/>
      <c r="AE11" s="8"/>
      <c r="AF11" s="1034">
        <f t="shared" si="2"/>
        <v>0</v>
      </c>
      <c r="AG11" s="1019"/>
      <c r="AH11" s="1019"/>
      <c r="AI11" s="1019"/>
      <c r="AJ11" s="287"/>
      <c r="AK11" s="287"/>
      <c r="AL11" s="287"/>
      <c r="AM11" s="287"/>
      <c r="AN11" s="287"/>
      <c r="AO11" s="287"/>
      <c r="AP11" s="287"/>
      <c r="AQ11" s="287"/>
      <c r="AR11" s="287"/>
      <c r="AS11" s="287"/>
      <c r="AT11" s="249"/>
    </row>
    <row r="12" spans="1:53" hidden="1" outlineLevel="1">
      <c r="E12" s="248"/>
      <c r="F12" s="8"/>
      <c r="G12" s="8"/>
      <c r="H12" s="8"/>
      <c r="I12" s="278"/>
      <c r="J12" s="289" t="str">
        <f t="shared" si="4"/>
        <v>IS</v>
      </c>
      <c r="K12" s="290" t="str">
        <f>K$10</f>
        <v>Govt</v>
      </c>
      <c r="L12" s="208" t="s">
        <v>668</v>
      </c>
      <c r="M12" s="293">
        <v>0</v>
      </c>
      <c r="N12" s="292">
        <v>1</v>
      </c>
      <c r="O12" s="834">
        <v>0</v>
      </c>
      <c r="P12" s="834">
        <v>0</v>
      </c>
      <c r="Q12" s="287">
        <f t="shared" si="5"/>
        <v>0.31240000000000001</v>
      </c>
      <c r="R12" s="287">
        <f t="shared" si="5"/>
        <v>2.23E-2</v>
      </c>
      <c r="S12" s="287"/>
      <c r="T12" s="287"/>
      <c r="U12" s="834">
        <v>0</v>
      </c>
      <c r="V12" s="834">
        <v>0</v>
      </c>
      <c r="W12" s="834">
        <v>0</v>
      </c>
      <c r="X12" s="834">
        <v>0</v>
      </c>
      <c r="Y12" s="834">
        <v>0</v>
      </c>
      <c r="Z12" s="287">
        <f t="shared" si="3"/>
        <v>9.1999999999999998E-2</v>
      </c>
      <c r="AA12" s="291"/>
      <c r="AB12" s="209">
        <f t="shared" si="6"/>
        <v>0.08</v>
      </c>
      <c r="AC12" s="8"/>
      <c r="AD12" s="8"/>
      <c r="AE12" s="8"/>
      <c r="AF12" s="1034">
        <f t="shared" si="2"/>
        <v>0</v>
      </c>
      <c r="AG12" s="1019"/>
      <c r="AH12" s="1019"/>
      <c r="AI12" s="1019"/>
      <c r="AJ12" s="287"/>
      <c r="AK12" s="287"/>
      <c r="AL12" s="287"/>
      <c r="AM12" s="287"/>
      <c r="AN12" s="287"/>
      <c r="AO12" s="287"/>
      <c r="AP12" s="287"/>
      <c r="AQ12" s="287"/>
      <c r="AR12" s="287"/>
      <c r="AS12" s="287"/>
      <c r="AT12" s="249"/>
    </row>
    <row r="13" spans="1:53" hidden="1" outlineLevel="1">
      <c r="E13" s="248"/>
      <c r="F13" s="8"/>
      <c r="G13" s="8"/>
      <c r="H13" s="8"/>
      <c r="I13" s="278"/>
      <c r="J13" s="289" t="str">
        <f>InputSheet!I87</f>
        <v>ESD</v>
      </c>
      <c r="K13" s="290" t="str">
        <f>K$9</f>
        <v>Contr</v>
      </c>
      <c r="L13" s="208" t="s">
        <v>624</v>
      </c>
      <c r="M13" s="285">
        <f>InputSheet!$E$54</f>
        <v>3.3000000000000002E-2</v>
      </c>
      <c r="N13" s="286">
        <f>VLOOKUP(($E$8&amp;$J13),InputSheet!$A$22:$G$130,7,FALSE)</f>
        <v>1.0585667499999998</v>
      </c>
      <c r="O13" s="833">
        <v>0</v>
      </c>
      <c r="P13" s="833">
        <v>0</v>
      </c>
      <c r="Q13" s="287">
        <f>IF(Q$7="",VLOOKUP($E$8&amp;$J13&amp;Q$8&amp;$K13,Indirects,2,FALSE),VLOOKUP($E$8&amp;$J13&amp;Q$8&amp;Q$7,Indirects,2,FALSE))</f>
        <v>0</v>
      </c>
      <c r="R13" s="287">
        <f t="shared" si="5"/>
        <v>0</v>
      </c>
      <c r="S13" s="287"/>
      <c r="T13" s="287"/>
      <c r="U13" s="833">
        <v>0</v>
      </c>
      <c r="V13" s="833">
        <v>0</v>
      </c>
      <c r="W13" s="833">
        <v>0</v>
      </c>
      <c r="X13" s="833">
        <v>0</v>
      </c>
      <c r="Y13" s="833">
        <v>0</v>
      </c>
      <c r="Z13" s="287">
        <f t="shared" si="3"/>
        <v>0</v>
      </c>
      <c r="AA13" s="291"/>
      <c r="AB13" s="209">
        <f t="shared" si="6"/>
        <v>0.08</v>
      </c>
      <c r="AC13" s="8"/>
      <c r="AD13" s="8"/>
      <c r="AE13" s="8"/>
      <c r="AF13" s="1034">
        <f t="shared" si="2"/>
        <v>3.3000000000000002E-2</v>
      </c>
      <c r="AG13" s="1019"/>
      <c r="AH13" s="1019"/>
      <c r="AI13" s="1019"/>
      <c r="AJ13" s="287"/>
      <c r="AK13" s="287"/>
      <c r="AL13" s="287"/>
      <c r="AM13" s="287"/>
      <c r="AN13" s="287"/>
      <c r="AO13" s="287"/>
      <c r="AP13" s="287"/>
      <c r="AQ13" s="287"/>
      <c r="AR13" s="287"/>
      <c r="AS13" s="287"/>
      <c r="AT13" s="249"/>
    </row>
    <row r="14" spans="1:53" hidden="1" outlineLevel="1">
      <c r="E14" s="248"/>
      <c r="F14" s="8"/>
      <c r="G14" s="8"/>
      <c r="H14" s="8"/>
      <c r="I14" s="278"/>
      <c r="J14" s="289" t="str">
        <f>J13</f>
        <v>ESD</v>
      </c>
      <c r="K14" s="290" t="str">
        <f>K$10</f>
        <v>Govt</v>
      </c>
      <c r="L14" s="208" t="s">
        <v>625</v>
      </c>
      <c r="M14" s="285">
        <f>InputSheet!$E$54</f>
        <v>3.3000000000000002E-2</v>
      </c>
      <c r="N14" s="286">
        <f>VLOOKUP(($E$8&amp;$J14),InputSheet!$A$22:$G$130,7,FALSE)</f>
        <v>1.0585667499999998</v>
      </c>
      <c r="O14" s="834">
        <v>0</v>
      </c>
      <c r="P14" s="834">
        <v>0</v>
      </c>
      <c r="Q14" s="287">
        <f>IF(Q$7="",VLOOKUP($E$8&amp;$J14&amp;Q$8&amp;$K14,Indirects,2,FALSE),VLOOKUP($E$8&amp;$J14&amp;Q$8&amp;Q$7,Indirects,2,FALSE))</f>
        <v>0</v>
      </c>
      <c r="R14" s="287">
        <f t="shared" si="5"/>
        <v>0</v>
      </c>
      <c r="S14" s="287"/>
      <c r="T14" s="287"/>
      <c r="U14" s="834">
        <v>0</v>
      </c>
      <c r="V14" s="834">
        <v>0</v>
      </c>
      <c r="W14" s="834">
        <v>0</v>
      </c>
      <c r="X14" s="834">
        <v>0</v>
      </c>
      <c r="Y14" s="834">
        <v>0</v>
      </c>
      <c r="Z14" s="287">
        <f t="shared" si="3"/>
        <v>0</v>
      </c>
      <c r="AA14" s="291"/>
      <c r="AB14" s="209">
        <f t="shared" si="6"/>
        <v>0.08</v>
      </c>
      <c r="AC14" s="8"/>
      <c r="AD14" s="8"/>
      <c r="AE14" s="8"/>
      <c r="AF14" s="1034">
        <f t="shared" si="2"/>
        <v>3.3000000000000002E-2</v>
      </c>
      <c r="AG14" s="1019"/>
      <c r="AH14" s="1019"/>
      <c r="AI14" s="1019"/>
      <c r="AJ14" s="287"/>
      <c r="AK14" s="287"/>
      <c r="AL14" s="287"/>
      <c r="AM14" s="287"/>
      <c r="AN14" s="287"/>
      <c r="AO14" s="287"/>
      <c r="AP14" s="287"/>
      <c r="AQ14" s="287"/>
      <c r="AR14" s="287"/>
      <c r="AS14" s="287"/>
      <c r="AT14" s="249"/>
    </row>
    <row r="15" spans="1:53" hidden="1" outlineLevel="1">
      <c r="E15" s="248"/>
      <c r="F15" s="8"/>
      <c r="G15" s="8"/>
      <c r="H15" s="8"/>
      <c r="I15" s="278"/>
      <c r="J15" s="289" t="str">
        <f>InputSheet!I134</f>
        <v>ESD</v>
      </c>
      <c r="K15" s="290" t="str">
        <f>K$9</f>
        <v>Contr</v>
      </c>
      <c r="L15" s="208" t="s">
        <v>784</v>
      </c>
      <c r="M15" s="285">
        <f>InputSheet!$E$101</f>
        <v>3.3000000000000002E-2</v>
      </c>
      <c r="N15" s="286">
        <f>VLOOKUP(($E$8&amp;$J15),InputSheet!$A$22:$G$130,7,FALSE)</f>
        <v>1.0585667499999998</v>
      </c>
      <c r="O15" s="833">
        <v>0</v>
      </c>
      <c r="P15" s="833">
        <v>0</v>
      </c>
      <c r="Q15" s="287">
        <f>IF(Q$7="",VLOOKUP($E$8&amp;$J15&amp;Q$8&amp;$K15,Indirects,2,FALSE),VLOOKUP($E$8&amp;$J15&amp;Q$8&amp;Q$7,Indirects,2,FALSE))</f>
        <v>0</v>
      </c>
      <c r="R15" s="287">
        <f t="shared" si="5"/>
        <v>0</v>
      </c>
      <c r="S15" s="287"/>
      <c r="T15" s="287"/>
      <c r="U15" s="833">
        <v>0</v>
      </c>
      <c r="V15" s="833">
        <v>0</v>
      </c>
      <c r="W15" s="833">
        <v>0</v>
      </c>
      <c r="X15" s="833">
        <v>0</v>
      </c>
      <c r="Y15" s="833">
        <v>0</v>
      </c>
      <c r="Z15" s="287">
        <f t="shared" si="3"/>
        <v>0</v>
      </c>
      <c r="AA15" s="291"/>
      <c r="AB15" s="209">
        <f t="shared" si="6"/>
        <v>0.08</v>
      </c>
      <c r="AC15" s="8"/>
      <c r="AD15" s="8"/>
      <c r="AE15" s="8"/>
      <c r="AF15" s="1034">
        <f t="shared" si="2"/>
        <v>3.3000000000000002E-2</v>
      </c>
      <c r="AG15" s="1019"/>
      <c r="AH15" s="1019"/>
      <c r="AI15" s="1019"/>
      <c r="AJ15" s="287"/>
      <c r="AK15" s="287"/>
      <c r="AL15" s="287"/>
      <c r="AM15" s="287"/>
      <c r="AN15" s="287"/>
      <c r="AO15" s="287"/>
      <c r="AP15" s="287"/>
      <c r="AQ15" s="287"/>
      <c r="AR15" s="287"/>
      <c r="AS15" s="287"/>
      <c r="AT15" s="249"/>
    </row>
    <row r="16" spans="1:53" hidden="1" outlineLevel="1">
      <c r="E16" s="248"/>
      <c r="F16" s="8"/>
      <c r="G16" s="8"/>
      <c r="H16" s="8"/>
      <c r="I16" s="278"/>
      <c r="J16" s="289" t="str">
        <f>J15</f>
        <v>ESD</v>
      </c>
      <c r="K16" s="290" t="str">
        <f>K$10</f>
        <v>Govt</v>
      </c>
      <c r="L16" s="208" t="s">
        <v>785</v>
      </c>
      <c r="M16" s="285">
        <f>InputSheet!$E$101</f>
        <v>3.3000000000000002E-2</v>
      </c>
      <c r="N16" s="286">
        <f>VLOOKUP(($E$8&amp;$J16),InputSheet!$A$22:$G$130,7,FALSE)</f>
        <v>1.0585667499999998</v>
      </c>
      <c r="O16" s="834">
        <v>0</v>
      </c>
      <c r="P16" s="834">
        <v>0</v>
      </c>
      <c r="Q16" s="287">
        <f t="shared" si="5"/>
        <v>0</v>
      </c>
      <c r="R16" s="287">
        <f t="shared" si="5"/>
        <v>0</v>
      </c>
      <c r="S16" s="287"/>
      <c r="T16" s="287"/>
      <c r="U16" s="834">
        <v>0</v>
      </c>
      <c r="V16" s="834">
        <v>0</v>
      </c>
      <c r="W16" s="834">
        <v>0</v>
      </c>
      <c r="X16" s="834">
        <v>0</v>
      </c>
      <c r="Y16" s="834">
        <v>0</v>
      </c>
      <c r="Z16" s="287">
        <f t="shared" si="3"/>
        <v>0</v>
      </c>
      <c r="AA16" s="291"/>
      <c r="AB16" s="209">
        <f t="shared" si="6"/>
        <v>0.08</v>
      </c>
      <c r="AC16" s="8"/>
      <c r="AD16" s="8"/>
      <c r="AE16" s="8"/>
      <c r="AF16" s="1034">
        <f t="shared" si="2"/>
        <v>3.3000000000000002E-2</v>
      </c>
      <c r="AG16" s="1019"/>
      <c r="AH16" s="1019"/>
      <c r="AI16" s="1019"/>
      <c r="AJ16" s="287"/>
      <c r="AK16" s="287"/>
      <c r="AL16" s="287"/>
      <c r="AM16" s="287"/>
      <c r="AN16" s="287"/>
      <c r="AO16" s="287"/>
      <c r="AP16" s="287"/>
      <c r="AQ16" s="287"/>
      <c r="AR16" s="287"/>
      <c r="AS16" s="287"/>
      <c r="AT16" s="249"/>
    </row>
    <row r="17" spans="4:53" hidden="1" outlineLevel="1">
      <c r="E17" s="248"/>
      <c r="F17" s="8"/>
      <c r="G17" s="8"/>
      <c r="H17" s="8"/>
      <c r="I17" s="278"/>
      <c r="J17" s="289" t="str">
        <f t="shared" si="4"/>
        <v>IS</v>
      </c>
      <c r="K17" s="290" t="str">
        <f>K$9</f>
        <v>Contr</v>
      </c>
      <c r="L17" s="208" t="s">
        <v>716</v>
      </c>
      <c r="M17" s="285">
        <f>InputSheet!$E$7</f>
        <v>3.3000000000000002E-2</v>
      </c>
      <c r="N17" s="286">
        <f>VLOOKUP(($E$8&amp;$J17),InputSheet!$A$22:$G$130,7,FALSE)</f>
        <v>1.0585667499999998</v>
      </c>
      <c r="O17" s="834">
        <v>0.5</v>
      </c>
      <c r="P17" s="834">
        <v>0</v>
      </c>
      <c r="Q17" s="287">
        <f t="shared" si="5"/>
        <v>0.31240000000000001</v>
      </c>
      <c r="R17" s="287">
        <f t="shared" si="5"/>
        <v>0.1988</v>
      </c>
      <c r="S17" s="287"/>
      <c r="T17" s="287"/>
      <c r="U17" s="834">
        <v>0</v>
      </c>
      <c r="V17" s="834">
        <v>0</v>
      </c>
      <c r="W17" s="834">
        <v>0</v>
      </c>
      <c r="X17" s="834">
        <v>0</v>
      </c>
      <c r="Y17" s="834">
        <v>0</v>
      </c>
      <c r="Z17" s="287">
        <f t="shared" si="3"/>
        <v>9.1999999999999998E-2</v>
      </c>
      <c r="AA17" s="291"/>
      <c r="AB17" s="209">
        <f t="shared" si="6"/>
        <v>0.08</v>
      </c>
      <c r="AC17" s="8"/>
      <c r="AD17" s="8"/>
      <c r="AE17" s="8"/>
      <c r="AF17" s="1034">
        <f t="shared" si="2"/>
        <v>3.3000000000000002E-2</v>
      </c>
      <c r="AG17" s="1019"/>
      <c r="AH17" s="1019"/>
      <c r="AI17" s="1019"/>
      <c r="AJ17" s="287"/>
      <c r="AK17" s="287"/>
      <c r="AL17" s="287"/>
      <c r="AM17" s="287"/>
      <c r="AN17" s="287"/>
      <c r="AO17" s="287"/>
      <c r="AP17" s="287"/>
      <c r="AQ17" s="287"/>
      <c r="AR17" s="287"/>
      <c r="AS17" s="287"/>
      <c r="AT17" s="249"/>
    </row>
    <row r="18" spans="4:53" hidden="1" outlineLevel="1">
      <c r="E18" s="248"/>
      <c r="F18" s="8"/>
      <c r="G18" s="8"/>
      <c r="H18" s="8"/>
      <c r="I18" s="278"/>
      <c r="J18" s="289" t="str">
        <f t="shared" si="4"/>
        <v>IS</v>
      </c>
      <c r="K18" s="290" t="str">
        <f>K$10</f>
        <v>Govt</v>
      </c>
      <c r="L18" s="208" t="s">
        <v>715</v>
      </c>
      <c r="M18" s="285">
        <f>InputSheet!$E$7</f>
        <v>3.3000000000000002E-2</v>
      </c>
      <c r="N18" s="286">
        <f>VLOOKUP(($E$8&amp;$J18),InputSheet!$A$22:$G$130,7,FALSE)</f>
        <v>1.0585667499999998</v>
      </c>
      <c r="O18" s="834">
        <v>0.5</v>
      </c>
      <c r="P18" s="834">
        <v>0</v>
      </c>
      <c r="Q18" s="287">
        <f t="shared" si="5"/>
        <v>0.31240000000000001</v>
      </c>
      <c r="R18" s="287">
        <f t="shared" si="5"/>
        <v>2.23E-2</v>
      </c>
      <c r="S18" s="287"/>
      <c r="T18" s="287"/>
      <c r="U18" s="834">
        <v>0</v>
      </c>
      <c r="V18" s="834">
        <v>0</v>
      </c>
      <c r="W18" s="834">
        <v>0</v>
      </c>
      <c r="X18" s="834">
        <v>0</v>
      </c>
      <c r="Y18" s="834">
        <v>0</v>
      </c>
      <c r="Z18" s="287">
        <f t="shared" si="3"/>
        <v>9.1999999999999998E-2</v>
      </c>
      <c r="AA18" s="291"/>
      <c r="AB18" s="209">
        <f t="shared" si="6"/>
        <v>0.08</v>
      </c>
      <c r="AC18" s="8"/>
      <c r="AD18" s="8"/>
      <c r="AE18" s="8"/>
      <c r="AF18" s="1034">
        <f t="shared" si="2"/>
        <v>3.3000000000000002E-2</v>
      </c>
      <c r="AG18" s="1019"/>
      <c r="AH18" s="1019"/>
      <c r="AI18" s="1019"/>
      <c r="AJ18" s="287"/>
      <c r="AK18" s="287"/>
      <c r="AL18" s="287"/>
      <c r="AM18" s="287"/>
      <c r="AN18" s="287"/>
      <c r="AO18" s="287"/>
      <c r="AP18" s="287"/>
      <c r="AQ18" s="287"/>
      <c r="AR18" s="287"/>
      <c r="AS18" s="287"/>
      <c r="AT18" s="249"/>
    </row>
    <row r="19" spans="4:53" hidden="1" outlineLevel="1">
      <c r="E19" s="248"/>
      <c r="F19" s="8"/>
      <c r="G19" s="8"/>
      <c r="H19" s="8"/>
      <c r="I19" s="278"/>
      <c r="J19" s="289" t="str">
        <f t="shared" si="4"/>
        <v>IS</v>
      </c>
      <c r="K19" s="290" t="str">
        <f>K$9</f>
        <v>Contr</v>
      </c>
      <c r="L19" s="208" t="s">
        <v>670</v>
      </c>
      <c r="M19" s="293">
        <v>0</v>
      </c>
      <c r="N19" s="292">
        <v>1</v>
      </c>
      <c r="O19" s="833">
        <v>0.5</v>
      </c>
      <c r="P19" s="833">
        <v>0</v>
      </c>
      <c r="Q19" s="287">
        <f t="shared" si="5"/>
        <v>0.31240000000000001</v>
      </c>
      <c r="R19" s="287">
        <f t="shared" si="5"/>
        <v>0.1988</v>
      </c>
      <c r="S19" s="287"/>
      <c r="T19" s="287"/>
      <c r="U19" s="833">
        <v>0</v>
      </c>
      <c r="V19" s="833">
        <v>0</v>
      </c>
      <c r="W19" s="833">
        <v>0</v>
      </c>
      <c r="X19" s="833">
        <v>0</v>
      </c>
      <c r="Y19" s="833">
        <v>0</v>
      </c>
      <c r="Z19" s="287">
        <f t="shared" si="3"/>
        <v>9.1999999999999998E-2</v>
      </c>
      <c r="AA19" s="291"/>
      <c r="AB19" s="209">
        <f t="shared" si="6"/>
        <v>0.08</v>
      </c>
      <c r="AC19" s="8"/>
      <c r="AD19" s="8"/>
      <c r="AE19" s="8"/>
      <c r="AF19" s="1034">
        <f t="shared" si="2"/>
        <v>0</v>
      </c>
      <c r="AG19" s="1019"/>
      <c r="AH19" s="1019"/>
      <c r="AI19" s="1019"/>
      <c r="AJ19" s="287"/>
      <c r="AK19" s="287"/>
      <c r="AL19" s="287"/>
      <c r="AM19" s="287"/>
      <c r="AN19" s="287"/>
      <c r="AO19" s="287"/>
      <c r="AP19" s="287"/>
      <c r="AQ19" s="287"/>
      <c r="AR19" s="287"/>
      <c r="AS19" s="287"/>
      <c r="AT19" s="249"/>
    </row>
    <row r="20" spans="4:53" hidden="1" outlineLevel="1">
      <c r="E20" s="248"/>
      <c r="F20" s="8"/>
      <c r="G20" s="8"/>
      <c r="H20" s="8"/>
      <c r="I20" s="278"/>
      <c r="J20" s="289" t="str">
        <f t="shared" si="4"/>
        <v>IS</v>
      </c>
      <c r="K20" s="290" t="str">
        <f>K$10</f>
        <v>Govt</v>
      </c>
      <c r="L20" s="208" t="s">
        <v>669</v>
      </c>
      <c r="M20" s="293">
        <v>0</v>
      </c>
      <c r="N20" s="292">
        <v>1</v>
      </c>
      <c r="O20" s="834">
        <v>0.5</v>
      </c>
      <c r="P20" s="834">
        <v>0</v>
      </c>
      <c r="Q20" s="287">
        <f t="shared" si="5"/>
        <v>0.31240000000000001</v>
      </c>
      <c r="R20" s="287">
        <f t="shared" si="5"/>
        <v>2.23E-2</v>
      </c>
      <c r="S20" s="287"/>
      <c r="T20" s="287"/>
      <c r="U20" s="834">
        <v>0</v>
      </c>
      <c r="V20" s="834">
        <v>0</v>
      </c>
      <c r="W20" s="834">
        <v>0</v>
      </c>
      <c r="X20" s="834">
        <v>0</v>
      </c>
      <c r="Y20" s="834">
        <v>0</v>
      </c>
      <c r="Z20" s="287">
        <f t="shared" si="3"/>
        <v>9.1999999999999998E-2</v>
      </c>
      <c r="AA20" s="291"/>
      <c r="AB20" s="209">
        <f t="shared" si="6"/>
        <v>0.08</v>
      </c>
      <c r="AC20" s="8"/>
      <c r="AD20" s="8"/>
      <c r="AE20" s="8"/>
      <c r="AF20" s="1034">
        <f t="shared" si="2"/>
        <v>0</v>
      </c>
      <c r="AG20" s="1019"/>
      <c r="AH20" s="1019"/>
      <c r="AI20" s="1019"/>
      <c r="AJ20" s="287"/>
      <c r="AK20" s="287"/>
      <c r="AL20" s="287"/>
      <c r="AM20" s="287"/>
      <c r="AN20" s="287"/>
      <c r="AO20" s="287"/>
      <c r="AP20" s="287"/>
      <c r="AQ20" s="287"/>
      <c r="AR20" s="287"/>
      <c r="AS20" s="287"/>
      <c r="AT20" s="249"/>
    </row>
    <row r="21" spans="4:53" collapsed="1">
      <c r="E21" s="248"/>
      <c r="F21" s="8"/>
      <c r="G21" s="8"/>
      <c r="H21" s="8"/>
      <c r="I21" s="278"/>
      <c r="J21" s="283" t="str">
        <f t="shared" si="4"/>
        <v>IS</v>
      </c>
      <c r="K21" s="284" t="str">
        <f>InputSheet!$D$44</f>
        <v>Contr/Govt</v>
      </c>
      <c r="L21" s="210" t="s">
        <v>684</v>
      </c>
      <c r="M21" s="285">
        <v>0</v>
      </c>
      <c r="N21" s="286">
        <v>1</v>
      </c>
      <c r="O21" s="833">
        <v>0</v>
      </c>
      <c r="P21" s="833">
        <v>0</v>
      </c>
      <c r="Q21" s="287"/>
      <c r="R21" s="287">
        <f>VLOOKUP($E$8&amp;$J21&amp;InputSheet!$C$44&amp;$K21,Indirects,2,FALSE)</f>
        <v>2.9700000000000001E-2</v>
      </c>
      <c r="S21" s="287"/>
      <c r="T21" s="287"/>
      <c r="U21" s="833">
        <v>0</v>
      </c>
      <c r="V21" s="833">
        <v>0</v>
      </c>
      <c r="W21" s="833">
        <v>0</v>
      </c>
      <c r="X21" s="833">
        <v>0</v>
      </c>
      <c r="Y21" s="833">
        <v>0</v>
      </c>
      <c r="Z21" s="287">
        <f t="shared" si="3"/>
        <v>9.1999999999999998E-2</v>
      </c>
      <c r="AA21" s="288"/>
      <c r="AB21" s="209">
        <f>'Pricing Summary'!C53</f>
        <v>0.08</v>
      </c>
      <c r="AC21" s="8"/>
      <c r="AD21" s="8"/>
      <c r="AE21" s="8"/>
      <c r="AF21" s="1035">
        <f t="shared" si="2"/>
        <v>0</v>
      </c>
      <c r="AG21" s="1018"/>
      <c r="AH21" s="1018"/>
      <c r="AI21" s="1018"/>
      <c r="AJ21" s="287"/>
      <c r="AK21" s="287"/>
      <c r="AL21" s="287"/>
      <c r="AM21" s="287"/>
      <c r="AN21" s="287"/>
      <c r="AO21" s="287"/>
      <c r="AP21" s="287"/>
      <c r="AQ21" s="287"/>
      <c r="AR21" s="287"/>
      <c r="AS21" s="287"/>
      <c r="AT21" s="249"/>
    </row>
    <row r="22" spans="4:53" hidden="1">
      <c r="E22" s="248"/>
      <c r="F22" s="8"/>
      <c r="G22" s="8"/>
      <c r="H22" s="8"/>
      <c r="I22" s="278"/>
      <c r="J22" s="289" t="str">
        <f t="shared" si="4"/>
        <v>IS</v>
      </c>
      <c r="K22" s="290" t="str">
        <f>K21</f>
        <v>Contr/Govt</v>
      </c>
      <c r="L22" s="211" t="s">
        <v>685</v>
      </c>
      <c r="M22" s="807">
        <v>0</v>
      </c>
      <c r="N22" s="294">
        <f>N21</f>
        <v>1</v>
      </c>
      <c r="O22" s="835">
        <v>0</v>
      </c>
      <c r="P22" s="835">
        <v>0</v>
      </c>
      <c r="Q22" s="295"/>
      <c r="R22" s="296">
        <f>VLOOKUP($E$8&amp;$J22&amp;InputSheet!$C$44&amp;$K22,Indirects,2,FALSE)</f>
        <v>2.9700000000000001E-2</v>
      </c>
      <c r="S22" s="296"/>
      <c r="T22" s="296"/>
      <c r="U22" s="835">
        <v>0</v>
      </c>
      <c r="V22" s="835">
        <v>0</v>
      </c>
      <c r="W22" s="835">
        <v>0</v>
      </c>
      <c r="X22" s="835">
        <v>0</v>
      </c>
      <c r="Y22" s="835">
        <v>0</v>
      </c>
      <c r="Z22" s="296">
        <f t="shared" si="3"/>
        <v>9.1999999999999998E-2</v>
      </c>
      <c r="AA22" s="297"/>
      <c r="AB22" s="212">
        <f t="shared" si="6"/>
        <v>0.08</v>
      </c>
      <c r="AC22" s="8"/>
      <c r="AD22" s="8"/>
      <c r="AE22" s="8"/>
      <c r="AF22" s="1035">
        <f t="shared" si="2"/>
        <v>0</v>
      </c>
      <c r="AG22" s="1020"/>
      <c r="AH22" s="1020"/>
      <c r="AI22" s="1020"/>
      <c r="AJ22" s="295"/>
      <c r="AK22" s="296"/>
      <c r="AL22" s="296"/>
      <c r="AM22" s="296"/>
      <c r="AN22" s="296"/>
      <c r="AO22" s="296"/>
      <c r="AP22" s="296"/>
      <c r="AQ22" s="296"/>
      <c r="AR22" s="296"/>
      <c r="AS22" s="296"/>
      <c r="AT22" s="249"/>
    </row>
    <row r="23" spans="4:53" hidden="1">
      <c r="E23" s="248"/>
      <c r="F23" s="8"/>
      <c r="G23" s="8"/>
      <c r="H23" s="8"/>
      <c r="I23" s="278"/>
      <c r="J23" s="289" t="str">
        <f t="shared" si="4"/>
        <v>IS</v>
      </c>
      <c r="K23" s="290" t="str">
        <f>K22</f>
        <v>Contr/Govt</v>
      </c>
      <c r="L23" s="207" t="s">
        <v>616</v>
      </c>
      <c r="M23" s="808">
        <v>0</v>
      </c>
      <c r="N23" s="298">
        <v>1</v>
      </c>
      <c r="O23" s="836">
        <v>0</v>
      </c>
      <c r="P23" s="836">
        <v>0</v>
      </c>
      <c r="Q23" s="299"/>
      <c r="R23" s="299">
        <f>VLOOKUP($E$8&amp;$J23&amp;InputSheet!$C$44&amp;$K23,Indirects,2,FALSE)</f>
        <v>2.9700000000000001E-2</v>
      </c>
      <c r="S23" s="299"/>
      <c r="T23" s="299"/>
      <c r="U23" s="836">
        <v>0</v>
      </c>
      <c r="V23" s="836">
        <v>0</v>
      </c>
      <c r="W23" s="836">
        <v>0</v>
      </c>
      <c r="X23" s="836">
        <v>0</v>
      </c>
      <c r="Y23" s="836">
        <v>0</v>
      </c>
      <c r="Z23" s="299">
        <f t="shared" si="3"/>
        <v>9.1999999999999998E-2</v>
      </c>
      <c r="AA23" s="300"/>
      <c r="AB23" s="213">
        <v>0</v>
      </c>
      <c r="AC23" s="8"/>
      <c r="AD23" s="8"/>
      <c r="AE23" s="8"/>
      <c r="AF23" s="1035">
        <f t="shared" si="2"/>
        <v>0</v>
      </c>
      <c r="AG23" s="1021"/>
      <c r="AH23" s="1021"/>
      <c r="AI23" s="1021"/>
      <c r="AJ23" s="299"/>
      <c r="AK23" s="299"/>
      <c r="AL23" s="299"/>
      <c r="AM23" s="299"/>
      <c r="AN23" s="299"/>
      <c r="AO23" s="299"/>
      <c r="AP23" s="299"/>
      <c r="AQ23" s="299"/>
      <c r="AR23" s="299"/>
      <c r="AS23" s="299"/>
      <c r="AT23" s="249"/>
    </row>
    <row r="24" spans="4:53">
      <c r="E24" s="248"/>
      <c r="F24" s="8"/>
      <c r="G24" s="8"/>
      <c r="H24" s="8"/>
      <c r="I24" s="278"/>
      <c r="J24" s="301" t="str">
        <f t="shared" si="4"/>
        <v>IS</v>
      </c>
      <c r="K24" s="302" t="str">
        <f>K23</f>
        <v>Contr/Govt</v>
      </c>
      <c r="L24" s="237" t="s">
        <v>617</v>
      </c>
      <c r="M24" s="809">
        <v>0</v>
      </c>
      <c r="N24" s="303">
        <v>1</v>
      </c>
      <c r="O24" s="837">
        <v>0</v>
      </c>
      <c r="P24" s="837">
        <v>0</v>
      </c>
      <c r="Q24" s="304"/>
      <c r="R24" s="305">
        <f>IF(OR($J$24="MBI - FT",$J$24="MBI - PT"),R23,0)</f>
        <v>0</v>
      </c>
      <c r="S24" s="305"/>
      <c r="T24" s="305"/>
      <c r="U24" s="837">
        <v>0</v>
      </c>
      <c r="V24" s="837">
        <v>0</v>
      </c>
      <c r="W24" s="837">
        <v>0</v>
      </c>
      <c r="X24" s="837">
        <v>0</v>
      </c>
      <c r="Y24" s="837">
        <v>0</v>
      </c>
      <c r="Z24" s="305">
        <f t="shared" si="3"/>
        <v>9.1999999999999998E-2</v>
      </c>
      <c r="AA24" s="306"/>
      <c r="AB24" s="238">
        <f>'Pricing Summary'!C54</f>
        <v>0.08</v>
      </c>
      <c r="AC24" s="8"/>
      <c r="AD24" s="8"/>
      <c r="AE24" s="8"/>
      <c r="AF24" s="1035">
        <f t="shared" si="2"/>
        <v>0</v>
      </c>
      <c r="AG24" s="1022"/>
      <c r="AH24" s="1022"/>
      <c r="AI24" s="1022"/>
      <c r="AJ24" s="304"/>
      <c r="AK24" s="305"/>
      <c r="AL24" s="305"/>
      <c r="AM24" s="305"/>
      <c r="AN24" s="305"/>
      <c r="AO24" s="305"/>
      <c r="AP24" s="305"/>
      <c r="AQ24" s="305"/>
      <c r="AR24" s="305"/>
      <c r="AS24" s="305"/>
      <c r="AT24" s="249"/>
    </row>
    <row r="25" spans="4:53">
      <c r="E25" s="248"/>
      <c r="F25" s="8"/>
      <c r="G25" s="8"/>
      <c r="H25" s="8"/>
      <c r="I25" s="8"/>
      <c r="J25" s="307"/>
      <c r="K25" s="307"/>
      <c r="L25" s="307"/>
      <c r="M25" s="307"/>
      <c r="N25" s="307"/>
      <c r="O25" s="307"/>
      <c r="P25" s="307"/>
      <c r="Q25" s="307"/>
      <c r="R25" s="307"/>
      <c r="S25" s="307"/>
      <c r="T25" s="307"/>
      <c r="U25" s="307"/>
      <c r="V25" s="307"/>
      <c r="W25" s="307"/>
      <c r="X25" s="307"/>
      <c r="Y25" s="307"/>
      <c r="Z25" s="307"/>
      <c r="AA25" s="307"/>
      <c r="AB25" s="307"/>
      <c r="AC25" s="8"/>
      <c r="AD25" s="8"/>
      <c r="AE25" s="8"/>
      <c r="AF25" s="250" t="s">
        <v>920</v>
      </c>
      <c r="AG25" s="8"/>
      <c r="AH25" s="8"/>
      <c r="AI25" s="8"/>
      <c r="AJ25" s="8"/>
      <c r="AK25" s="8"/>
      <c r="AL25" s="8"/>
      <c r="AM25" s="8"/>
      <c r="AN25" s="8"/>
      <c r="AO25" s="8"/>
      <c r="AP25" s="8"/>
      <c r="AQ25" s="8"/>
      <c r="AR25" s="8"/>
      <c r="AS25" s="8"/>
      <c r="AT25" s="8"/>
      <c r="AZ25" s="308"/>
      <c r="BA25" s="308"/>
    </row>
    <row r="26" spans="4:53" hidden="1" outlineLevel="1">
      <c r="E26" s="248"/>
      <c r="F26" s="8"/>
      <c r="G26" s="8"/>
      <c r="H26" s="8"/>
      <c r="I26" s="8"/>
      <c r="J26" s="8"/>
      <c r="K26" s="8"/>
      <c r="L26" s="8"/>
      <c r="M26" s="309"/>
      <c r="N26" s="310" t="str">
        <f>M$28&amp;"*"&amp;N$5</f>
        <v>A*B%</v>
      </c>
      <c r="O26" s="310"/>
      <c r="P26" s="310"/>
      <c r="Q26" s="310" t="str">
        <f>N$28&amp;"*"&amp;Q$5</f>
        <v>B*C%</v>
      </c>
      <c r="R26" s="310" t="str">
        <f>"("&amp;N28&amp;"+"&amp;Q$28&amp;")"&amp;"*"&amp;R$5</f>
        <v>(B+C)*D%</v>
      </c>
      <c r="S26" s="310"/>
      <c r="T26" s="310"/>
      <c r="U26" s="310"/>
      <c r="V26" s="310"/>
      <c r="W26" s="310"/>
      <c r="X26" s="310"/>
      <c r="Y26" s="310"/>
      <c r="Z26" s="310" t="str">
        <f>"("&amp;N28&amp;"+"&amp;Q28&amp;"+"&amp;R$28&amp;")"&amp;"*"&amp;Z$5</f>
        <v>(B+C+D)*E%</v>
      </c>
      <c r="AA26" s="310" t="s">
        <v>776</v>
      </c>
      <c r="AB26" s="310" t="str">
        <f>"("&amp;N28&amp;"+"&amp;Q28&amp;"+"&amp;R$28&amp;"+"&amp;Z$28&amp;")"&amp;"*"&amp;AB$5</f>
        <v>(B+C+D+E)*G%</v>
      </c>
      <c r="AC26" s="8"/>
      <c r="AD26" s="8"/>
      <c r="AE26" s="8"/>
      <c r="AF26" s="250"/>
    </row>
    <row r="27" spans="4:53" ht="8.25" hidden="1" customHeight="1" outlineLevel="1">
      <c r="E27" s="248"/>
      <c r="F27" s="8"/>
      <c r="G27" s="8"/>
      <c r="H27" s="8"/>
      <c r="I27" s="8"/>
      <c r="J27" s="8"/>
      <c r="K27" s="8"/>
      <c r="L27" s="8"/>
      <c r="M27" s="311"/>
      <c r="N27" s="312"/>
      <c r="O27" s="312"/>
      <c r="P27" s="312"/>
      <c r="Q27" s="312"/>
      <c r="R27" s="312"/>
      <c r="S27" s="312"/>
      <c r="T27" s="312"/>
      <c r="U27" s="312"/>
      <c r="V27" s="312"/>
      <c r="W27" s="312"/>
      <c r="X27" s="312"/>
      <c r="Y27" s="312"/>
      <c r="Z27" s="312"/>
      <c r="AA27" s="312"/>
      <c r="AB27" s="312"/>
      <c r="AC27" s="8"/>
      <c r="AD27" s="8"/>
      <c r="AE27" s="8"/>
      <c r="AF27" s="250"/>
    </row>
    <row r="28" spans="4:53" hidden="1" outlineLevel="1">
      <c r="E28" s="248"/>
      <c r="F28" s="8"/>
      <c r="G28" s="8"/>
      <c r="H28" s="8"/>
      <c r="I28" s="8"/>
      <c r="J28" s="8"/>
      <c r="K28" s="8"/>
      <c r="L28" s="8"/>
      <c r="M28" s="263" t="s">
        <v>601</v>
      </c>
      <c r="N28" s="263" t="s">
        <v>598</v>
      </c>
      <c r="O28" s="263"/>
      <c r="P28" s="263"/>
      <c r="Q28" s="263" t="s">
        <v>599</v>
      </c>
      <c r="R28" s="263" t="s">
        <v>618</v>
      </c>
      <c r="S28" s="263"/>
      <c r="T28" s="263"/>
      <c r="U28" s="263"/>
      <c r="V28" s="263"/>
      <c r="W28" s="263"/>
      <c r="X28" s="263"/>
      <c r="Y28" s="263"/>
      <c r="Z28" s="263" t="s">
        <v>645</v>
      </c>
      <c r="AA28" s="263" t="s">
        <v>774</v>
      </c>
      <c r="AB28" s="263" t="s">
        <v>775</v>
      </c>
      <c r="AC28" s="8"/>
      <c r="AD28" s="8"/>
      <c r="AE28" s="8"/>
      <c r="AF28" s="250"/>
    </row>
    <row r="29" spans="4:53" collapsed="1">
      <c r="E29" s="248"/>
      <c r="F29" s="8"/>
      <c r="G29" s="8"/>
      <c r="H29" s="8"/>
      <c r="I29" s="8"/>
      <c r="J29" s="8"/>
      <c r="K29" s="8"/>
      <c r="L29" s="8"/>
      <c r="M29" s="8"/>
      <c r="N29" s="8"/>
      <c r="O29" s="8"/>
      <c r="P29" s="8"/>
      <c r="Q29" s="8"/>
      <c r="R29" s="8"/>
      <c r="S29" s="8"/>
      <c r="T29" s="8"/>
      <c r="U29" s="8"/>
      <c r="V29" s="8"/>
      <c r="W29" s="8"/>
      <c r="X29" s="8"/>
      <c r="Y29" s="8"/>
      <c r="Z29" s="8"/>
      <c r="AA29" s="313"/>
      <c r="AB29" s="8"/>
      <c r="AC29" s="8"/>
      <c r="AD29" s="8"/>
      <c r="AE29" s="8"/>
      <c r="AF29" s="250">
        <v>12</v>
      </c>
      <c r="AT29" s="314"/>
      <c r="AU29" s="39"/>
      <c r="AV29" s="314"/>
      <c r="AW29" s="39"/>
      <c r="AZ29" s="308" t="s">
        <v>778</v>
      </c>
      <c r="BA29" s="308" t="s">
        <v>777</v>
      </c>
    </row>
    <row r="30" spans="4:53" ht="13.5" thickBot="1">
      <c r="E30" s="315" t="s">
        <v>632</v>
      </c>
      <c r="F30" s="37"/>
      <c r="G30" s="37" t="s">
        <v>633</v>
      </c>
      <c r="H30" s="8"/>
      <c r="I30" s="37" t="s">
        <v>634</v>
      </c>
      <c r="J30" s="47" t="s">
        <v>644</v>
      </c>
      <c r="K30" s="47" t="s">
        <v>644</v>
      </c>
      <c r="L30" s="37" t="str">
        <f>L8</f>
        <v>Burden Code</v>
      </c>
      <c r="M30" s="39" t="s">
        <v>635</v>
      </c>
      <c r="N30" s="39" t="s">
        <v>58</v>
      </c>
      <c r="O30" s="39" t="str">
        <f>O8</f>
        <v>Hazard</v>
      </c>
      <c r="P30" s="39" t="str">
        <f>P8</f>
        <v>Harship</v>
      </c>
      <c r="Q30" s="39" t="str">
        <f t="shared" ref="Q30:AB30" si="7">Q8</f>
        <v>PRB</v>
      </c>
      <c r="R30" s="39" t="str">
        <f t="shared" si="7"/>
        <v>Overhead</v>
      </c>
      <c r="S30" s="39"/>
      <c r="T30" s="39"/>
      <c r="U30" s="39" t="str">
        <f t="shared" si="7"/>
        <v>Finders Fee</v>
      </c>
      <c r="V30" s="39" t="str">
        <f>V8</f>
        <v>Comp. Bonus</v>
      </c>
      <c r="W30" s="39" t="str">
        <f>W8</f>
        <v>War Risk Ins.</v>
      </c>
      <c r="X30" s="39" t="str">
        <f>X8</f>
        <v>DBA Ins.</v>
      </c>
      <c r="Y30" s="39" t="str">
        <f>Y8</f>
        <v>Travel</v>
      </c>
      <c r="Z30" s="39" t="str">
        <f t="shared" si="7"/>
        <v>G&amp;A</v>
      </c>
      <c r="AA30" s="39" t="str">
        <f t="shared" si="7"/>
        <v>Cost</v>
      </c>
      <c r="AB30" s="39" t="str">
        <f t="shared" si="7"/>
        <v>Profit / Fee</v>
      </c>
      <c r="AC30" s="39" t="s">
        <v>908</v>
      </c>
      <c r="AD30" s="39" t="s">
        <v>646</v>
      </c>
      <c r="AE30" s="39" t="s">
        <v>638</v>
      </c>
      <c r="AF30" s="316" t="s">
        <v>907</v>
      </c>
      <c r="AG30" s="314"/>
      <c r="AH30" s="314"/>
      <c r="AI30" s="314"/>
      <c r="AJ30" s="314"/>
      <c r="AK30" s="314"/>
      <c r="AL30" s="314"/>
      <c r="AM30" s="314"/>
      <c r="AN30" s="314"/>
      <c r="AO30" s="314"/>
      <c r="AP30" s="314"/>
      <c r="AQ30" s="314"/>
      <c r="AR30" s="314"/>
      <c r="AS30" s="314"/>
      <c r="AT30" s="314"/>
      <c r="AU30" s="39"/>
      <c r="AV30" s="314"/>
      <c r="AW30" s="39"/>
      <c r="AZ30" s="251">
        <v>1</v>
      </c>
      <c r="BA30" s="251">
        <v>1</v>
      </c>
    </row>
    <row r="31" spans="4:53" s="317" customFormat="1" ht="16.5" thickBot="1">
      <c r="E31" s="240" t="s">
        <v>640</v>
      </c>
      <c r="F31" s="202"/>
      <c r="G31" s="202"/>
      <c r="H31" s="203"/>
      <c r="I31" s="202"/>
      <c r="J31" s="201"/>
      <c r="K31" s="201"/>
      <c r="L31" s="202"/>
      <c r="M31" s="204"/>
      <c r="N31" s="204"/>
      <c r="O31" s="204"/>
      <c r="P31" s="204"/>
      <c r="Q31" s="204"/>
      <c r="R31" s="204"/>
      <c r="S31" s="204"/>
      <c r="T31" s="204"/>
      <c r="U31" s="204"/>
      <c r="V31" s="204"/>
      <c r="W31" s="204"/>
      <c r="X31" s="204"/>
      <c r="Y31" s="204"/>
      <c r="Z31" s="204"/>
      <c r="AA31" s="204"/>
      <c r="AB31" s="204"/>
      <c r="AC31" s="204"/>
      <c r="AD31" s="204"/>
      <c r="AE31" s="204"/>
      <c r="AF31" s="205"/>
      <c r="AG31" s="206"/>
      <c r="AH31" s="206"/>
      <c r="AI31" s="206" t="s">
        <v>742</v>
      </c>
      <c r="AJ31" s="206" t="s">
        <v>741</v>
      </c>
      <c r="AK31" s="206" t="s">
        <v>66</v>
      </c>
      <c r="AL31" s="206"/>
      <c r="AM31" s="206"/>
      <c r="AN31" s="206"/>
      <c r="AO31" s="206"/>
      <c r="AP31" s="206" t="s">
        <v>989</v>
      </c>
      <c r="AQ31" s="206"/>
      <c r="AR31" s="206"/>
      <c r="AS31" s="206"/>
      <c r="AT31" s="206"/>
      <c r="AU31" s="206"/>
      <c r="AV31" s="206"/>
      <c r="AW31" s="318"/>
      <c r="AZ31" s="251">
        <v>1</v>
      </c>
      <c r="BA31" s="251">
        <v>1</v>
      </c>
    </row>
    <row r="32" spans="4:53">
      <c r="D32" s="8">
        <v>1</v>
      </c>
      <c r="E32" s="319" t="str">
        <f t="shared" ref="E32:E49" si="8">VLOOKUP($D32,DL,2,FALSE)</f>
        <v xml:space="preserve">LAN/Wan Engineer </v>
      </c>
      <c r="F32" s="8"/>
      <c r="G32" s="363" t="str">
        <f>+InputSheet!E173</f>
        <v>ManTech</v>
      </c>
      <c r="H32" s="8"/>
      <c r="I32" s="320">
        <f t="shared" ref="I32:I49" si="9">VLOOKUP($D32,DL,5,FALSE)</f>
        <v>0</v>
      </c>
      <c r="J32" s="198" t="str">
        <f>G32&amp;D32&amp;I32&amp;L32</f>
        <v>ManTech10Govt</v>
      </c>
      <c r="K32" s="198"/>
      <c r="L32" s="363" t="s">
        <v>623</v>
      </c>
      <c r="M32" s="321">
        <f>IF(G32="ManTech",(VLOOKUP($D32,DL,6,FALSE)),(INDEX('Sub Rates'!$F$9:$IK$48,MATCH(($E32&amp;$L32),'Sub Rates'!$E$9:$E$48,0),MATCH(($E$8&amp;$G32),'Sub Rates'!$F$8:$IK$8,0))))</f>
        <v>29</v>
      </c>
      <c r="N32" s="321">
        <f t="shared" ref="N32:N49" ca="1" si="10">ROUND($M32*(VLOOKUP($L32,$L$9:$AB$24,N$6,FALSE)),2)</f>
        <v>30.7</v>
      </c>
      <c r="O32" s="321">
        <f ca="1">$N32*(VLOOKUP($L32,$L$9:$AB$24,O$6,FALSE))</f>
        <v>10.744999999999999</v>
      </c>
      <c r="P32" s="321">
        <f ca="1">$N32*(VLOOKUP($L32,$L$9:$AB$24,P$6,FALSE))</f>
        <v>10.744999999999999</v>
      </c>
      <c r="Q32" s="321">
        <f ca="1">($N32+O32+P32)*(VLOOKUP($L32,$L$9:$AB$24,Q$6,FALSE))</f>
        <v>16.304155999999999</v>
      </c>
      <c r="R32" s="321">
        <f ca="1">($N32+$Q32+O32+P32)*(VLOOKUP($L32,$L$9:$AB$24,R$6,FALSE))</f>
        <v>1.5274196787999998</v>
      </c>
      <c r="S32" s="321">
        <f t="shared" ref="S32:S37" ca="1" si="11">$S$10/SUM($AD$32:$AD$46)</f>
        <v>0.27851340996168583</v>
      </c>
      <c r="T32" s="321">
        <f t="shared" ref="T32:T37" ca="1" si="12">$T$10/SUM($AD$32:$AD$46)</f>
        <v>7.3733333333333331E-2</v>
      </c>
      <c r="U32" s="321">
        <f t="shared" ref="U32:U37" si="13">(M32*AD32)*$U$10</f>
        <v>0</v>
      </c>
      <c r="V32" s="321">
        <f>$V$10/AD32</f>
        <v>1.4367816091954022</v>
      </c>
      <c r="W32" s="321">
        <f>$W$10/AD32</f>
        <v>0.25875862068965516</v>
      </c>
      <c r="X32" s="321">
        <f t="shared" ref="X32:X37" ca="1" si="14">N32*$X$10</f>
        <v>0.58329999999999993</v>
      </c>
      <c r="Y32" s="321">
        <f t="shared" ref="Y32:Y37" si="15">$Y$10/AD32</f>
        <v>0.6152586206896552</v>
      </c>
      <c r="Z32" s="321">
        <f ca="1">IF($G32="ManTech",(SUM($N32:$Y32)*(VLOOKUP($L32,$L$9:$AB$24,Z$6,FALSE))),(IF(R32=0,((SUM(N32,#REF!))*(VLOOKUP($L32,$L$9:$AB$24,Z$6,FALSE))),(SUM($R32:$R32)*(VLOOKUP($L32,$L$9:$AB$24,Z$6,FALSE))))))</f>
        <v>6.7406487570856175</v>
      </c>
      <c r="AA32" s="321">
        <f ca="1">SUM(N32:Z32)</f>
        <v>80.008570029755376</v>
      </c>
      <c r="AB32" s="321">
        <f t="shared" ref="AB32:AB46" ca="1" si="16">(AA32*(VLOOKUP($L32,$L$9:$AB$24,AB$6,FALSE)))</f>
        <v>6.4006856023804302</v>
      </c>
      <c r="AC32" s="321">
        <f ca="1">ROUND(SUM(AA32:AB32),2)</f>
        <v>86.41</v>
      </c>
      <c r="AD32" s="214">
        <f>VLOOKUP(D32,InputSheet!B173:O187,13,FALSE)</f>
        <v>3480</v>
      </c>
      <c r="AE32" s="336">
        <f t="shared" ref="AE32:AE49" ca="1" si="17">$AC32*$AD32</f>
        <v>300706.8</v>
      </c>
      <c r="AF32" s="1036">
        <f ca="1">AC32*$AF$29</f>
        <v>1036.92</v>
      </c>
      <c r="AG32" s="323"/>
      <c r="AH32" s="323"/>
      <c r="AI32" s="323">
        <f ca="1">AA32*AD32</f>
        <v>278429.8237035487</v>
      </c>
      <c r="AJ32" s="323">
        <f ca="1">AC32*AD32</f>
        <v>300706.8</v>
      </c>
      <c r="AK32" s="323">
        <f ca="1">AJ32-AI32</f>
        <v>22276.976296451292</v>
      </c>
      <c r="AL32" s="20">
        <f ca="1">IF(AK32=0,0,ROUND(AK32/AI32,2))</f>
        <v>0.08</v>
      </c>
      <c r="AM32" s="323"/>
      <c r="AN32" s="323"/>
      <c r="AO32" s="323"/>
      <c r="AP32" s="323">
        <f>Y32*AD32</f>
        <v>2141.1</v>
      </c>
      <c r="AQ32" s="323"/>
      <c r="AR32" s="323"/>
      <c r="AS32" s="323"/>
      <c r="AT32" s="323"/>
      <c r="AU32" s="60"/>
      <c r="AV32" s="324"/>
      <c r="AW32" s="325"/>
      <c r="AZ32" s="251" t="str">
        <f ca="1">IF((OR((AC32=""),(AC32&gt;0))),"1","0")</f>
        <v>1</v>
      </c>
      <c r="BA32" s="251" t="str">
        <f ca="1">IF((OR((AE32=""),(AE32&gt;0))),"1","0")</f>
        <v>1</v>
      </c>
    </row>
    <row r="33" spans="4:53">
      <c r="D33" s="8">
        <f>D32+1</f>
        <v>2</v>
      </c>
      <c r="E33" s="319" t="str">
        <f t="shared" si="8"/>
        <v>Functional Services Administrator</v>
      </c>
      <c r="F33" s="8"/>
      <c r="G33" s="363" t="str">
        <f>+InputSheet!E174</f>
        <v>ManTech</v>
      </c>
      <c r="H33" s="8"/>
      <c r="I33" s="320">
        <f t="shared" si="9"/>
        <v>0</v>
      </c>
      <c r="J33" s="198" t="str">
        <f t="shared" ref="J33:J46" si="18">G33&amp;D33&amp;I33&amp;L33</f>
        <v>ManTech20Govt</v>
      </c>
      <c r="K33" s="198"/>
      <c r="L33" s="363" t="s">
        <v>623</v>
      </c>
      <c r="M33" s="321">
        <f>IF(G33="ManTech",(VLOOKUP($D33,DL,6,FALSE)),(INDEX('Sub Rates'!$F$9:$IK$48,MATCH(($E33&amp;$L33),'Sub Rates'!$E$9:$E$48,0),MATCH(($E$8&amp;$G33),'Sub Rates'!$F$8:$IK$8,0))))</f>
        <v>33.81</v>
      </c>
      <c r="N33" s="321">
        <f t="shared" ca="1" si="10"/>
        <v>35.79</v>
      </c>
      <c r="O33" s="321">
        <f t="shared" ref="O33:P49" ca="1" si="19">$N33*(VLOOKUP($L33,$L$9:$AB$24,O$6,FALSE))</f>
        <v>12.526499999999999</v>
      </c>
      <c r="P33" s="321">
        <f t="shared" ca="1" si="19"/>
        <v>12.526499999999999</v>
      </c>
      <c r="Q33" s="321">
        <f t="shared" ref="Q33:Q48" ca="1" si="20">($N33+O33+P33)*(VLOOKUP($L33,$L$9:$AB$24,Q$6,FALSE))</f>
        <v>19.007353200000001</v>
      </c>
      <c r="R33" s="321">
        <f t="shared" ref="R33:R46" ca="1" si="21">($N33+$Q33+O33+P33)*(VLOOKUP($L33,$L$9:$AB$24,R$6,FALSE))</f>
        <v>1.7806628763600001</v>
      </c>
      <c r="S33" s="321">
        <f t="shared" ca="1" si="11"/>
        <v>0.27851340996168583</v>
      </c>
      <c r="T33" s="321">
        <f t="shared" ca="1" si="12"/>
        <v>7.3733333333333331E-2</v>
      </c>
      <c r="U33" s="321">
        <f t="shared" si="13"/>
        <v>0</v>
      </c>
      <c r="V33" s="321">
        <f t="shared" ref="V33:V46" si="22">$V$10/AD33</f>
        <v>1.4367816091954022</v>
      </c>
      <c r="W33" s="321">
        <f t="shared" ref="W33:W46" si="23">$W$10/AD33</f>
        <v>0.25875862068965516</v>
      </c>
      <c r="X33" s="321">
        <f t="shared" ca="1" si="14"/>
        <v>0.68001</v>
      </c>
      <c r="Y33" s="321">
        <f t="shared" si="15"/>
        <v>0.6152586206896552</v>
      </c>
      <c r="Z33" s="321">
        <f ca="1">IF($G33="ManTech",(SUM($N33:$Y33)*(VLOOKUP($L33,$L$9:$AB$24,Z$6,FALSE))),(IF(R33=0,((SUM(N33,#REF!))*(VLOOKUP($L33,$L$9:$AB$24,Z$6,FALSE))),(SUM($R33:$R33)*(VLOOKUP($L33,$L$9:$AB$24,Z$6,FALSE))))))</f>
        <v>7.817614593661137</v>
      </c>
      <c r="AA33" s="321">
        <f t="shared" ref="AA33:AA46" ca="1" si="24">SUM(N33:Z33)</f>
        <v>92.791686263890881</v>
      </c>
      <c r="AB33" s="321">
        <f t="shared" ca="1" si="16"/>
        <v>7.4233349011112706</v>
      </c>
      <c r="AC33" s="321">
        <f t="shared" ref="AC33:AC46" ca="1" si="25">ROUND(SUM(AA33:AB33),2)</f>
        <v>100.22</v>
      </c>
      <c r="AD33" s="214">
        <f>VLOOKUP(D33,InputSheet!B174:O188,13,FALSE)</f>
        <v>3480</v>
      </c>
      <c r="AE33" s="336">
        <f t="shared" ca="1" si="17"/>
        <v>348765.6</v>
      </c>
      <c r="AF33" s="1036">
        <f t="shared" ref="AF33:AF46" ca="1" si="26">AC33*$AF$29</f>
        <v>1202.6399999999999</v>
      </c>
      <c r="AG33" s="323"/>
      <c r="AH33" s="323"/>
      <c r="AI33" s="323">
        <f t="shared" ref="AI33:AI46" ca="1" si="27">AA33*AD33</f>
        <v>322915.06819834025</v>
      </c>
      <c r="AJ33" s="323">
        <f t="shared" ref="AJ33:AJ46" ca="1" si="28">AC33*AD33</f>
        <v>348765.6</v>
      </c>
      <c r="AK33" s="323">
        <f t="shared" ref="AK33:AK46" ca="1" si="29">AJ33-AI33</f>
        <v>25850.53180165973</v>
      </c>
      <c r="AL33" s="20">
        <f t="shared" ref="AL33:AL46" ca="1" si="30">IF(AK33=0,0,ROUND(AK33/AI33,2))</f>
        <v>0.08</v>
      </c>
      <c r="AM33" s="323"/>
      <c r="AN33" s="323"/>
      <c r="AO33" s="323"/>
      <c r="AP33" s="323">
        <f t="shared" ref="AP33:AP46" si="31">Y33*AD33</f>
        <v>2141.1</v>
      </c>
      <c r="AQ33" s="323"/>
      <c r="AR33" s="323"/>
      <c r="AS33" s="323"/>
      <c r="AT33" s="323"/>
      <c r="AU33" s="60"/>
      <c r="AV33" s="324"/>
      <c r="AW33" s="325"/>
      <c r="AZ33" s="251" t="str">
        <f t="shared" ref="AZ33:AZ92" ca="1" si="32">IF((OR((AC33=""),(AC33&gt;0))),"1","0")</f>
        <v>1</v>
      </c>
      <c r="BA33" s="251" t="str">
        <f t="shared" ref="BA33:BA92" ca="1" si="33">IF((OR((AE33=""),(AE33&gt;0))),"1","0")</f>
        <v>1</v>
      </c>
    </row>
    <row r="34" spans="4:53">
      <c r="D34" s="8">
        <f t="shared" ref="D34:D42" si="34">D33+1</f>
        <v>3</v>
      </c>
      <c r="E34" s="319" t="str">
        <f t="shared" si="8"/>
        <v>Functional Services Administrator</v>
      </c>
      <c r="F34" s="8"/>
      <c r="G34" s="363" t="str">
        <f>+InputSheet!E175</f>
        <v>ManTech</v>
      </c>
      <c r="H34" s="8"/>
      <c r="I34" s="320">
        <f t="shared" si="9"/>
        <v>0</v>
      </c>
      <c r="J34" s="198" t="str">
        <f t="shared" si="18"/>
        <v>ManTech30Govt</v>
      </c>
      <c r="K34" s="198"/>
      <c r="L34" s="363" t="s">
        <v>623</v>
      </c>
      <c r="M34" s="321">
        <f>IF(G34="ManTech",(VLOOKUP($D34,DL,6,FALSE)),(INDEX('Sub Rates'!$F$9:$IK$48,MATCH(($E34&amp;$L34),'Sub Rates'!$E$9:$E$48,0),MATCH(($E$8&amp;$G34),'Sub Rates'!$F$8:$IK$8,0))))</f>
        <v>33.81</v>
      </c>
      <c r="N34" s="321">
        <f t="shared" ca="1" si="10"/>
        <v>35.79</v>
      </c>
      <c r="O34" s="321">
        <f t="shared" ca="1" si="19"/>
        <v>12.526499999999999</v>
      </c>
      <c r="P34" s="321">
        <f t="shared" ca="1" si="19"/>
        <v>12.526499999999999</v>
      </c>
      <c r="Q34" s="321">
        <f t="shared" ca="1" si="20"/>
        <v>19.007353200000001</v>
      </c>
      <c r="R34" s="321">
        <f t="shared" ca="1" si="21"/>
        <v>1.7806628763600001</v>
      </c>
      <c r="S34" s="321">
        <f t="shared" ca="1" si="11"/>
        <v>0.27851340996168583</v>
      </c>
      <c r="T34" s="321">
        <f t="shared" ca="1" si="12"/>
        <v>7.3733333333333331E-2</v>
      </c>
      <c r="U34" s="321">
        <f t="shared" si="13"/>
        <v>0</v>
      </c>
      <c r="V34" s="321">
        <f t="shared" si="22"/>
        <v>1.4367816091954022</v>
      </c>
      <c r="W34" s="321">
        <f t="shared" si="23"/>
        <v>0.25875862068965516</v>
      </c>
      <c r="X34" s="321">
        <f t="shared" ca="1" si="14"/>
        <v>0.68001</v>
      </c>
      <c r="Y34" s="321">
        <f t="shared" si="15"/>
        <v>0.6152586206896552</v>
      </c>
      <c r="Z34" s="321">
        <f ca="1">IF($G34="ManTech",(SUM($N34:$Y34)*(VLOOKUP($L34,$L$9:$AB$24,Z$6,FALSE))),(IF(R34=0,((SUM(N34,#REF!))*(VLOOKUP($L34,$L$9:$AB$24,Z$6,FALSE))),(SUM($R34:$R34)*(VLOOKUP($L34,$L$9:$AB$24,Z$6,FALSE))))))</f>
        <v>7.817614593661137</v>
      </c>
      <c r="AA34" s="321">
        <f t="shared" ca="1" si="24"/>
        <v>92.791686263890881</v>
      </c>
      <c r="AB34" s="321">
        <f t="shared" ca="1" si="16"/>
        <v>7.4233349011112706</v>
      </c>
      <c r="AC34" s="321">
        <f t="shared" ca="1" si="25"/>
        <v>100.22</v>
      </c>
      <c r="AD34" s="214">
        <f>VLOOKUP(D34,InputSheet!B175:O189,13,FALSE)</f>
        <v>3480</v>
      </c>
      <c r="AE34" s="336">
        <f t="shared" ca="1" si="17"/>
        <v>348765.6</v>
      </c>
      <c r="AF34" s="1036">
        <f t="shared" ca="1" si="26"/>
        <v>1202.6399999999999</v>
      </c>
      <c r="AG34" s="323"/>
      <c r="AH34" s="323"/>
      <c r="AI34" s="323">
        <f t="shared" ca="1" si="27"/>
        <v>322915.06819834025</v>
      </c>
      <c r="AJ34" s="323">
        <f t="shared" ca="1" si="28"/>
        <v>348765.6</v>
      </c>
      <c r="AK34" s="323">
        <f t="shared" ca="1" si="29"/>
        <v>25850.53180165973</v>
      </c>
      <c r="AL34" s="20">
        <f t="shared" ca="1" si="30"/>
        <v>0.08</v>
      </c>
      <c r="AM34" s="323"/>
      <c r="AN34" s="323"/>
      <c r="AO34" s="323"/>
      <c r="AP34" s="323">
        <f t="shared" si="31"/>
        <v>2141.1</v>
      </c>
      <c r="AQ34" s="323"/>
      <c r="AR34" s="323"/>
      <c r="AS34" s="323"/>
      <c r="AT34" s="323"/>
      <c r="AU34" s="60"/>
      <c r="AV34" s="324"/>
      <c r="AW34" s="325"/>
      <c r="AZ34" s="251" t="str">
        <f t="shared" ca="1" si="32"/>
        <v>1</v>
      </c>
      <c r="BA34" s="251" t="str">
        <f t="shared" ca="1" si="33"/>
        <v>1</v>
      </c>
    </row>
    <row r="35" spans="4:53">
      <c r="D35" s="8">
        <f t="shared" si="34"/>
        <v>4</v>
      </c>
      <c r="E35" s="319" t="str">
        <f t="shared" si="8"/>
        <v>Functional Services Administrator</v>
      </c>
      <c r="F35" s="8"/>
      <c r="G35" s="363" t="str">
        <f>+InputSheet!E176</f>
        <v>ManTech</v>
      </c>
      <c r="H35" s="8"/>
      <c r="I35" s="320">
        <f t="shared" si="9"/>
        <v>0</v>
      </c>
      <c r="J35" s="198" t="str">
        <f t="shared" si="18"/>
        <v>ManTech40Govt</v>
      </c>
      <c r="K35" s="198"/>
      <c r="L35" s="363" t="s">
        <v>623</v>
      </c>
      <c r="M35" s="321">
        <f>IF(G35="ManTech",(VLOOKUP($D35,DL,6,FALSE)),(INDEX('Sub Rates'!$F$9:$IK$48,MATCH(($E35&amp;$L35),'Sub Rates'!$E$9:$E$48,0),MATCH(($E$8&amp;$G35),'Sub Rates'!$F$8:$IK$8,0))))</f>
        <v>33.81</v>
      </c>
      <c r="N35" s="321">
        <f t="shared" ca="1" si="10"/>
        <v>35.79</v>
      </c>
      <c r="O35" s="321">
        <f t="shared" ca="1" si="19"/>
        <v>12.526499999999999</v>
      </c>
      <c r="P35" s="321">
        <f t="shared" ca="1" si="19"/>
        <v>12.526499999999999</v>
      </c>
      <c r="Q35" s="321">
        <f t="shared" ca="1" si="20"/>
        <v>19.007353200000001</v>
      </c>
      <c r="R35" s="321">
        <f t="shared" ca="1" si="21"/>
        <v>1.7806628763600001</v>
      </c>
      <c r="S35" s="321">
        <f t="shared" ca="1" si="11"/>
        <v>0.27851340996168583</v>
      </c>
      <c r="T35" s="321">
        <f t="shared" ca="1" si="12"/>
        <v>7.3733333333333331E-2</v>
      </c>
      <c r="U35" s="321">
        <f t="shared" si="13"/>
        <v>0</v>
      </c>
      <c r="V35" s="321">
        <f>$V$10/AD35</f>
        <v>1.4367816091954022</v>
      </c>
      <c r="W35" s="321">
        <f>$W$10/AD35</f>
        <v>0.25875862068965516</v>
      </c>
      <c r="X35" s="321">
        <f t="shared" ca="1" si="14"/>
        <v>0.68001</v>
      </c>
      <c r="Y35" s="321">
        <f t="shared" si="15"/>
        <v>0.6152586206896552</v>
      </c>
      <c r="Z35" s="321">
        <f ca="1">IF($G35="ManTech",(SUM($N35:$Y35)*(VLOOKUP($L35,$L$9:$AB$24,Z$6,FALSE))),(IF(R35=0,((SUM(N35,#REF!))*(VLOOKUP($L35,$L$9:$AB$24,Z$6,FALSE))),(SUM($R35:$R35)*(VLOOKUP($L35,$L$9:$AB$24,Z$6,FALSE))))))</f>
        <v>7.817614593661137</v>
      </c>
      <c r="AA35" s="321">
        <f t="shared" ca="1" si="24"/>
        <v>92.791686263890881</v>
      </c>
      <c r="AB35" s="321">
        <f t="shared" ca="1" si="16"/>
        <v>7.4233349011112706</v>
      </c>
      <c r="AC35" s="321">
        <f t="shared" ca="1" si="25"/>
        <v>100.22</v>
      </c>
      <c r="AD35" s="214">
        <f>VLOOKUP(D35,InputSheet!B176:O190,13,FALSE)</f>
        <v>3480</v>
      </c>
      <c r="AE35" s="336">
        <f t="shared" ca="1" si="17"/>
        <v>348765.6</v>
      </c>
      <c r="AF35" s="1036">
        <f t="shared" ca="1" si="26"/>
        <v>1202.6399999999999</v>
      </c>
      <c r="AG35" s="323"/>
      <c r="AH35" s="323"/>
      <c r="AI35" s="323">
        <f t="shared" ca="1" si="27"/>
        <v>322915.06819834025</v>
      </c>
      <c r="AJ35" s="323">
        <f t="shared" ca="1" si="28"/>
        <v>348765.6</v>
      </c>
      <c r="AK35" s="323">
        <f t="shared" ca="1" si="29"/>
        <v>25850.53180165973</v>
      </c>
      <c r="AL35" s="20">
        <f t="shared" ca="1" si="30"/>
        <v>0.08</v>
      </c>
      <c r="AM35" s="323"/>
      <c r="AN35" s="323"/>
      <c r="AO35" s="323"/>
      <c r="AP35" s="323">
        <f t="shared" si="31"/>
        <v>2141.1</v>
      </c>
      <c r="AQ35" s="323"/>
      <c r="AR35" s="323"/>
      <c r="AS35" s="323"/>
      <c r="AT35" s="323"/>
      <c r="AU35" s="60"/>
      <c r="AV35" s="324"/>
      <c r="AW35" s="325"/>
      <c r="AZ35" s="251" t="str">
        <f t="shared" ca="1" si="32"/>
        <v>1</v>
      </c>
      <c r="BA35" s="251" t="str">
        <f t="shared" ca="1" si="33"/>
        <v>1</v>
      </c>
    </row>
    <row r="36" spans="4:53">
      <c r="D36" s="8">
        <f t="shared" si="34"/>
        <v>5</v>
      </c>
      <c r="E36" s="319" t="str">
        <f t="shared" si="8"/>
        <v>Service Desk</v>
      </c>
      <c r="F36" s="8"/>
      <c r="G36" s="363" t="str">
        <f>+InputSheet!E177</f>
        <v>ManTech</v>
      </c>
      <c r="H36" s="8"/>
      <c r="I36" s="320">
        <f t="shared" si="9"/>
        <v>0</v>
      </c>
      <c r="J36" s="198" t="str">
        <f t="shared" si="18"/>
        <v>ManTech50Govt</v>
      </c>
      <c r="K36" s="198"/>
      <c r="L36" s="363" t="s">
        <v>623</v>
      </c>
      <c r="M36" s="321">
        <f>IF(G36="ManTech",(VLOOKUP($D36,DL,6,FALSE)),(INDEX('Sub Rates'!$F$9:$IK$48,MATCH(($E36&amp;$L36),'Sub Rates'!$E$9:$E$48,0),MATCH(($E$8&amp;$G36),'Sub Rates'!$F$8:$IK$8,0))))</f>
        <v>26</v>
      </c>
      <c r="N36" s="321">
        <f t="shared" ca="1" si="10"/>
        <v>27.52</v>
      </c>
      <c r="O36" s="321">
        <f t="shared" ca="1" si="19"/>
        <v>9.6319999999999997</v>
      </c>
      <c r="P36" s="321">
        <f t="shared" ca="1" si="19"/>
        <v>9.6319999999999997</v>
      </c>
      <c r="Q36" s="321">
        <f t="shared" ca="1" si="20"/>
        <v>14.6153216</v>
      </c>
      <c r="R36" s="321">
        <f t="shared" ca="1" si="21"/>
        <v>1.3692048716799998</v>
      </c>
      <c r="S36" s="321">
        <f t="shared" ca="1" si="11"/>
        <v>0.27851340996168583</v>
      </c>
      <c r="T36" s="321">
        <f t="shared" ca="1" si="12"/>
        <v>7.3733333333333331E-2</v>
      </c>
      <c r="U36" s="321">
        <f t="shared" si="13"/>
        <v>0</v>
      </c>
      <c r="V36" s="321">
        <f t="shared" si="22"/>
        <v>1.4367816091954022</v>
      </c>
      <c r="W36" s="321">
        <f t="shared" si="23"/>
        <v>0.25875862068965516</v>
      </c>
      <c r="X36" s="321">
        <f t="shared" ca="1" si="14"/>
        <v>0.52288000000000001</v>
      </c>
      <c r="Y36" s="321">
        <f t="shared" si="15"/>
        <v>0.6152586206896552</v>
      </c>
      <c r="Z36" s="321">
        <f ca="1">IF($G36="ManTech",(SUM($N36:$Y36)*(VLOOKUP($L36,$L$9:$AB$24,Z$6,FALSE))),(IF(R36=0,((SUM(N36,#REF!))*(VLOOKUP($L36,$L$9:$AB$24,Z$6,FALSE))),(SUM($R36:$R36)*(VLOOKUP($L36,$L$9:$AB$24,Z$6,FALSE))))))</f>
        <v>6.0678095900305768</v>
      </c>
      <c r="AA36" s="321">
        <f t="shared" ca="1" si="24"/>
        <v>72.022261655580323</v>
      </c>
      <c r="AB36" s="321">
        <f t="shared" ca="1" si="16"/>
        <v>5.7617809324464258</v>
      </c>
      <c r="AC36" s="321">
        <f t="shared" ca="1" si="25"/>
        <v>77.78</v>
      </c>
      <c r="AD36" s="214">
        <f>VLOOKUP(D36,InputSheet!B177:O191,13,FALSE)</f>
        <v>3480</v>
      </c>
      <c r="AE36" s="336">
        <f t="shared" ca="1" si="17"/>
        <v>270674.40000000002</v>
      </c>
      <c r="AF36" s="1036">
        <f t="shared" ca="1" si="26"/>
        <v>933.36</v>
      </c>
      <c r="AG36" s="323"/>
      <c r="AH36" s="323"/>
      <c r="AI36" s="323">
        <f t="shared" ca="1" si="27"/>
        <v>250637.47056141953</v>
      </c>
      <c r="AJ36" s="323">
        <f t="shared" ca="1" si="28"/>
        <v>270674.40000000002</v>
      </c>
      <c r="AK36" s="323">
        <f t="shared" ca="1" si="29"/>
        <v>20036.929438580497</v>
      </c>
      <c r="AL36" s="20">
        <f t="shared" ca="1" si="30"/>
        <v>0.08</v>
      </c>
      <c r="AM36" s="323"/>
      <c r="AN36" s="323"/>
      <c r="AO36" s="323"/>
      <c r="AP36" s="323">
        <f t="shared" si="31"/>
        <v>2141.1</v>
      </c>
      <c r="AQ36" s="323"/>
      <c r="AR36" s="323"/>
      <c r="AS36" s="323"/>
      <c r="AT36" s="323"/>
      <c r="AU36" s="60"/>
      <c r="AV36" s="324"/>
      <c r="AW36" s="325"/>
      <c r="AZ36" s="251" t="str">
        <f t="shared" ca="1" si="32"/>
        <v>1</v>
      </c>
      <c r="BA36" s="251" t="str">
        <f t="shared" ca="1" si="33"/>
        <v>1</v>
      </c>
    </row>
    <row r="37" spans="4:53">
      <c r="D37" s="8">
        <f t="shared" si="34"/>
        <v>6</v>
      </c>
      <c r="E37" s="319" t="str">
        <f t="shared" si="8"/>
        <v>Service Desk</v>
      </c>
      <c r="F37" s="8"/>
      <c r="G37" s="363" t="str">
        <f>+InputSheet!E178</f>
        <v>ManTech</v>
      </c>
      <c r="H37" s="8"/>
      <c r="I37" s="320">
        <f t="shared" si="9"/>
        <v>0</v>
      </c>
      <c r="J37" s="198" t="str">
        <f t="shared" si="18"/>
        <v>ManTech60Govt</v>
      </c>
      <c r="K37" s="198"/>
      <c r="L37" s="363" t="s">
        <v>623</v>
      </c>
      <c r="M37" s="321">
        <f>IF(G37="ManTech",(VLOOKUP($D37,DL,6,FALSE)),(INDEX('Sub Rates'!$F$9:$IK$48,MATCH(($E37&amp;$L37),'Sub Rates'!$E$9:$E$48,0),MATCH(($E$8&amp;$G37),'Sub Rates'!$F$8:$IK$8,0))))</f>
        <v>26</v>
      </c>
      <c r="N37" s="321">
        <f t="shared" ca="1" si="10"/>
        <v>27.52</v>
      </c>
      <c r="O37" s="321">
        <f t="shared" ca="1" si="19"/>
        <v>9.6319999999999997</v>
      </c>
      <c r="P37" s="321">
        <f t="shared" ca="1" si="19"/>
        <v>9.6319999999999997</v>
      </c>
      <c r="Q37" s="321">
        <f t="shared" ca="1" si="20"/>
        <v>14.6153216</v>
      </c>
      <c r="R37" s="321">
        <f t="shared" ca="1" si="21"/>
        <v>1.3692048716799998</v>
      </c>
      <c r="S37" s="321">
        <f t="shared" ca="1" si="11"/>
        <v>0.27851340996168583</v>
      </c>
      <c r="T37" s="321">
        <f t="shared" ca="1" si="12"/>
        <v>7.3733333333333331E-2</v>
      </c>
      <c r="U37" s="321">
        <f t="shared" si="13"/>
        <v>0</v>
      </c>
      <c r="V37" s="321">
        <f t="shared" si="22"/>
        <v>1.4367816091954022</v>
      </c>
      <c r="W37" s="321">
        <f t="shared" si="23"/>
        <v>0.25875862068965516</v>
      </c>
      <c r="X37" s="321">
        <f t="shared" ca="1" si="14"/>
        <v>0.52288000000000001</v>
      </c>
      <c r="Y37" s="321">
        <f t="shared" si="15"/>
        <v>0.6152586206896552</v>
      </c>
      <c r="Z37" s="321">
        <f ca="1">IF($G37="ManTech",(SUM($N37:$Y37)*(VLOOKUP($L37,$L$9:$AB$24,Z$6,FALSE))),(IF(R37=0,((SUM(N37,#REF!))*(VLOOKUP($L37,$L$9:$AB$24,Z$6,FALSE))),(SUM($R37:$R37)*(VLOOKUP($L37,$L$9:$AB$24,Z$6,FALSE))))))</f>
        <v>6.0678095900305768</v>
      </c>
      <c r="AA37" s="321">
        <f t="shared" ca="1" si="24"/>
        <v>72.022261655580323</v>
      </c>
      <c r="AB37" s="321">
        <f t="shared" ca="1" si="16"/>
        <v>5.7617809324464258</v>
      </c>
      <c r="AC37" s="321">
        <f ca="1">ROUND(SUM(AA37:AB37),2)</f>
        <v>77.78</v>
      </c>
      <c r="AD37" s="214">
        <f>VLOOKUP(D37,InputSheet!B178:O192,13,FALSE)</f>
        <v>3480</v>
      </c>
      <c r="AE37" s="336">
        <f t="shared" ca="1" si="17"/>
        <v>270674.40000000002</v>
      </c>
      <c r="AF37" s="1036">
        <f t="shared" ca="1" si="26"/>
        <v>933.36</v>
      </c>
      <c r="AG37" s="323"/>
      <c r="AH37" s="323"/>
      <c r="AI37" s="323">
        <f t="shared" ca="1" si="27"/>
        <v>250637.47056141953</v>
      </c>
      <c r="AJ37" s="323">
        <f t="shared" ca="1" si="28"/>
        <v>270674.40000000002</v>
      </c>
      <c r="AK37" s="323">
        <f t="shared" ca="1" si="29"/>
        <v>20036.929438580497</v>
      </c>
      <c r="AL37" s="20">
        <f t="shared" ca="1" si="30"/>
        <v>0.08</v>
      </c>
      <c r="AM37" s="323"/>
      <c r="AN37" s="323"/>
      <c r="AO37" s="323"/>
      <c r="AP37" s="323">
        <f t="shared" si="31"/>
        <v>2141.1</v>
      </c>
      <c r="AQ37" s="323"/>
      <c r="AR37" s="323"/>
      <c r="AS37" s="323"/>
      <c r="AT37" s="323"/>
      <c r="AU37" s="60"/>
      <c r="AV37" s="324"/>
      <c r="AW37" s="325"/>
      <c r="AZ37" s="251" t="str">
        <f t="shared" ca="1" si="32"/>
        <v>1</v>
      </c>
      <c r="BA37" s="251" t="str">
        <f t="shared" ca="1" si="33"/>
        <v>1</v>
      </c>
    </row>
    <row r="38" spans="4:53">
      <c r="D38" s="8">
        <f t="shared" si="34"/>
        <v>7</v>
      </c>
      <c r="E38" s="319" t="str">
        <f t="shared" si="8"/>
        <v>CIS Training Supervisor</v>
      </c>
      <c r="F38" s="8"/>
      <c r="G38" s="363" t="str">
        <f>+InputSheet!E179</f>
        <v>Segovia, Inc.</v>
      </c>
      <c r="H38" s="8"/>
      <c r="I38" s="320">
        <f t="shared" si="9"/>
        <v>0</v>
      </c>
      <c r="J38" s="198" t="str">
        <f t="shared" si="18"/>
        <v>Segovia, Inc.70Govt_Sub</v>
      </c>
      <c r="K38" s="198"/>
      <c r="L38" s="363" t="s">
        <v>684</v>
      </c>
      <c r="M38" s="321">
        <f>IF(G38="ManTech",(VLOOKUP($D38,DL,6,FALSE)),(INDEX('Sub Rates'!$F$9:$IK$48,MATCH(($E38&amp;$L38),'Sub Rates'!$E$9:$E$48,0),MATCH(($E$8&amp;$G38),'Sub Rates'!$F$8:$IK$8,0))))</f>
        <v>79.083333333333329</v>
      </c>
      <c r="N38" s="321">
        <f t="shared" ca="1" si="10"/>
        <v>79.08</v>
      </c>
      <c r="O38" s="321">
        <f t="shared" ca="1" si="19"/>
        <v>0</v>
      </c>
      <c r="P38" s="321">
        <f t="shared" ca="1" si="19"/>
        <v>0</v>
      </c>
      <c r="Q38" s="321">
        <f t="shared" ca="1" si="20"/>
        <v>0</v>
      </c>
      <c r="R38" s="321">
        <f t="shared" ca="1" si="21"/>
        <v>2.3486760000000002</v>
      </c>
      <c r="S38" s="321"/>
      <c r="T38" s="321"/>
      <c r="U38" s="321">
        <v>0</v>
      </c>
      <c r="V38" s="321">
        <v>0</v>
      </c>
      <c r="W38" s="321">
        <v>0</v>
      </c>
      <c r="X38" s="321">
        <v>0</v>
      </c>
      <c r="Y38" s="321">
        <v>0</v>
      </c>
      <c r="Z38" s="321">
        <f ca="1">IF($G38="ManTech",(SUM($N38:$Y38)*(VLOOKUP($L38,$L$9:$AB$24,Z$6,FALSE))),(IF(R38=0,((SUM(N38,#REF!))*(VLOOKUP($L38,$L$9:$AB$24,Z$6,FALSE))),(SUM($R38:$R38)*(VLOOKUP($L38,$L$9:$AB$24,Z$6,FALSE))))))</f>
        <v>0.216078192</v>
      </c>
      <c r="AA38" s="321">
        <f t="shared" ca="1" si="24"/>
        <v>81.644754191999994</v>
      </c>
      <c r="AB38" s="321">
        <f t="shared" ca="1" si="16"/>
        <v>6.5315803353599993</v>
      </c>
      <c r="AC38" s="321">
        <f t="shared" ca="1" si="25"/>
        <v>88.18</v>
      </c>
      <c r="AD38" s="214">
        <f>VLOOKUP(D38,InputSheet!B179:O193,13,FALSE)</f>
        <v>3480</v>
      </c>
      <c r="AE38" s="336">
        <f t="shared" ca="1" si="17"/>
        <v>306866.40000000002</v>
      </c>
      <c r="AF38" s="1036">
        <f t="shared" ca="1" si="26"/>
        <v>1058.1600000000001</v>
      </c>
      <c r="AG38" s="323"/>
      <c r="AH38" s="323"/>
      <c r="AI38" s="323">
        <f t="shared" ca="1" si="27"/>
        <v>284123.74458815996</v>
      </c>
      <c r="AJ38" s="323">
        <f t="shared" ca="1" si="28"/>
        <v>306866.40000000002</v>
      </c>
      <c r="AK38" s="323">
        <f t="shared" ca="1" si="29"/>
        <v>22742.655411840067</v>
      </c>
      <c r="AL38" s="20">
        <f t="shared" ca="1" si="30"/>
        <v>0.08</v>
      </c>
      <c r="AM38" s="323"/>
      <c r="AN38" s="323"/>
      <c r="AO38" s="323"/>
      <c r="AP38" s="323">
        <f t="shared" si="31"/>
        <v>0</v>
      </c>
      <c r="AQ38" s="323"/>
      <c r="AR38" s="323"/>
      <c r="AS38" s="323"/>
      <c r="AT38" s="323"/>
      <c r="AU38" s="60"/>
      <c r="AV38" s="324"/>
      <c r="AW38" s="325"/>
      <c r="AZ38" s="251" t="str">
        <f t="shared" ca="1" si="32"/>
        <v>1</v>
      </c>
      <c r="BA38" s="251" t="str">
        <f t="shared" ca="1" si="33"/>
        <v>1</v>
      </c>
    </row>
    <row r="39" spans="4:53">
      <c r="D39" s="8">
        <f t="shared" si="34"/>
        <v>8</v>
      </c>
      <c r="E39" s="319" t="str">
        <f t="shared" si="8"/>
        <v>CIS Trainer</v>
      </c>
      <c r="F39" s="8"/>
      <c r="G39" s="363" t="str">
        <f>+InputSheet!E180</f>
        <v>Segovia, Inc.</v>
      </c>
      <c r="H39" s="8"/>
      <c r="I39" s="320">
        <f t="shared" si="9"/>
        <v>0</v>
      </c>
      <c r="J39" s="198" t="str">
        <f t="shared" si="18"/>
        <v>Segovia, Inc.80Govt_Sub</v>
      </c>
      <c r="K39" s="198"/>
      <c r="L39" s="363" t="s">
        <v>684</v>
      </c>
      <c r="M39" s="321">
        <f>IF(G39="ManTech",(VLOOKUP($D39,DL,6,FALSE)),(INDEX('Sub Rates'!$F$9:$IK$48,MATCH(($E39&amp;$L39),'Sub Rates'!$E$9:$E$48,0),MATCH(($E$8&amp;$G39),'Sub Rates'!$F$8:$IK$8,0))))</f>
        <v>67.416666666666671</v>
      </c>
      <c r="N39" s="321">
        <f t="shared" ca="1" si="10"/>
        <v>67.42</v>
      </c>
      <c r="O39" s="321">
        <f t="shared" ca="1" si="19"/>
        <v>0</v>
      </c>
      <c r="P39" s="321">
        <f t="shared" ca="1" si="19"/>
        <v>0</v>
      </c>
      <c r="Q39" s="321">
        <f t="shared" ca="1" si="20"/>
        <v>0</v>
      </c>
      <c r="R39" s="321">
        <f t="shared" ca="1" si="21"/>
        <v>2.0023740000000001</v>
      </c>
      <c r="S39" s="321"/>
      <c r="T39" s="321"/>
      <c r="U39" s="321">
        <v>0</v>
      </c>
      <c r="V39" s="321">
        <v>0</v>
      </c>
      <c r="W39" s="321">
        <v>0</v>
      </c>
      <c r="X39" s="321">
        <v>0</v>
      </c>
      <c r="Y39" s="321">
        <v>0</v>
      </c>
      <c r="Z39" s="321">
        <f ca="1">IF($G39="ManTech",(SUM($N39:$Y39)*(VLOOKUP($L39,$L$9:$AB$24,Z$6,FALSE))),(IF(R39=0,((SUM(N39,#REF!))*(VLOOKUP($L39,$L$9:$AB$24,Z$6,FALSE))),(SUM($R39:$R39)*(VLOOKUP($L39,$L$9:$AB$24,Z$6,FALSE))))))</f>
        <v>0.184218408</v>
      </c>
      <c r="AA39" s="321">
        <f t="shared" ca="1" si="24"/>
        <v>69.606592408000012</v>
      </c>
      <c r="AB39" s="321">
        <f t="shared" ca="1" si="16"/>
        <v>5.568527392640001</v>
      </c>
      <c r="AC39" s="321">
        <f t="shared" ca="1" si="25"/>
        <v>75.180000000000007</v>
      </c>
      <c r="AD39" s="214">
        <f>VLOOKUP(D39,InputSheet!B180:O194,13,FALSE)</f>
        <v>3480</v>
      </c>
      <c r="AE39" s="336">
        <f t="shared" ca="1" si="17"/>
        <v>261626.40000000002</v>
      </c>
      <c r="AF39" s="1036">
        <f t="shared" ca="1" si="26"/>
        <v>902.16000000000008</v>
      </c>
      <c r="AG39" s="323"/>
      <c r="AH39" s="323"/>
      <c r="AI39" s="323">
        <f t="shared" ca="1" si="27"/>
        <v>242230.94157984003</v>
      </c>
      <c r="AJ39" s="323">
        <f t="shared" ca="1" si="28"/>
        <v>261626.40000000002</v>
      </c>
      <c r="AK39" s="323">
        <f t="shared" ca="1" si="29"/>
        <v>19395.458420159994</v>
      </c>
      <c r="AL39" s="20">
        <f t="shared" ca="1" si="30"/>
        <v>0.08</v>
      </c>
      <c r="AM39" s="323"/>
      <c r="AN39" s="323"/>
      <c r="AO39" s="323"/>
      <c r="AP39" s="323">
        <f t="shared" si="31"/>
        <v>0</v>
      </c>
      <c r="AQ39" s="323"/>
      <c r="AR39" s="323"/>
      <c r="AS39" s="323"/>
      <c r="AT39" s="323"/>
      <c r="AU39" s="60"/>
      <c r="AV39" s="324"/>
      <c r="AW39" s="325"/>
      <c r="AZ39" s="251" t="str">
        <f t="shared" ca="1" si="32"/>
        <v>1</v>
      </c>
      <c r="BA39" s="251" t="str">
        <f t="shared" ca="1" si="33"/>
        <v>1</v>
      </c>
    </row>
    <row r="40" spans="4:53">
      <c r="D40" s="8">
        <f t="shared" si="34"/>
        <v>9</v>
      </c>
      <c r="E40" s="319" t="str">
        <f t="shared" si="8"/>
        <v>Radio Technician</v>
      </c>
      <c r="F40" s="8"/>
      <c r="G40" s="363" t="str">
        <f>+InputSheet!E181</f>
        <v>Segovia, Inc.</v>
      </c>
      <c r="H40" s="8"/>
      <c r="I40" s="320">
        <f t="shared" si="9"/>
        <v>0</v>
      </c>
      <c r="J40" s="198" t="str">
        <f t="shared" si="18"/>
        <v>Segovia, Inc.90Govt_Sub</v>
      </c>
      <c r="K40" s="198"/>
      <c r="L40" s="363" t="s">
        <v>684</v>
      </c>
      <c r="M40" s="321">
        <f>IF(G40="ManTech",(VLOOKUP($D40,DL,6,FALSE)),(INDEX('Sub Rates'!$F$9:$IK$48,MATCH(($E40&amp;$L40),'Sub Rates'!$E$9:$E$48,0),MATCH(($E$8&amp;$G40),'Sub Rates'!$F$8:$IK$8,0))))</f>
        <v>59.083333333333336</v>
      </c>
      <c r="N40" s="321">
        <f t="shared" ca="1" si="10"/>
        <v>59.08</v>
      </c>
      <c r="O40" s="321">
        <f t="shared" ca="1" si="19"/>
        <v>0</v>
      </c>
      <c r="P40" s="321">
        <f t="shared" ca="1" si="19"/>
        <v>0</v>
      </c>
      <c r="Q40" s="321">
        <f t="shared" ca="1" si="20"/>
        <v>0</v>
      </c>
      <c r="R40" s="321">
        <f t="shared" ca="1" si="21"/>
        <v>1.7546759999999999</v>
      </c>
      <c r="S40" s="321"/>
      <c r="T40" s="321"/>
      <c r="U40" s="321">
        <v>0</v>
      </c>
      <c r="V40" s="321">
        <v>0</v>
      </c>
      <c r="W40" s="321">
        <v>0</v>
      </c>
      <c r="X40" s="321">
        <v>0</v>
      </c>
      <c r="Y40" s="321">
        <v>0</v>
      </c>
      <c r="Z40" s="321">
        <f ca="1">IF($G40="ManTech",(SUM($N40:$Y40)*(VLOOKUP($L40,$L$9:$AB$24,Z$6,FALSE))),(IF(R40=0,((SUM(N40,#REF!))*(VLOOKUP($L40,$L$9:$AB$24,Z$6,FALSE))),(SUM($R40:$R40)*(VLOOKUP($L40,$L$9:$AB$24,Z$6,FALSE))))))</f>
        <v>0.161430192</v>
      </c>
      <c r="AA40" s="321">
        <f t="shared" ca="1" si="24"/>
        <v>60.996106191999999</v>
      </c>
      <c r="AB40" s="321">
        <f t="shared" ca="1" si="16"/>
        <v>4.8796884953599999</v>
      </c>
      <c r="AC40" s="321">
        <f t="shared" ca="1" si="25"/>
        <v>65.88</v>
      </c>
      <c r="AD40" s="214">
        <f>VLOOKUP(D40,InputSheet!B181:O195,13,FALSE)</f>
        <v>3480</v>
      </c>
      <c r="AE40" s="336">
        <f t="shared" ca="1" si="17"/>
        <v>229262.4</v>
      </c>
      <c r="AF40" s="1036">
        <f t="shared" ca="1" si="26"/>
        <v>790.56</v>
      </c>
      <c r="AG40" s="323"/>
      <c r="AH40" s="323"/>
      <c r="AI40" s="323">
        <f t="shared" ca="1" si="27"/>
        <v>212266.44954815999</v>
      </c>
      <c r="AJ40" s="323">
        <f t="shared" ca="1" si="28"/>
        <v>229262.4</v>
      </c>
      <c r="AK40" s="323">
        <f t="shared" ca="1" si="29"/>
        <v>16995.950451840006</v>
      </c>
      <c r="AL40" s="20">
        <f t="shared" ca="1" si="30"/>
        <v>0.08</v>
      </c>
      <c r="AM40" s="323"/>
      <c r="AN40" s="323"/>
      <c r="AO40" s="323"/>
      <c r="AP40" s="323">
        <f t="shared" si="31"/>
        <v>0</v>
      </c>
      <c r="AQ40" s="323"/>
      <c r="AR40" s="323"/>
      <c r="AS40" s="323"/>
      <c r="AT40" s="323"/>
      <c r="AU40" s="60"/>
      <c r="AV40" s="324"/>
      <c r="AW40" s="325"/>
      <c r="AZ40" s="251" t="str">
        <f t="shared" ca="1" si="32"/>
        <v>1</v>
      </c>
      <c r="BA40" s="251" t="str">
        <f t="shared" ca="1" si="33"/>
        <v>1</v>
      </c>
    </row>
    <row r="41" spans="4:53">
      <c r="D41" s="8">
        <f t="shared" si="34"/>
        <v>10</v>
      </c>
      <c r="E41" s="319" t="str">
        <f t="shared" si="8"/>
        <v>Radio Technician</v>
      </c>
      <c r="F41" s="8"/>
      <c r="G41" s="363" t="str">
        <f>+InputSheet!E182</f>
        <v>Segovia, Inc.</v>
      </c>
      <c r="H41" s="8"/>
      <c r="I41" s="320">
        <f t="shared" si="9"/>
        <v>0</v>
      </c>
      <c r="J41" s="198" t="str">
        <f t="shared" si="18"/>
        <v>Segovia, Inc.100Govt_Sub</v>
      </c>
      <c r="K41" s="198"/>
      <c r="L41" s="363" t="s">
        <v>684</v>
      </c>
      <c r="M41" s="321">
        <f>IF(G41="ManTech",(VLOOKUP($D41,DL,6,FALSE)),(INDEX('Sub Rates'!$F$9:$IK$48,MATCH(($E41&amp;$L41),'Sub Rates'!$E$9:$E$48,0),MATCH(($E$8&amp;$G41),'Sub Rates'!$F$8:$IK$8,0))))</f>
        <v>59.083333333333336</v>
      </c>
      <c r="N41" s="321">
        <f t="shared" ca="1" si="10"/>
        <v>59.08</v>
      </c>
      <c r="O41" s="321">
        <f t="shared" ca="1" si="19"/>
        <v>0</v>
      </c>
      <c r="P41" s="321">
        <f t="shared" ca="1" si="19"/>
        <v>0</v>
      </c>
      <c r="Q41" s="321">
        <f t="shared" ca="1" si="20"/>
        <v>0</v>
      </c>
      <c r="R41" s="321">
        <f t="shared" ca="1" si="21"/>
        <v>1.7546759999999999</v>
      </c>
      <c r="S41" s="321"/>
      <c r="T41" s="321"/>
      <c r="U41" s="321">
        <v>0</v>
      </c>
      <c r="V41" s="321">
        <v>0</v>
      </c>
      <c r="W41" s="321">
        <v>0</v>
      </c>
      <c r="X41" s="321">
        <v>0</v>
      </c>
      <c r="Y41" s="321">
        <v>0</v>
      </c>
      <c r="Z41" s="321">
        <f ca="1">IF($G41="ManTech",(SUM($N41:$Y41)*(VLOOKUP($L41,$L$9:$AB$24,Z$6,FALSE))),(IF(R41=0,((SUM(N41,#REF!))*(VLOOKUP($L41,$L$9:$AB$24,Z$6,FALSE))),(SUM($R41:$R41)*(VLOOKUP($L41,$L$9:$AB$24,Z$6,FALSE))))))</f>
        <v>0.161430192</v>
      </c>
      <c r="AA41" s="321">
        <f t="shared" ca="1" si="24"/>
        <v>60.996106191999999</v>
      </c>
      <c r="AB41" s="321">
        <f t="shared" ca="1" si="16"/>
        <v>4.8796884953599999</v>
      </c>
      <c r="AC41" s="321">
        <f t="shared" ca="1" si="25"/>
        <v>65.88</v>
      </c>
      <c r="AD41" s="214">
        <f>VLOOKUP(D41,InputSheet!B182:O196,13,FALSE)</f>
        <v>3480</v>
      </c>
      <c r="AE41" s="336">
        <f t="shared" ca="1" si="17"/>
        <v>229262.4</v>
      </c>
      <c r="AF41" s="1036">
        <f t="shared" ca="1" si="26"/>
        <v>790.56</v>
      </c>
      <c r="AG41" s="323"/>
      <c r="AH41" s="323"/>
      <c r="AI41" s="323">
        <f t="shared" ca="1" si="27"/>
        <v>212266.44954815999</v>
      </c>
      <c r="AJ41" s="323">
        <f t="shared" ca="1" si="28"/>
        <v>229262.4</v>
      </c>
      <c r="AK41" s="323">
        <f t="shared" ca="1" si="29"/>
        <v>16995.950451840006</v>
      </c>
      <c r="AL41" s="20">
        <f t="shared" ca="1" si="30"/>
        <v>0.08</v>
      </c>
      <c r="AM41" s="323"/>
      <c r="AN41" s="323"/>
      <c r="AO41" s="323"/>
      <c r="AP41" s="323">
        <f t="shared" si="31"/>
        <v>0</v>
      </c>
      <c r="AQ41" s="323"/>
      <c r="AR41" s="323"/>
      <c r="AS41" s="323"/>
      <c r="AT41" s="323"/>
      <c r="AU41" s="60"/>
      <c r="AV41" s="324"/>
      <c r="AW41" s="325"/>
      <c r="AZ41" s="251" t="str">
        <f t="shared" ca="1" si="32"/>
        <v>1</v>
      </c>
      <c r="BA41" s="251" t="str">
        <f t="shared" ca="1" si="33"/>
        <v>1</v>
      </c>
    </row>
    <row r="42" spans="4:53">
      <c r="D42" s="8">
        <f t="shared" si="34"/>
        <v>11</v>
      </c>
      <c r="E42" s="319" t="str">
        <f t="shared" si="8"/>
        <v>Network Administrator</v>
      </c>
      <c r="F42" s="8"/>
      <c r="G42" s="363" t="str">
        <f>+InputSheet!E183</f>
        <v>ManTech</v>
      </c>
      <c r="H42" s="8"/>
      <c r="I42" s="320">
        <f t="shared" si="9"/>
        <v>0</v>
      </c>
      <c r="J42" s="198" t="str">
        <f t="shared" si="18"/>
        <v>ManTech110Govt</v>
      </c>
      <c r="K42" s="198"/>
      <c r="L42" s="363" t="s">
        <v>623</v>
      </c>
      <c r="M42" s="321">
        <f>IF(G42="ManTech",(VLOOKUP($D42,DL,6,FALSE)),(INDEX('Sub Rates'!$F$9:$IK$48,MATCH(($E42&amp;$L42),'Sub Rates'!$E$9:$E$48,0),MATCH(($E$8&amp;$G42),'Sub Rates'!$F$8:$IK$8,0))))</f>
        <v>27.5</v>
      </c>
      <c r="N42" s="321">
        <f t="shared" ca="1" si="10"/>
        <v>29.11</v>
      </c>
      <c r="O42" s="321">
        <f t="shared" ca="1" si="19"/>
        <v>10.188499999999999</v>
      </c>
      <c r="P42" s="321">
        <f t="shared" ca="1" si="19"/>
        <v>10.188499999999999</v>
      </c>
      <c r="Q42" s="321">
        <f t="shared" ca="1" si="20"/>
        <v>15.459738799999998</v>
      </c>
      <c r="R42" s="321">
        <f t="shared" ca="1" si="21"/>
        <v>1.4483122752399997</v>
      </c>
      <c r="S42" s="321">
        <f ca="1">$S$10/SUM($AD$32:$AD$46)</f>
        <v>0.27851340996168583</v>
      </c>
      <c r="T42" s="321">
        <f ca="1">$T$10/SUM($AD$32:$AD$46)</f>
        <v>7.3733333333333331E-2</v>
      </c>
      <c r="U42" s="321">
        <f>(M42*AD42)*$U$10</f>
        <v>0</v>
      </c>
      <c r="V42" s="321">
        <f t="shared" si="22"/>
        <v>1.4367816091954022</v>
      </c>
      <c r="W42" s="321">
        <f t="shared" si="23"/>
        <v>0.25875862068965516</v>
      </c>
      <c r="X42" s="321">
        <f ca="1">N42*$X$10</f>
        <v>0.55308999999999997</v>
      </c>
      <c r="Y42" s="321">
        <f>$Y$10/AD42</f>
        <v>0.6152586206896552</v>
      </c>
      <c r="Z42" s="321">
        <f ca="1">IF($G42="ManTech",(SUM($N42:$Y42)*(VLOOKUP($L42,$L$9:$AB$24,Z$6,FALSE))),(IF(R42=0,((SUM(N42,#REF!))*(VLOOKUP($L42,$L$9:$AB$24,Z$6,FALSE))),(SUM($R42:$R42)*(VLOOKUP($L42,$L$9:$AB$24,Z$6,FALSE))))))</f>
        <v>6.4042291735580958</v>
      </c>
      <c r="AA42" s="321">
        <f t="shared" ca="1" si="24"/>
        <v>76.015415842667835</v>
      </c>
      <c r="AB42" s="321">
        <f t="shared" ca="1" si="16"/>
        <v>6.0812332674134266</v>
      </c>
      <c r="AC42" s="321">
        <f t="shared" ca="1" si="25"/>
        <v>82.1</v>
      </c>
      <c r="AD42" s="214">
        <f>VLOOKUP(D42,InputSheet!B183:O197,13,FALSE)</f>
        <v>3480</v>
      </c>
      <c r="AE42" s="336">
        <f t="shared" ca="1" si="17"/>
        <v>285708</v>
      </c>
      <c r="AF42" s="1036">
        <f t="shared" ca="1" si="26"/>
        <v>985.19999999999993</v>
      </c>
      <c r="AG42" s="323"/>
      <c r="AH42" s="323"/>
      <c r="AI42" s="323">
        <f t="shared" ca="1" si="27"/>
        <v>264533.64713248407</v>
      </c>
      <c r="AJ42" s="323">
        <f t="shared" ca="1" si="28"/>
        <v>285708</v>
      </c>
      <c r="AK42" s="323">
        <f t="shared" ca="1" si="29"/>
        <v>21174.352867515932</v>
      </c>
      <c r="AL42" s="20">
        <f t="shared" ca="1" si="30"/>
        <v>0.08</v>
      </c>
      <c r="AM42" s="323"/>
      <c r="AN42" s="323"/>
      <c r="AO42" s="323"/>
      <c r="AP42" s="323">
        <f t="shared" si="31"/>
        <v>2141.1</v>
      </c>
      <c r="AQ42" s="323"/>
      <c r="AR42" s="323"/>
      <c r="AS42" s="323"/>
      <c r="AT42" s="323"/>
      <c r="AU42" s="60"/>
      <c r="AV42" s="324"/>
      <c r="AW42" s="325"/>
      <c r="AZ42" s="251" t="str">
        <f t="shared" ca="1" si="32"/>
        <v>1</v>
      </c>
      <c r="BA42" s="251" t="str">
        <f t="shared" ca="1" si="33"/>
        <v>1</v>
      </c>
    </row>
    <row r="43" spans="4:53">
      <c r="D43" s="8">
        <f>D42+1</f>
        <v>12</v>
      </c>
      <c r="E43" s="319" t="str">
        <f t="shared" si="8"/>
        <v>System Administrator</v>
      </c>
      <c r="F43" s="8"/>
      <c r="G43" s="363" t="str">
        <f>+InputSheet!E184</f>
        <v>ManTech</v>
      </c>
      <c r="H43" s="8"/>
      <c r="I43" s="320">
        <f t="shared" si="9"/>
        <v>0</v>
      </c>
      <c r="J43" s="198" t="str">
        <f t="shared" si="18"/>
        <v>ManTech120Govt</v>
      </c>
      <c r="K43" s="198"/>
      <c r="L43" s="363" t="s">
        <v>623</v>
      </c>
      <c r="M43" s="321">
        <f>IF(G43="ManTech",(VLOOKUP($D43,DL,6,FALSE)),(INDEX('Sub Rates'!$F$9:$IK$48,MATCH(($E43&amp;$L43),'Sub Rates'!$E$9:$E$48,0),MATCH(($E$8&amp;$G43),'Sub Rates'!$F$8:$IK$8,0))))</f>
        <v>28</v>
      </c>
      <c r="N43" s="321">
        <f t="shared" ca="1" si="10"/>
        <v>29.64</v>
      </c>
      <c r="O43" s="321">
        <f t="shared" ca="1" si="19"/>
        <v>10.373999999999999</v>
      </c>
      <c r="P43" s="321">
        <f t="shared" ca="1" si="19"/>
        <v>10.373999999999999</v>
      </c>
      <c r="Q43" s="321">
        <f t="shared" ca="1" si="20"/>
        <v>15.741211199999999</v>
      </c>
      <c r="R43" s="321">
        <f t="shared" ca="1" si="21"/>
        <v>1.4746814097599996</v>
      </c>
      <c r="S43" s="321">
        <f ca="1">$S$10/SUM($AD$32:$AD$46)</f>
        <v>0.27851340996168583</v>
      </c>
      <c r="T43" s="321">
        <f ca="1">$T$10/SUM($AD$32:$AD$46)</f>
        <v>7.3733333333333331E-2</v>
      </c>
      <c r="U43" s="321">
        <f>(M43*AD43)*$U$10</f>
        <v>0</v>
      </c>
      <c r="V43" s="321">
        <f t="shared" si="22"/>
        <v>1.4367816091954022</v>
      </c>
      <c r="W43" s="321">
        <f t="shared" si="23"/>
        <v>0.25875862068965516</v>
      </c>
      <c r="X43" s="321">
        <f ca="1">N43*$X$10</f>
        <v>0.56315999999999999</v>
      </c>
      <c r="Y43" s="321">
        <f>$Y$10/AD43</f>
        <v>0.6152586206896552</v>
      </c>
      <c r="Z43" s="321">
        <f ca="1">IF($G43="ManTech",(SUM($N43:$Y43)*(VLOOKUP($L43,$L$9:$AB$24,Z$6,FALSE))),(IF(R43=0,((SUM(N43,#REF!))*(VLOOKUP($L43,$L$9:$AB$24,Z$6,FALSE))),(SUM($R43:$R43)*(VLOOKUP($L43,$L$9:$AB$24,Z$6,FALSE))))))</f>
        <v>6.5163690347339349</v>
      </c>
      <c r="AA43" s="321">
        <f t="shared" ca="1" si="24"/>
        <v>77.346467238363672</v>
      </c>
      <c r="AB43" s="321">
        <f t="shared" ca="1" si="16"/>
        <v>6.1877173790690936</v>
      </c>
      <c r="AC43" s="321">
        <f t="shared" ca="1" si="25"/>
        <v>83.53</v>
      </c>
      <c r="AD43" s="214">
        <f>VLOOKUP(D43,InputSheet!B184:O198,13,FALSE)</f>
        <v>3480</v>
      </c>
      <c r="AE43" s="336">
        <f t="shared" ca="1" si="17"/>
        <v>290684.40000000002</v>
      </c>
      <c r="AF43" s="1036">
        <f t="shared" ca="1" si="26"/>
        <v>1002.36</v>
      </c>
      <c r="AG43" s="323"/>
      <c r="AH43" s="323"/>
      <c r="AI43" s="323">
        <f t="shared" ca="1" si="27"/>
        <v>269165.70598950557</v>
      </c>
      <c r="AJ43" s="323">
        <f t="shared" ca="1" si="28"/>
        <v>290684.40000000002</v>
      </c>
      <c r="AK43" s="323">
        <f t="shared" ca="1" si="29"/>
        <v>21518.694010494452</v>
      </c>
      <c r="AL43" s="20">
        <f t="shared" ca="1" si="30"/>
        <v>0.08</v>
      </c>
      <c r="AM43" s="323"/>
      <c r="AN43" s="323"/>
      <c r="AO43" s="323"/>
      <c r="AP43" s="323">
        <f t="shared" si="31"/>
        <v>2141.1</v>
      </c>
      <c r="AQ43" s="323"/>
      <c r="AR43" s="323"/>
      <c r="AS43" s="323"/>
      <c r="AT43" s="323"/>
      <c r="AU43" s="60"/>
      <c r="AV43" s="324"/>
      <c r="AW43" s="325"/>
      <c r="AZ43" s="251" t="str">
        <f t="shared" ca="1" si="32"/>
        <v>1</v>
      </c>
      <c r="BA43" s="251" t="str">
        <f t="shared" ca="1" si="33"/>
        <v>1</v>
      </c>
    </row>
    <row r="44" spans="4:53">
      <c r="D44" s="8">
        <f>D43+1</f>
        <v>13</v>
      </c>
      <c r="E44" s="319" t="str">
        <f t="shared" si="8"/>
        <v>Configuration Manager</v>
      </c>
      <c r="F44" s="8"/>
      <c r="G44" s="363" t="str">
        <f>+InputSheet!E185</f>
        <v>ManTech</v>
      </c>
      <c r="H44" s="8"/>
      <c r="I44" s="320">
        <f t="shared" si="9"/>
        <v>0</v>
      </c>
      <c r="J44" s="198" t="str">
        <f t="shared" si="18"/>
        <v>ManTech130Govt</v>
      </c>
      <c r="K44" s="198"/>
      <c r="L44" s="363" t="s">
        <v>623</v>
      </c>
      <c r="M44" s="321">
        <f>IF(G44="ManTech",(VLOOKUP($D44,DL,6,FALSE)),(INDEX('Sub Rates'!$F$9:$IK$48,MATCH(($E44&amp;$L44),'Sub Rates'!$E$9:$E$48,0),MATCH(($E$8&amp;$G44),'Sub Rates'!$F$8:$IK$8,0))))</f>
        <v>26</v>
      </c>
      <c r="N44" s="321">
        <f t="shared" ca="1" si="10"/>
        <v>27.52</v>
      </c>
      <c r="O44" s="321">
        <f t="shared" ca="1" si="19"/>
        <v>9.6319999999999997</v>
      </c>
      <c r="P44" s="321">
        <f t="shared" ca="1" si="19"/>
        <v>9.6319999999999997</v>
      </c>
      <c r="Q44" s="321">
        <f t="shared" ca="1" si="20"/>
        <v>14.6153216</v>
      </c>
      <c r="R44" s="321">
        <f t="shared" ca="1" si="21"/>
        <v>1.3692048716799998</v>
      </c>
      <c r="S44" s="321">
        <f ca="1">$S$10/SUM($AD$32:$AD$46)</f>
        <v>0.27851340996168583</v>
      </c>
      <c r="T44" s="321">
        <f ca="1">$T$10/SUM($AD$32:$AD$46)</f>
        <v>7.3733333333333331E-2</v>
      </c>
      <c r="U44" s="321">
        <f>(M44*AD44)*$U$10</f>
        <v>0</v>
      </c>
      <c r="V44" s="321">
        <f t="shared" si="22"/>
        <v>1.4367816091954022</v>
      </c>
      <c r="W44" s="321">
        <f t="shared" si="23"/>
        <v>0.25875862068965516</v>
      </c>
      <c r="X44" s="321">
        <f ca="1">N44*$X$10</f>
        <v>0.52288000000000001</v>
      </c>
      <c r="Y44" s="321">
        <f>$Y$10/AD44</f>
        <v>0.6152586206896552</v>
      </c>
      <c r="Z44" s="321">
        <f ca="1">IF($G44="ManTech",(SUM($N44:$Y44)*(VLOOKUP($L44,$L$9:$AB$24,Z$6,FALSE))),(IF(R44=0,((SUM(N44,#REF!))*(VLOOKUP($L44,$L$9:$AB$24,Z$6,FALSE))),(SUM($R44:$R44)*(VLOOKUP($L44,$L$9:$AB$24,Z$6,FALSE))))))</f>
        <v>6.0678095900305768</v>
      </c>
      <c r="AA44" s="321">
        <f t="shared" ca="1" si="24"/>
        <v>72.022261655580323</v>
      </c>
      <c r="AB44" s="321">
        <f t="shared" ca="1" si="16"/>
        <v>5.7617809324464258</v>
      </c>
      <c r="AC44" s="321">
        <f t="shared" ca="1" si="25"/>
        <v>77.78</v>
      </c>
      <c r="AD44" s="214">
        <f>VLOOKUP(D44,InputSheet!B185:O199,13,FALSE)</f>
        <v>3480</v>
      </c>
      <c r="AE44" s="336">
        <f t="shared" ca="1" si="17"/>
        <v>270674.40000000002</v>
      </c>
      <c r="AF44" s="1036">
        <f t="shared" ca="1" si="26"/>
        <v>933.36</v>
      </c>
      <c r="AG44" s="323"/>
      <c r="AH44" s="323"/>
      <c r="AI44" s="323">
        <f t="shared" ca="1" si="27"/>
        <v>250637.47056141953</v>
      </c>
      <c r="AJ44" s="323">
        <f t="shared" ca="1" si="28"/>
        <v>270674.40000000002</v>
      </c>
      <c r="AK44" s="323">
        <f t="shared" ca="1" si="29"/>
        <v>20036.929438580497</v>
      </c>
      <c r="AL44" s="20">
        <f t="shared" ca="1" si="30"/>
        <v>0.08</v>
      </c>
      <c r="AM44" s="323"/>
      <c r="AN44" s="323"/>
      <c r="AO44" s="323"/>
      <c r="AP44" s="323">
        <f t="shared" si="31"/>
        <v>2141.1</v>
      </c>
      <c r="AQ44" s="323"/>
      <c r="AR44" s="323"/>
      <c r="AS44" s="323"/>
      <c r="AT44" s="323"/>
      <c r="AU44" s="60"/>
      <c r="AV44" s="324"/>
      <c r="AW44" s="325"/>
      <c r="AZ44" s="251" t="str">
        <f t="shared" ca="1" si="32"/>
        <v>1</v>
      </c>
      <c r="BA44" s="251" t="str">
        <f t="shared" ca="1" si="33"/>
        <v>1</v>
      </c>
    </row>
    <row r="45" spans="4:53">
      <c r="D45" s="8">
        <f>D44+1</f>
        <v>14</v>
      </c>
      <c r="E45" s="319" t="str">
        <f t="shared" si="8"/>
        <v>Hardware Technician</v>
      </c>
      <c r="F45" s="8"/>
      <c r="G45" s="363" t="str">
        <f>+InputSheet!E186</f>
        <v>ManTech</v>
      </c>
      <c r="H45" s="8"/>
      <c r="I45" s="320">
        <f t="shared" si="9"/>
        <v>0</v>
      </c>
      <c r="J45" s="198" t="str">
        <f t="shared" si="18"/>
        <v>ManTech140Govt</v>
      </c>
      <c r="K45" s="198"/>
      <c r="L45" s="363" t="s">
        <v>623</v>
      </c>
      <c r="M45" s="321">
        <f>IF(G45="ManTech",(VLOOKUP($D45,DL,6,FALSE)),(INDEX('Sub Rates'!$F$9:$IK$48,MATCH(($E45&amp;$L45),'Sub Rates'!$E$9:$E$48,0),MATCH(($E$8&amp;$G45),'Sub Rates'!$F$8:$IK$8,0))))</f>
        <v>26</v>
      </c>
      <c r="N45" s="321">
        <f t="shared" ca="1" si="10"/>
        <v>27.52</v>
      </c>
      <c r="O45" s="321">
        <f t="shared" ca="1" si="19"/>
        <v>9.6319999999999997</v>
      </c>
      <c r="P45" s="321">
        <f t="shared" ca="1" si="19"/>
        <v>9.6319999999999997</v>
      </c>
      <c r="Q45" s="321">
        <f t="shared" ca="1" si="20"/>
        <v>14.6153216</v>
      </c>
      <c r="R45" s="321">
        <f t="shared" ca="1" si="21"/>
        <v>1.3692048716799998</v>
      </c>
      <c r="S45" s="321">
        <f ca="1">$S$10/SUM($AD$32:$AD$46)</f>
        <v>0.27851340996168583</v>
      </c>
      <c r="T45" s="321">
        <f ca="1">$T$10/SUM($AD$32:$AD$46)</f>
        <v>7.3733333333333331E-2</v>
      </c>
      <c r="U45" s="321">
        <f>(M45*AD45)*$U$10</f>
        <v>0</v>
      </c>
      <c r="V45" s="321">
        <f t="shared" si="22"/>
        <v>1.4367816091954022</v>
      </c>
      <c r="W45" s="321">
        <f t="shared" si="23"/>
        <v>0.25875862068965516</v>
      </c>
      <c r="X45" s="321">
        <f ca="1">N45*$X$10</f>
        <v>0.52288000000000001</v>
      </c>
      <c r="Y45" s="321">
        <f>$Y$10/AD45</f>
        <v>0.6152586206896552</v>
      </c>
      <c r="Z45" s="321">
        <f ca="1">IF($G45="ManTech",(SUM($N45:$Y45)*(VLOOKUP($L45,$L$9:$AB$24,Z$6,FALSE))),(IF(R45=0,((SUM(N45,#REF!))*(VLOOKUP($L45,$L$9:$AB$24,Z$6,FALSE))),(SUM($R45:$R45)*(VLOOKUP($L45,$L$9:$AB$24,Z$6,FALSE))))))</f>
        <v>6.0678095900305768</v>
      </c>
      <c r="AA45" s="321">
        <f t="shared" ca="1" si="24"/>
        <v>72.022261655580323</v>
      </c>
      <c r="AB45" s="321">
        <f t="shared" ca="1" si="16"/>
        <v>5.7617809324464258</v>
      </c>
      <c r="AC45" s="321">
        <f t="shared" ca="1" si="25"/>
        <v>77.78</v>
      </c>
      <c r="AD45" s="214">
        <f>VLOOKUP(D45,InputSheet!B186:O200,13,FALSE)</f>
        <v>3480</v>
      </c>
      <c r="AE45" s="336">
        <f t="shared" ca="1" si="17"/>
        <v>270674.40000000002</v>
      </c>
      <c r="AF45" s="1036">
        <f t="shared" ca="1" si="26"/>
        <v>933.36</v>
      </c>
      <c r="AG45" s="323"/>
      <c r="AH45" s="323"/>
      <c r="AI45" s="323">
        <f t="shared" ca="1" si="27"/>
        <v>250637.47056141953</v>
      </c>
      <c r="AJ45" s="323">
        <f t="shared" ca="1" si="28"/>
        <v>270674.40000000002</v>
      </c>
      <c r="AK45" s="323">
        <f t="shared" ca="1" si="29"/>
        <v>20036.929438580497</v>
      </c>
      <c r="AL45" s="20">
        <f t="shared" ca="1" si="30"/>
        <v>0.08</v>
      </c>
      <c r="AM45" s="323"/>
      <c r="AN45" s="323"/>
      <c r="AO45" s="323"/>
      <c r="AP45" s="323">
        <f t="shared" si="31"/>
        <v>2141.1</v>
      </c>
      <c r="AQ45" s="323"/>
      <c r="AR45" s="323"/>
      <c r="AS45" s="323"/>
      <c r="AT45" s="323"/>
      <c r="AU45" s="60"/>
      <c r="AV45" s="324"/>
      <c r="AW45" s="325"/>
      <c r="AZ45" s="251" t="str">
        <f t="shared" ca="1" si="32"/>
        <v>1</v>
      </c>
      <c r="BA45" s="251" t="str">
        <f t="shared" ca="1" si="33"/>
        <v>1</v>
      </c>
    </row>
    <row r="46" spans="4:53">
      <c r="D46" s="8">
        <f>D45+1</f>
        <v>15</v>
      </c>
      <c r="E46" s="319" t="str">
        <f t="shared" si="8"/>
        <v>Repair/Exchange Specialist</v>
      </c>
      <c r="F46" s="8"/>
      <c r="G46" s="363" t="str">
        <f>+InputSheet!E187</f>
        <v>ManTech</v>
      </c>
      <c r="H46" s="8"/>
      <c r="I46" s="320">
        <f t="shared" si="9"/>
        <v>0</v>
      </c>
      <c r="J46" s="198" t="str">
        <f t="shared" si="18"/>
        <v>ManTech150Govt</v>
      </c>
      <c r="K46" s="198"/>
      <c r="L46" s="363" t="s">
        <v>623</v>
      </c>
      <c r="M46" s="321">
        <f>IF(G46="ManTech",(VLOOKUP($D46,DL,6,FALSE)),(INDEX('Sub Rates'!$F$9:$IK$48,MATCH(($E46&amp;$L46),'Sub Rates'!$E$9:$E$48,0),MATCH(($E$8&amp;$G46),'Sub Rates'!$F$8:$IK$8,0))))</f>
        <v>25</v>
      </c>
      <c r="N46" s="321">
        <f t="shared" ca="1" si="10"/>
        <v>26.46</v>
      </c>
      <c r="O46" s="321">
        <f t="shared" ca="1" si="19"/>
        <v>9.2609999999999992</v>
      </c>
      <c r="P46" s="321">
        <f t="shared" ca="1" si="19"/>
        <v>9.2609999999999992</v>
      </c>
      <c r="Q46" s="321">
        <f t="shared" ca="1" si="20"/>
        <v>14.052376800000001</v>
      </c>
      <c r="R46" s="321">
        <f t="shared" ca="1" si="21"/>
        <v>1.3164666026399998</v>
      </c>
      <c r="S46" s="321">
        <f ca="1">$S$10/SUM($AD$32:$AD$46)</f>
        <v>0.27851340996168583</v>
      </c>
      <c r="T46" s="321">
        <f ca="1">$T$10/SUM($AD$32:$AD$46)</f>
        <v>7.3733333333333331E-2</v>
      </c>
      <c r="U46" s="321">
        <f>(M46*AD46)*$U$10</f>
        <v>0</v>
      </c>
      <c r="V46" s="321">
        <f t="shared" si="22"/>
        <v>1.4367816091954022</v>
      </c>
      <c r="W46" s="321">
        <f t="shared" si="23"/>
        <v>0.25875862068965516</v>
      </c>
      <c r="X46" s="321">
        <f ca="1">N46*$X$10</f>
        <v>0.50273999999999996</v>
      </c>
      <c r="Y46" s="321">
        <f>$Y$10/AD46</f>
        <v>0.6152586206896552</v>
      </c>
      <c r="Z46" s="321">
        <f ca="1">IF($G46="ManTech",(SUM($N46:$Y46)*(VLOOKUP($L46,$L$9:$AB$24,Z$6,FALSE))),(IF(R46=0,((SUM(N46,#REF!))*(VLOOKUP($L46,$L$9:$AB$24,Z$6,FALSE))),(SUM($R46:$R46)*(VLOOKUP($L46,$L$9:$AB$24,Z$6,FALSE))))))</f>
        <v>5.843529867678896</v>
      </c>
      <c r="AA46" s="321">
        <f t="shared" ca="1" si="24"/>
        <v>69.360158864188634</v>
      </c>
      <c r="AB46" s="321">
        <f t="shared" ca="1" si="16"/>
        <v>5.5488127091350909</v>
      </c>
      <c r="AC46" s="321">
        <f t="shared" ca="1" si="25"/>
        <v>74.91</v>
      </c>
      <c r="AD46" s="214">
        <f>VLOOKUP(D46,InputSheet!B187:O201,13,FALSE)</f>
        <v>3480</v>
      </c>
      <c r="AE46" s="336">
        <f t="shared" ca="1" si="17"/>
        <v>260686.8</v>
      </c>
      <c r="AF46" s="1036">
        <f t="shared" ca="1" si="26"/>
        <v>898.92</v>
      </c>
      <c r="AG46" s="323"/>
      <c r="AH46" s="323"/>
      <c r="AI46" s="323">
        <f t="shared" ca="1" si="27"/>
        <v>241373.35284737643</v>
      </c>
      <c r="AJ46" s="323">
        <f t="shared" ca="1" si="28"/>
        <v>260686.8</v>
      </c>
      <c r="AK46" s="323">
        <f t="shared" ca="1" si="29"/>
        <v>19313.447152623557</v>
      </c>
      <c r="AL46" s="20">
        <f t="shared" ca="1" si="30"/>
        <v>0.08</v>
      </c>
      <c r="AM46" s="323"/>
      <c r="AN46" s="323"/>
      <c r="AO46" s="323"/>
      <c r="AP46" s="323">
        <f t="shared" si="31"/>
        <v>2141.1</v>
      </c>
      <c r="AQ46" s="323"/>
      <c r="AR46" s="323"/>
      <c r="AS46" s="323"/>
      <c r="AT46" s="323"/>
      <c r="AU46" s="60"/>
      <c r="AV46" s="324"/>
      <c r="AW46" s="325"/>
      <c r="AZ46" s="251" t="str">
        <f t="shared" ca="1" si="32"/>
        <v>1</v>
      </c>
      <c r="BA46" s="251" t="str">
        <f t="shared" ca="1" si="33"/>
        <v>1</v>
      </c>
    </row>
    <row r="47" spans="4:53">
      <c r="E47" s="319"/>
      <c r="F47" s="8"/>
      <c r="G47" s="363"/>
      <c r="H47" s="8"/>
      <c r="I47" s="320"/>
      <c r="J47" s="198"/>
      <c r="K47" s="198"/>
      <c r="L47" s="363"/>
      <c r="M47" s="321"/>
      <c r="N47" s="321"/>
      <c r="O47" s="321"/>
      <c r="P47" s="321"/>
      <c r="Q47" s="321"/>
      <c r="R47" s="321"/>
      <c r="S47" s="321"/>
      <c r="T47" s="321"/>
      <c r="U47" s="321"/>
      <c r="V47" s="321"/>
      <c r="W47" s="321"/>
      <c r="X47" s="321"/>
      <c r="Y47" s="321"/>
      <c r="Z47" s="321"/>
      <c r="AA47" s="321"/>
      <c r="AB47" s="321"/>
      <c r="AC47" s="321"/>
      <c r="AD47" s="214"/>
      <c r="AE47" s="336"/>
      <c r="AF47" s="1036"/>
      <c r="AG47" s="323"/>
      <c r="AH47" s="323"/>
      <c r="AI47" s="323"/>
      <c r="AJ47" s="323"/>
      <c r="AK47" s="323"/>
      <c r="AL47" s="20"/>
      <c r="AM47" s="323"/>
      <c r="AN47" s="323"/>
      <c r="AO47" s="323"/>
      <c r="AP47" s="323"/>
      <c r="AQ47" s="323"/>
      <c r="AR47" s="323"/>
      <c r="AS47" s="323"/>
      <c r="AT47" s="323"/>
      <c r="AU47" s="60"/>
      <c r="AV47" s="324"/>
      <c r="AW47" s="325"/>
    </row>
    <row r="48" spans="4:53">
      <c r="D48" s="8">
        <v>16</v>
      </c>
      <c r="E48" s="319" t="str">
        <f t="shared" si="8"/>
        <v>PMO Cost</v>
      </c>
      <c r="F48" s="8"/>
      <c r="G48" s="363" t="s">
        <v>643</v>
      </c>
      <c r="H48" s="8"/>
      <c r="I48" s="320" t="str">
        <f t="shared" si="9"/>
        <v>Martin,Lindy E</v>
      </c>
      <c r="J48" s="198" t="str">
        <f>G48&amp;D48&amp;I48&amp;L48</f>
        <v>ManTech16Martin,Lindy EGovt</v>
      </c>
      <c r="K48" s="198"/>
      <c r="L48" s="363" t="s">
        <v>623</v>
      </c>
      <c r="M48" s="321">
        <f>IF(G48="ManTech",(VLOOKUP($D48,DL,6,FALSE)),(INDEX('Sub Rates'!$F$9:$IK$48,MATCH(($E48&amp;$L48),'Sub Rates'!$E$9:$E$48,0),MATCH(($E$8&amp;$G48),'Sub Rates'!$F$8:$IK$8,0))))</f>
        <v>108.5</v>
      </c>
      <c r="N48" s="321">
        <f t="shared" ca="1" si="10"/>
        <v>114.85</v>
      </c>
      <c r="O48" s="321">
        <v>0</v>
      </c>
      <c r="P48" s="321">
        <v>0</v>
      </c>
      <c r="Q48" s="321">
        <f t="shared" ca="1" si="20"/>
        <v>35.87914</v>
      </c>
      <c r="R48" s="321">
        <f ca="1">($N48+$Q48+O48+P48)*(VLOOKUP($L48,$L$9:$AB$24,R$6,FALSE))</f>
        <v>3.3612598220000001</v>
      </c>
      <c r="S48" s="321"/>
      <c r="T48" s="321"/>
      <c r="U48" s="321">
        <v>0</v>
      </c>
      <c r="V48" s="321">
        <v>0</v>
      </c>
      <c r="W48" s="321">
        <v>0</v>
      </c>
      <c r="X48" s="321">
        <v>0</v>
      </c>
      <c r="Y48" s="321">
        <v>0</v>
      </c>
      <c r="Z48" s="321">
        <f ca="1">IF($G48="ManTech",(SUM($N48:$Y48)*(VLOOKUP($L48,$L$9:$AB$24,Z$6,FALSE))),(IF(R48=0,((SUM(N48,#REF!))*(VLOOKUP($L48,$L$9:$AB$24,Z$6,FALSE))),(SUM($R48:$R48)*(VLOOKUP($L48,$L$9:$AB$24,Z$6,FALSE))))))</f>
        <v>14.176316783623999</v>
      </c>
      <c r="AA48" s="321">
        <f ca="1">SUM(N48:Z48)</f>
        <v>168.266716605624</v>
      </c>
      <c r="AB48" s="321">
        <f ca="1">(AA48*(VLOOKUP($L48,$L$9:$AB$24,AB$6,FALSE)))</f>
        <v>13.46133732844992</v>
      </c>
      <c r="AC48" s="321">
        <f ca="1">ROUND(SUM(AA48:AB48),2)</f>
        <v>181.73</v>
      </c>
      <c r="AD48" s="214">
        <v>80</v>
      </c>
      <c r="AE48" s="336">
        <f t="shared" ca="1" si="17"/>
        <v>14538.4</v>
      </c>
      <c r="AF48" s="1036">
        <f ca="1">AC48*$AF$29</f>
        <v>2180.7599999999998</v>
      </c>
      <c r="AG48" s="323"/>
      <c r="AH48" s="323"/>
      <c r="AI48" s="323">
        <f ca="1">AA48*AD48</f>
        <v>13461.337328449919</v>
      </c>
      <c r="AJ48" s="323">
        <f ca="1">AC48*AD48</f>
        <v>14538.4</v>
      </c>
      <c r="AK48" s="323">
        <f ca="1">AJ48-AI48</f>
        <v>1077.0626715500803</v>
      </c>
      <c r="AL48" s="20">
        <f ca="1">IF(AK48=0,0,ROUND(AK48/AI48,2))</f>
        <v>0.08</v>
      </c>
      <c r="AM48" s="323"/>
      <c r="AN48" s="323"/>
      <c r="AO48" s="323"/>
      <c r="AP48" s="323">
        <f>Y48*AD48</f>
        <v>0</v>
      </c>
      <c r="AQ48" s="323"/>
      <c r="AR48" s="323"/>
      <c r="AS48" s="323"/>
      <c r="AT48" s="323"/>
      <c r="AU48" s="60"/>
      <c r="AV48" s="324"/>
      <c r="AW48" s="325"/>
      <c r="AZ48" s="251" t="str">
        <f ca="1">IF((OR((AC48=""),(AC48&gt;0))),"1","0")</f>
        <v>1</v>
      </c>
      <c r="BA48" s="251" t="str">
        <f ca="1">IF((OR((AE48=""),(AE48&gt;0))),"1","0")</f>
        <v>1</v>
      </c>
    </row>
    <row r="49" spans="2:53">
      <c r="D49" s="8">
        <f>D48+1</f>
        <v>17</v>
      </c>
      <c r="E49" s="319" t="str">
        <f t="shared" si="8"/>
        <v>Project Controller Cost</v>
      </c>
      <c r="F49" s="8"/>
      <c r="G49" s="363" t="str">
        <f>+InputSheet!E190</f>
        <v>Yvan</v>
      </c>
      <c r="H49" s="8"/>
      <c r="I49" s="320">
        <f t="shared" si="9"/>
        <v>0</v>
      </c>
      <c r="J49" s="198" t="str">
        <f>G49&amp;D49&amp;I49&amp;L49</f>
        <v>Yvan170Govt_Sub</v>
      </c>
      <c r="K49" s="198"/>
      <c r="L49" s="363" t="s">
        <v>684</v>
      </c>
      <c r="M49" s="321">
        <f>IF(G49="ManTech",(VLOOKUP($D49,DL,6,FALSE)),(INDEX('Sub Rates'!$F$9:$IK$48,MATCH(($E49&amp;$L49),'Sub Rates'!$E$9:$E$48,0),MATCH(($E$8&amp;$G49),'Sub Rates'!$F$8:$IK$8,0))))</f>
        <v>143.82919999999999</v>
      </c>
      <c r="N49" s="321">
        <f t="shared" ca="1" si="10"/>
        <v>143.83000000000001</v>
      </c>
      <c r="O49" s="321">
        <f t="shared" ca="1" si="19"/>
        <v>0</v>
      </c>
      <c r="P49" s="321">
        <f t="shared" ca="1" si="19"/>
        <v>0</v>
      </c>
      <c r="Q49" s="321">
        <f ca="1">($N49+O49+P49)*(VLOOKUP($L49,$L$9:$AB$24,Q$6,FALSE))</f>
        <v>0</v>
      </c>
      <c r="R49" s="321">
        <f ca="1">($N49+$Q49+O49+P49)*(VLOOKUP($L49,$L$9:$AB$24,R$6,FALSE))</f>
        <v>4.2717510000000001</v>
      </c>
      <c r="S49" s="321"/>
      <c r="T49" s="321"/>
      <c r="U49" s="321">
        <v>0</v>
      </c>
      <c r="V49" s="321">
        <v>0</v>
      </c>
      <c r="W49" s="321">
        <v>0</v>
      </c>
      <c r="X49" s="321">
        <v>0</v>
      </c>
      <c r="Y49" s="321">
        <v>0</v>
      </c>
      <c r="Z49" s="321">
        <f ca="1">IF($G49="ManTech",(SUM($N49:$Y49)*(VLOOKUP($L49,$L$9:$AB$24,Z$6,FALSE))),(IF(R49=0,((SUM(N49,#REF!))*(VLOOKUP($L49,$L$9:$AB$24,Z$6,FALSE))),(SUM($R49:$R49)*(VLOOKUP($L49,$L$9:$AB$24,Z$6,FALSE))))))</f>
        <v>0.393001092</v>
      </c>
      <c r="AA49" s="321">
        <f ca="1">SUM(N49:Z49)</f>
        <v>148.494752092</v>
      </c>
      <c r="AB49" s="321">
        <f ca="1">(AA49*(VLOOKUP($L49,$L$9:$AB$24,AB$6,FALSE)))</f>
        <v>11.87958016736</v>
      </c>
      <c r="AC49" s="321">
        <f ca="1">ROUND(SUM(AA49:AB49),2)</f>
        <v>160.37</v>
      </c>
      <c r="AD49" s="214">
        <v>24</v>
      </c>
      <c r="AE49" s="336">
        <f t="shared" ca="1" si="17"/>
        <v>3848.88</v>
      </c>
      <c r="AF49" s="1036">
        <f ca="1">AC49*$AF$29</f>
        <v>1924.44</v>
      </c>
      <c r="AG49" s="323"/>
      <c r="AH49" s="323"/>
      <c r="AI49" s="323">
        <f ca="1">AA49*AD49</f>
        <v>3563.874050208</v>
      </c>
      <c r="AJ49" s="323">
        <f ca="1">AC49*AD49</f>
        <v>3848.88</v>
      </c>
      <c r="AK49" s="323">
        <f ca="1">AJ49-AI49</f>
        <v>285.00594979200014</v>
      </c>
      <c r="AL49" s="20">
        <f ca="1">IF(AK49=0,0,ROUND(AK49/AI49,2))</f>
        <v>0.08</v>
      </c>
      <c r="AM49" s="323"/>
      <c r="AN49" s="323"/>
      <c r="AO49" s="323"/>
      <c r="AP49" s="323">
        <f>Y49*AD49</f>
        <v>0</v>
      </c>
      <c r="AQ49" s="323"/>
      <c r="AR49" s="323"/>
      <c r="AS49" s="323"/>
      <c r="AT49" s="323"/>
      <c r="AU49" s="60"/>
      <c r="AV49" s="324"/>
      <c r="AW49" s="325"/>
      <c r="AZ49" s="251" t="str">
        <f ca="1">IF((OR((AC49=""),(AC49&gt;0))),"1","0")</f>
        <v>1</v>
      </c>
      <c r="BA49" s="251" t="str">
        <f ca="1">IF((OR((AE49=""),(AE49&gt;0))),"1","0")</f>
        <v>1</v>
      </c>
    </row>
    <row r="50" spans="2:53">
      <c r="E50" s="326"/>
      <c r="F50" s="327"/>
      <c r="G50" s="327"/>
      <c r="H50" s="327"/>
      <c r="I50" s="328"/>
      <c r="J50" s="329"/>
      <c r="K50" s="329"/>
      <c r="L50" s="364"/>
      <c r="M50" s="330"/>
      <c r="N50" s="330"/>
      <c r="O50" s="330"/>
      <c r="P50" s="330"/>
      <c r="Q50" s="330"/>
      <c r="R50" s="330"/>
      <c r="S50" s="330"/>
      <c r="T50" s="330"/>
      <c r="U50" s="330"/>
      <c r="V50" s="330"/>
      <c r="W50" s="330"/>
      <c r="X50" s="330"/>
      <c r="Y50" s="330"/>
      <c r="Z50" s="330"/>
      <c r="AA50" s="330"/>
      <c r="AB50" s="330"/>
      <c r="AC50" s="330"/>
      <c r="AD50" s="218"/>
      <c r="AE50" s="339"/>
      <c r="AF50" s="1037"/>
      <c r="AG50" s="332"/>
      <c r="AH50" s="332"/>
      <c r="AI50" s="332"/>
      <c r="AJ50" s="332"/>
      <c r="AK50" s="332"/>
      <c r="AL50" s="332"/>
      <c r="AM50" s="332"/>
      <c r="AN50" s="332"/>
      <c r="AO50" s="332"/>
      <c r="AP50" s="332"/>
      <c r="AQ50" s="332"/>
      <c r="AR50" s="332"/>
      <c r="AS50" s="332"/>
      <c r="AT50" s="332"/>
      <c r="AU50" s="332"/>
      <c r="AV50" s="333"/>
      <c r="AW50" s="325"/>
      <c r="AZ50" s="251" t="str">
        <f t="shared" si="32"/>
        <v>1</v>
      </c>
      <c r="BA50" s="251" t="str">
        <f t="shared" si="33"/>
        <v>1</v>
      </c>
    </row>
    <row r="51" spans="2:53">
      <c r="E51" s="248"/>
      <c r="F51" s="8"/>
      <c r="G51" s="8"/>
      <c r="H51" s="8"/>
      <c r="I51" s="8"/>
      <c r="J51" s="8"/>
      <c r="K51" s="8"/>
      <c r="L51" s="8"/>
      <c r="M51" s="321"/>
      <c r="N51" s="321"/>
      <c r="O51" s="321"/>
      <c r="P51" s="321"/>
      <c r="Q51" s="321"/>
      <c r="R51" s="321"/>
      <c r="S51" s="321"/>
      <c r="T51" s="321"/>
      <c r="U51" s="321"/>
      <c r="V51" s="321"/>
      <c r="W51" s="321"/>
      <c r="X51" s="321"/>
      <c r="Y51" s="321"/>
      <c r="Z51" s="321"/>
      <c r="AA51" s="321"/>
      <c r="AB51" s="321"/>
      <c r="AC51" s="321"/>
      <c r="AD51" s="321"/>
      <c r="AE51" s="321"/>
      <c r="AF51" s="250"/>
      <c r="AG51" s="323"/>
      <c r="AH51" s="323"/>
      <c r="AI51" s="323"/>
      <c r="AJ51" s="323"/>
      <c r="AK51" s="323"/>
      <c r="AL51" s="323"/>
      <c r="AM51" s="323"/>
      <c r="AN51" s="323"/>
      <c r="AO51" s="323"/>
      <c r="AP51" s="323">
        <f>SUM(AP32:AP46)</f>
        <v>23552.099999999995</v>
      </c>
      <c r="AQ51" s="323"/>
      <c r="AR51" s="323"/>
      <c r="AS51" s="323"/>
      <c r="AT51" s="323"/>
      <c r="AU51" s="60"/>
      <c r="AV51" s="324"/>
      <c r="AW51" s="325"/>
      <c r="AZ51" s="251" t="str">
        <f t="shared" si="32"/>
        <v>1</v>
      </c>
      <c r="BA51" s="251" t="str">
        <f t="shared" si="33"/>
        <v>1</v>
      </c>
    </row>
    <row r="52" spans="2:53">
      <c r="E52" s="248"/>
      <c r="F52" s="8"/>
      <c r="G52" s="8"/>
      <c r="H52" s="8"/>
      <c r="I52" s="8"/>
      <c r="J52" s="8"/>
      <c r="K52" s="8"/>
      <c r="L52" s="8"/>
      <c r="M52" s="8"/>
      <c r="N52" s="8"/>
      <c r="O52" s="8"/>
      <c r="P52" s="8"/>
      <c r="Q52" s="8"/>
      <c r="R52" s="8"/>
      <c r="S52" s="8"/>
      <c r="T52" s="8"/>
      <c r="U52" s="8"/>
      <c r="V52" s="8"/>
      <c r="W52" s="8"/>
      <c r="X52" s="8"/>
      <c r="Y52" s="8"/>
      <c r="Z52" s="8"/>
      <c r="AA52" s="8"/>
      <c r="AB52" s="8"/>
      <c r="AC52" s="313" t="s">
        <v>647</v>
      </c>
      <c r="AD52" s="334">
        <f>SUBTOTAL(9,AD$31:AD$51)</f>
        <v>52304</v>
      </c>
      <c r="AE52" s="1028">
        <f ca="1">SUBTOTAL(9,AE$31:AE$51)</f>
        <v>4312185.2799999993</v>
      </c>
      <c r="AF52" s="250"/>
      <c r="AG52" s="323"/>
      <c r="AH52" s="323"/>
      <c r="AI52" s="323"/>
      <c r="AJ52" s="323"/>
      <c r="AK52" s="323"/>
      <c r="AL52" s="323"/>
      <c r="AM52" s="323"/>
      <c r="AN52" s="323"/>
      <c r="AO52" s="323"/>
      <c r="AP52" s="323"/>
      <c r="AQ52" s="323"/>
      <c r="AR52" s="323"/>
      <c r="AS52" s="323"/>
      <c r="AT52" s="323"/>
      <c r="AU52" s="60"/>
      <c r="AV52" s="324"/>
      <c r="AW52" s="325"/>
      <c r="AZ52" s="251" t="str">
        <f t="shared" si="32"/>
        <v>1</v>
      </c>
      <c r="BA52" s="251" t="str">
        <f t="shared" ca="1" si="33"/>
        <v>1</v>
      </c>
    </row>
    <row r="53" spans="2:53" ht="13.5" thickBot="1">
      <c r="B53" s="8" t="s">
        <v>854</v>
      </c>
      <c r="E53" s="248"/>
      <c r="F53" s="8"/>
      <c r="G53" s="8"/>
      <c r="H53" s="8"/>
      <c r="I53" s="8"/>
      <c r="J53" s="8"/>
      <c r="K53" s="8"/>
      <c r="L53" s="8"/>
      <c r="M53" s="8"/>
      <c r="N53" s="8"/>
      <c r="O53" s="8"/>
      <c r="P53" s="8"/>
      <c r="Q53" s="8"/>
      <c r="R53" s="8"/>
      <c r="S53" s="8"/>
      <c r="T53" s="8"/>
      <c r="U53" s="8"/>
      <c r="V53" s="8"/>
      <c r="W53" s="8"/>
      <c r="X53" s="8"/>
      <c r="Y53" s="8"/>
      <c r="Z53" s="8"/>
      <c r="AA53" s="8"/>
      <c r="AB53" s="8"/>
      <c r="AC53" s="313"/>
      <c r="AD53" s="57"/>
      <c r="AE53" s="60"/>
      <c r="AF53" s="250"/>
      <c r="AR53" s="13"/>
      <c r="AS53" s="335"/>
      <c r="AZ53" s="251" t="str">
        <f t="shared" si="32"/>
        <v>1</v>
      </c>
      <c r="BA53" s="251" t="str">
        <f t="shared" si="33"/>
        <v>1</v>
      </c>
    </row>
    <row r="54" spans="2:53" s="317" customFormat="1" ht="16.5" thickBot="1">
      <c r="B54" s="919">
        <v>1.4735</v>
      </c>
      <c r="E54" s="240" t="s">
        <v>737</v>
      </c>
      <c r="F54" s="202"/>
      <c r="G54" s="202"/>
      <c r="H54" s="203"/>
      <c r="I54" s="202"/>
      <c r="J54" s="201"/>
      <c r="K54" s="201"/>
      <c r="L54" s="202"/>
      <c r="M54" s="204"/>
      <c r="N54" s="204"/>
      <c r="O54" s="204"/>
      <c r="P54" s="204"/>
      <c r="Q54" s="204"/>
      <c r="R54" s="204"/>
      <c r="S54" s="204"/>
      <c r="T54" s="204"/>
      <c r="U54" s="204"/>
      <c r="V54" s="204"/>
      <c r="W54" s="204"/>
      <c r="X54" s="204"/>
      <c r="Y54" s="204"/>
      <c r="Z54" s="204"/>
      <c r="AA54" s="204"/>
      <c r="AB54" s="204"/>
      <c r="AC54" s="204"/>
      <c r="AD54" s="204"/>
      <c r="AE54" s="204"/>
      <c r="AF54" s="1038"/>
      <c r="AG54" s="206"/>
      <c r="AH54" s="206"/>
      <c r="AI54" s="206"/>
      <c r="AJ54" s="206"/>
      <c r="AK54" s="206"/>
      <c r="AL54" s="206"/>
      <c r="AM54" s="206"/>
      <c r="AN54" s="206"/>
      <c r="AO54" s="206"/>
      <c r="AP54" s="206"/>
      <c r="AQ54" s="206"/>
      <c r="AR54" s="206"/>
      <c r="AS54" s="206"/>
      <c r="AT54" s="206"/>
      <c r="AU54" s="206"/>
      <c r="AV54" s="206"/>
      <c r="AW54" s="318"/>
      <c r="AZ54" s="251" t="str">
        <f t="shared" si="32"/>
        <v>1</v>
      </c>
      <c r="BA54" s="251" t="str">
        <f t="shared" si="33"/>
        <v>1</v>
      </c>
    </row>
    <row r="55" spans="2:53" ht="15.75">
      <c r="E55" s="1059" t="s">
        <v>941</v>
      </c>
      <c r="F55" s="1060"/>
      <c r="G55" s="1060"/>
      <c r="H55" s="1061"/>
      <c r="I55" s="1060"/>
      <c r="J55" s="1062"/>
      <c r="K55" s="1062"/>
      <c r="L55" s="1060"/>
      <c r="M55" s="1063"/>
      <c r="N55" s="1063"/>
      <c r="O55" s="1063"/>
      <c r="P55" s="1063"/>
      <c r="Q55" s="1063"/>
      <c r="R55" s="1063"/>
      <c r="S55" s="1063"/>
      <c r="T55" s="1063"/>
      <c r="U55" s="1063"/>
      <c r="V55" s="1063"/>
      <c r="W55" s="1063"/>
      <c r="X55" s="1063"/>
      <c r="Y55" s="1063"/>
      <c r="Z55" s="1063"/>
      <c r="AA55" s="1063"/>
      <c r="AB55" s="1063"/>
      <c r="AC55" s="1063"/>
      <c r="AD55" s="1063"/>
      <c r="AE55" s="1063"/>
      <c r="AF55" s="1064"/>
      <c r="AG55" s="337"/>
      <c r="AH55" s="337"/>
      <c r="AI55" s="323"/>
      <c r="AJ55" s="323"/>
      <c r="AK55" s="323"/>
      <c r="AL55" s="20"/>
      <c r="AM55" s="337"/>
      <c r="AN55" s="337"/>
      <c r="AO55" s="337"/>
      <c r="AP55" s="337"/>
      <c r="AQ55" s="337"/>
      <c r="AR55" s="323"/>
      <c r="AS55" s="337"/>
      <c r="AT55" s="323"/>
      <c r="AU55" s="60"/>
      <c r="AV55" s="324"/>
      <c r="AW55" s="325"/>
    </row>
    <row r="56" spans="2:53">
      <c r="E56" s="832" t="s">
        <v>912</v>
      </c>
      <c r="F56" s="8"/>
      <c r="G56" s="8"/>
      <c r="H56" s="8"/>
      <c r="I56" s="8"/>
      <c r="J56" s="8"/>
      <c r="K56" s="8"/>
      <c r="L56" s="363" t="s">
        <v>617</v>
      </c>
      <c r="M56" s="336">
        <f>'[6]Service Quote'!$E$23</f>
        <v>499.95</v>
      </c>
      <c r="N56" s="336">
        <f ca="1">ROUND($M56*(VLOOKUP($L56,$L$9:$AB$24,N$6,FALSE)),2)</f>
        <v>499.95</v>
      </c>
      <c r="O56" s="336">
        <f t="shared" ref="O56:Q59" ca="1" si="35">ROUND($N56*(VLOOKUP($L56,$L$9:$AB$24,O$6,FALSE)),2)</f>
        <v>0</v>
      </c>
      <c r="P56" s="336">
        <f t="shared" ca="1" si="35"/>
        <v>0</v>
      </c>
      <c r="Q56" s="336">
        <f t="shared" ca="1" si="35"/>
        <v>0</v>
      </c>
      <c r="R56" s="336">
        <f ca="1">ROUND(($N56+$Q56)*(VLOOKUP($L56,$L$9:$AB$24,R$6,FALSE)),2)</f>
        <v>0</v>
      </c>
      <c r="S56" s="336"/>
      <c r="T56" s="336"/>
      <c r="U56" s="336">
        <f t="shared" ref="U56:Y59" ca="1" si="36">ROUND($N56*(VLOOKUP($L56,$L$9:$AB$24,U$6,FALSE)),2)</f>
        <v>0</v>
      </c>
      <c r="V56" s="336">
        <f t="shared" ca="1" si="36"/>
        <v>0</v>
      </c>
      <c r="W56" s="336">
        <f t="shared" ca="1" si="36"/>
        <v>0</v>
      </c>
      <c r="X56" s="336">
        <f t="shared" ca="1" si="36"/>
        <v>0</v>
      </c>
      <c r="Y56" s="336">
        <f t="shared" ca="1" si="36"/>
        <v>0</v>
      </c>
      <c r="Z56" s="336">
        <f ca="1">IF($R56=0,ROUND(SUM($N56:$R56)*(VLOOKUP($L56,$L$9:$AB$24,Z$6,FALSE)),2),ROUND(SUM($R56:$R56)*(VLOOKUP($L56,$L$9:$AB$24,Z$6,FALSE)),2))</f>
        <v>46</v>
      </c>
      <c r="AA56" s="336">
        <f ca="1">SUM(N56:Z56)</f>
        <v>545.95000000000005</v>
      </c>
      <c r="AB56" s="336">
        <f ca="1">ROUND(AA56*(VLOOKUP($L56,$L$9:$AB$24,AB$6,FALSE)),2)</f>
        <v>43.68</v>
      </c>
      <c r="AC56" s="336">
        <f ca="1">SUM(AA56:AB56)</f>
        <v>589.63</v>
      </c>
      <c r="AD56" s="214">
        <v>1</v>
      </c>
      <c r="AE56" s="336">
        <f ca="1">$AC56*$AD56</f>
        <v>589.63</v>
      </c>
      <c r="AF56" s="250"/>
      <c r="AG56" s="337"/>
      <c r="AH56" s="337"/>
      <c r="AI56" s="323">
        <f ca="1">AA56*AD56</f>
        <v>545.95000000000005</v>
      </c>
      <c r="AJ56" s="323">
        <f ca="1">AC56*AD56</f>
        <v>589.63</v>
      </c>
      <c r="AK56" s="323">
        <f ca="1">AJ56-AI56</f>
        <v>43.67999999999995</v>
      </c>
      <c r="AL56" s="20">
        <f ca="1">IF(AK56=0,0,ROUND(AK56/AI56,2))</f>
        <v>0.08</v>
      </c>
      <c r="AM56" s="337"/>
      <c r="AN56" s="337"/>
      <c r="AO56" s="337"/>
      <c r="AP56" s="337"/>
      <c r="AQ56" s="337"/>
      <c r="AR56" s="323"/>
      <c r="AS56" s="337"/>
      <c r="AT56" s="323"/>
      <c r="AU56" s="60"/>
      <c r="AV56" s="324"/>
      <c r="AW56" s="325"/>
      <c r="AZ56" s="251" t="str">
        <f ca="1">IF((OR((AC56=""),(AC56&gt;0))),"1","0")</f>
        <v>1</v>
      </c>
      <c r="BA56" s="251" t="str">
        <f ca="1">IF((OR((AE56=""),(AE56&gt;0))),"1","0")</f>
        <v>1</v>
      </c>
    </row>
    <row r="57" spans="2:53">
      <c r="E57" s="832" t="s">
        <v>913</v>
      </c>
      <c r="F57" s="8"/>
      <c r="G57" s="8"/>
      <c r="H57" s="8"/>
      <c r="I57" s="8"/>
      <c r="J57" s="8"/>
      <c r="K57" s="8"/>
      <c r="L57" s="363" t="s">
        <v>617</v>
      </c>
      <c r="M57" s="336">
        <f>'[6]Service Quote'!$E$26</f>
        <v>359</v>
      </c>
      <c r="N57" s="336">
        <f ca="1">ROUND($M57*(VLOOKUP($L57,$L$9:$AB$24,N$6,FALSE)),2)</f>
        <v>359</v>
      </c>
      <c r="O57" s="336">
        <f t="shared" ca="1" si="35"/>
        <v>0</v>
      </c>
      <c r="P57" s="336">
        <f t="shared" ca="1" si="35"/>
        <v>0</v>
      </c>
      <c r="Q57" s="336">
        <f t="shared" ca="1" si="35"/>
        <v>0</v>
      </c>
      <c r="R57" s="336">
        <f ca="1">ROUND(($N57+$Q57)*(VLOOKUP($L57,$L$9:$AB$24,R$6,FALSE)),2)</f>
        <v>0</v>
      </c>
      <c r="S57" s="336"/>
      <c r="T57" s="336"/>
      <c r="U57" s="336">
        <f t="shared" ca="1" si="36"/>
        <v>0</v>
      </c>
      <c r="V57" s="336">
        <f t="shared" ca="1" si="36"/>
        <v>0</v>
      </c>
      <c r="W57" s="336">
        <f t="shared" ca="1" si="36"/>
        <v>0</v>
      </c>
      <c r="X57" s="336">
        <f t="shared" ca="1" si="36"/>
        <v>0</v>
      </c>
      <c r="Y57" s="336">
        <f t="shared" ca="1" si="36"/>
        <v>0</v>
      </c>
      <c r="Z57" s="336">
        <f ca="1">IF($R57=0,ROUND(SUM($N57:$R57)*(VLOOKUP($L57,$L$9:$AB$24,Z$6,FALSE)),2),ROUND(SUM($R57:$R57)*(VLOOKUP($L57,$L$9:$AB$24,Z$6,FALSE)),2))</f>
        <v>33.03</v>
      </c>
      <c r="AA57" s="336">
        <f ca="1">SUM(N57:Z57)</f>
        <v>392.03</v>
      </c>
      <c r="AB57" s="336">
        <f ca="1">ROUND(AA57*(VLOOKUP($L57,$L$9:$AB$24,AB$6,FALSE)),2)</f>
        <v>31.36</v>
      </c>
      <c r="AC57" s="336">
        <f ca="1">SUM(AA57:AB57)</f>
        <v>423.39</v>
      </c>
      <c r="AD57" s="214">
        <v>1</v>
      </c>
      <c r="AE57" s="336">
        <f ca="1">$AC57*$AD57</f>
        <v>423.39</v>
      </c>
      <c r="AF57" s="250"/>
      <c r="AG57" s="337"/>
      <c r="AH57" s="337"/>
      <c r="AI57" s="323">
        <f ca="1">AA57*AD57</f>
        <v>392.03</v>
      </c>
      <c r="AJ57" s="323">
        <f ca="1">AC57*AD57</f>
        <v>423.39</v>
      </c>
      <c r="AK57" s="323">
        <f ca="1">AJ57-AI57</f>
        <v>31.360000000000014</v>
      </c>
      <c r="AL57" s="20">
        <f ca="1">IF(AK57=0,0,ROUND(AK57/AI57,2))</f>
        <v>0.08</v>
      </c>
      <c r="AM57" s="337"/>
      <c r="AN57" s="337"/>
      <c r="AO57" s="337"/>
      <c r="AP57" s="337"/>
      <c r="AQ57" s="337"/>
      <c r="AR57" s="323"/>
      <c r="AS57" s="337"/>
      <c r="AT57" s="323"/>
      <c r="AU57" s="60"/>
      <c r="AV57" s="324"/>
      <c r="AW57" s="325"/>
      <c r="AZ57" s="251" t="str">
        <f ca="1">IF((OR((AC57=""),(AC57&gt;0))),"1","0")</f>
        <v>1</v>
      </c>
      <c r="BA57" s="251" t="str">
        <f ca="1">IF((OR((AE57=""),(AE57&gt;0))),"1","0")</f>
        <v>1</v>
      </c>
    </row>
    <row r="58" spans="2:53">
      <c r="E58" s="832" t="s">
        <v>914</v>
      </c>
      <c r="F58" s="8"/>
      <c r="G58" s="8"/>
      <c r="H58" s="8"/>
      <c r="I58" s="8"/>
      <c r="J58" s="8"/>
      <c r="K58" s="8"/>
      <c r="L58" s="363" t="s">
        <v>617</v>
      </c>
      <c r="M58" s="336">
        <f>'[6]Service Quote'!$E$29</f>
        <v>199.95</v>
      </c>
      <c r="N58" s="336">
        <f ca="1">ROUND($M58*(VLOOKUP($L58,$L$9:$AB$24,N$6,FALSE)),2)</f>
        <v>199.95</v>
      </c>
      <c r="O58" s="336">
        <f t="shared" ca="1" si="35"/>
        <v>0</v>
      </c>
      <c r="P58" s="336">
        <f t="shared" ca="1" si="35"/>
        <v>0</v>
      </c>
      <c r="Q58" s="336">
        <f t="shared" ca="1" si="35"/>
        <v>0</v>
      </c>
      <c r="R58" s="336">
        <f ca="1">ROUND(($N58+$Q58)*(VLOOKUP($L58,$L$9:$AB$24,R$6,FALSE)),2)</f>
        <v>0</v>
      </c>
      <c r="S58" s="336"/>
      <c r="T58" s="336"/>
      <c r="U58" s="336">
        <f t="shared" ca="1" si="36"/>
        <v>0</v>
      </c>
      <c r="V58" s="336">
        <f t="shared" ca="1" si="36"/>
        <v>0</v>
      </c>
      <c r="W58" s="336">
        <f t="shared" ca="1" si="36"/>
        <v>0</v>
      </c>
      <c r="X58" s="336">
        <f t="shared" ca="1" si="36"/>
        <v>0</v>
      </c>
      <c r="Y58" s="336">
        <f t="shared" ca="1" si="36"/>
        <v>0</v>
      </c>
      <c r="Z58" s="336">
        <f ca="1">IF($R58=0,ROUND(SUM($N58:$R58)*(VLOOKUP($L58,$L$9:$AB$24,Z$6,FALSE)),2),ROUND(SUM($R58:$R58)*(VLOOKUP($L58,$L$9:$AB$24,Z$6,FALSE)),2))</f>
        <v>18.399999999999999</v>
      </c>
      <c r="AA58" s="336">
        <f ca="1">SUM(N58:Z58)</f>
        <v>218.35</v>
      </c>
      <c r="AB58" s="336">
        <f ca="1">ROUND(AA58*(VLOOKUP($L58,$L$9:$AB$24,AB$6,FALSE)),2)</f>
        <v>17.47</v>
      </c>
      <c r="AC58" s="336">
        <f ca="1">SUM(AA58:AB58)</f>
        <v>235.82</v>
      </c>
      <c r="AD58" s="214">
        <v>1</v>
      </c>
      <c r="AE58" s="336">
        <f ca="1">$AC58*$AD58</f>
        <v>235.82</v>
      </c>
      <c r="AF58" s="250"/>
      <c r="AG58" s="337"/>
      <c r="AH58" s="337"/>
      <c r="AI58" s="323">
        <f ca="1">AA58*AD58</f>
        <v>218.35</v>
      </c>
      <c r="AJ58" s="323">
        <f ca="1">AC58*AD58</f>
        <v>235.82</v>
      </c>
      <c r="AK58" s="323">
        <f ca="1">AJ58-AI58</f>
        <v>17.47</v>
      </c>
      <c r="AL58" s="20">
        <f ca="1">IF(AK58=0,0,ROUND(AK58/AI58,2))</f>
        <v>0.08</v>
      </c>
      <c r="AM58" s="337"/>
      <c r="AN58" s="337"/>
      <c r="AO58" s="337"/>
      <c r="AP58" s="337"/>
      <c r="AQ58" s="337"/>
      <c r="AR58" s="323"/>
      <c r="AS58" s="337"/>
      <c r="AT58" s="323"/>
      <c r="AU58" s="60"/>
      <c r="AV58" s="324"/>
      <c r="AW58" s="325"/>
    </row>
    <row r="59" spans="2:53">
      <c r="E59" s="832" t="s">
        <v>999</v>
      </c>
      <c r="F59" s="8"/>
      <c r="G59" s="8"/>
      <c r="H59" s="8"/>
      <c r="I59" s="8"/>
      <c r="J59" s="8"/>
      <c r="K59" s="8"/>
      <c r="L59" s="363" t="s">
        <v>617</v>
      </c>
      <c r="M59" s="1164">
        <v>300</v>
      </c>
      <c r="N59" s="336">
        <f ca="1">ROUND($M59*(VLOOKUP($L59,$L$9:$AB$24,N$6,FALSE)),2)</f>
        <v>300</v>
      </c>
      <c r="O59" s="336">
        <f t="shared" ca="1" si="35"/>
        <v>0</v>
      </c>
      <c r="P59" s="336">
        <f t="shared" ca="1" si="35"/>
        <v>0</v>
      </c>
      <c r="Q59" s="336">
        <f t="shared" ca="1" si="35"/>
        <v>0</v>
      </c>
      <c r="R59" s="336">
        <f ca="1">ROUND(($N59+$Q59)*(VLOOKUP($L59,$L$9:$AB$24,R$6,FALSE)),2)</f>
        <v>0</v>
      </c>
      <c r="S59" s="336"/>
      <c r="T59" s="336"/>
      <c r="U59" s="336">
        <f t="shared" ca="1" si="36"/>
        <v>0</v>
      </c>
      <c r="V59" s="336">
        <f t="shared" ca="1" si="36"/>
        <v>0</v>
      </c>
      <c r="W59" s="336">
        <f t="shared" ca="1" si="36"/>
        <v>0</v>
      </c>
      <c r="X59" s="336">
        <f t="shared" ca="1" si="36"/>
        <v>0</v>
      </c>
      <c r="Y59" s="336">
        <f t="shared" ca="1" si="36"/>
        <v>0</v>
      </c>
      <c r="Z59" s="336">
        <f ca="1">IF($R59=0,ROUND(SUM($N59:$R59)*(VLOOKUP($L59,$L$9:$AB$24,Z$6,FALSE)),2),ROUND(SUM($R59:$R59)*(VLOOKUP($L59,$L$9:$AB$24,Z$6,FALSE)),2))</f>
        <v>27.6</v>
      </c>
      <c r="AA59" s="336">
        <f ca="1">SUM(N59:Z59)</f>
        <v>327.60000000000002</v>
      </c>
      <c r="AB59" s="336">
        <f ca="1">ROUND(AA59*(VLOOKUP($L59,$L$9:$AB$24,AB$6,FALSE)),2)</f>
        <v>26.21</v>
      </c>
      <c r="AC59" s="336">
        <f ca="1">SUM(AA59:AB59)</f>
        <v>353.81</v>
      </c>
      <c r="AD59" s="214">
        <v>1</v>
      </c>
      <c r="AE59" s="336">
        <f ca="1">$AC59*$AD59</f>
        <v>353.81</v>
      </c>
      <c r="AF59" s="250"/>
      <c r="AG59" s="337"/>
      <c r="AH59" s="337"/>
      <c r="AI59" s="323"/>
      <c r="AJ59" s="323"/>
      <c r="AK59" s="323"/>
      <c r="AL59" s="20"/>
      <c r="AM59" s="337"/>
      <c r="AN59" s="337"/>
      <c r="AO59" s="337"/>
      <c r="AP59" s="337"/>
      <c r="AQ59" s="337"/>
      <c r="AR59" s="323"/>
      <c r="AS59" s="337"/>
      <c r="AT59" s="323"/>
      <c r="AU59" s="60"/>
      <c r="AV59" s="324"/>
      <c r="AW59" s="325"/>
    </row>
    <row r="60" spans="2:53">
      <c r="E60" s="832"/>
      <c r="F60" s="8"/>
      <c r="G60" s="8"/>
      <c r="H60" s="8"/>
      <c r="I60" s="8"/>
      <c r="J60" s="8"/>
      <c r="K60" s="8"/>
      <c r="L60" s="363"/>
      <c r="M60" s="336"/>
      <c r="N60" s="336"/>
      <c r="O60" s="336"/>
      <c r="P60" s="336"/>
      <c r="Q60" s="336"/>
      <c r="R60" s="336"/>
      <c r="S60" s="336"/>
      <c r="T60" s="336"/>
      <c r="U60" s="336"/>
      <c r="V60" s="336"/>
      <c r="W60" s="336"/>
      <c r="X60" s="336"/>
      <c r="Y60" s="336"/>
      <c r="Z60" s="336"/>
      <c r="AA60" s="336"/>
      <c r="AB60" s="336"/>
      <c r="AC60" s="336" t="s">
        <v>942</v>
      </c>
      <c r="AD60" s="214"/>
      <c r="AE60" s="336">
        <f ca="1">SUBTOTAL(9,AE56:AE59)</f>
        <v>1602.6499999999999</v>
      </c>
      <c r="AF60" s="250"/>
      <c r="AG60" s="337"/>
      <c r="AH60" s="337"/>
      <c r="AI60" s="323"/>
      <c r="AJ60" s="323"/>
      <c r="AK60" s="323"/>
      <c r="AL60" s="20"/>
      <c r="AM60" s="337"/>
      <c r="AN60" s="337"/>
      <c r="AO60" s="337"/>
      <c r="AP60" s="337"/>
      <c r="AQ60" s="337"/>
      <c r="AR60" s="323"/>
      <c r="AS60" s="337"/>
      <c r="AT60" s="323"/>
      <c r="AU60" s="60"/>
      <c r="AV60" s="324"/>
      <c r="AW60" s="325"/>
    </row>
    <row r="61" spans="2:53">
      <c r="E61" s="338"/>
      <c r="F61" s="327"/>
      <c r="G61" s="327"/>
      <c r="H61" s="327"/>
      <c r="I61" s="327"/>
      <c r="J61" s="327"/>
      <c r="K61" s="327"/>
      <c r="L61" s="327"/>
      <c r="M61" s="339"/>
      <c r="N61" s="339"/>
      <c r="O61" s="339"/>
      <c r="P61" s="339"/>
      <c r="Q61" s="339"/>
      <c r="R61" s="339"/>
      <c r="S61" s="339"/>
      <c r="T61" s="339"/>
      <c r="U61" s="339"/>
      <c r="V61" s="339"/>
      <c r="W61" s="339"/>
      <c r="X61" s="339"/>
      <c r="Y61" s="339"/>
      <c r="Z61" s="339"/>
      <c r="AA61" s="339"/>
      <c r="AB61" s="339"/>
      <c r="AC61" s="339"/>
      <c r="AD61" s="331"/>
      <c r="AE61" s="339"/>
      <c r="AF61" s="1037"/>
      <c r="AG61" s="339"/>
      <c r="AH61" s="339"/>
      <c r="AI61" s="339"/>
      <c r="AJ61" s="339"/>
      <c r="AK61" s="339"/>
      <c r="AL61" s="339"/>
      <c r="AM61" s="339"/>
      <c r="AN61" s="339"/>
      <c r="AO61" s="339"/>
      <c r="AP61" s="339"/>
      <c r="AQ61" s="339"/>
      <c r="AR61" s="332"/>
      <c r="AS61" s="339"/>
      <c r="AT61" s="332"/>
      <c r="AU61" s="332"/>
      <c r="AV61" s="333"/>
      <c r="AW61" s="325"/>
      <c r="AZ61" s="251" t="str">
        <f t="shared" si="32"/>
        <v>1</v>
      </c>
      <c r="BA61" s="251" t="str">
        <f t="shared" si="33"/>
        <v>1</v>
      </c>
    </row>
    <row r="62" spans="2:53">
      <c r="E62" s="248"/>
      <c r="F62" s="8"/>
      <c r="G62" s="8"/>
      <c r="H62" s="8"/>
      <c r="I62" s="8"/>
      <c r="J62" s="8"/>
      <c r="K62" s="8"/>
      <c r="L62" s="8"/>
      <c r="M62" s="8"/>
      <c r="N62" s="8"/>
      <c r="O62" s="8"/>
      <c r="P62" s="8"/>
      <c r="Q62" s="8"/>
      <c r="R62" s="8"/>
      <c r="S62" s="8"/>
      <c r="T62" s="8"/>
      <c r="U62" s="8"/>
      <c r="V62" s="8"/>
      <c r="W62" s="8"/>
      <c r="X62" s="8"/>
      <c r="Y62" s="8"/>
      <c r="Z62" s="8"/>
      <c r="AA62" s="8"/>
      <c r="AB62" s="8"/>
      <c r="AC62" s="8"/>
      <c r="AD62" s="8"/>
      <c r="AE62" s="336"/>
      <c r="AF62" s="250"/>
      <c r="AZ62" s="251" t="str">
        <f t="shared" si="32"/>
        <v>1</v>
      </c>
      <c r="BA62" s="251" t="str">
        <f t="shared" si="33"/>
        <v>1</v>
      </c>
    </row>
    <row r="63" spans="2:53">
      <c r="E63" s="248"/>
      <c r="F63" s="8"/>
      <c r="G63" s="8"/>
      <c r="H63" s="8"/>
      <c r="I63" s="8"/>
      <c r="J63" s="8"/>
      <c r="K63" s="8"/>
      <c r="L63" s="8"/>
      <c r="M63" s="8"/>
      <c r="N63" s="8"/>
      <c r="O63" s="8"/>
      <c r="P63" s="8"/>
      <c r="Q63" s="8"/>
      <c r="R63" s="8"/>
      <c r="S63" s="8"/>
      <c r="T63" s="8"/>
      <c r="U63" s="8"/>
      <c r="V63" s="8"/>
      <c r="W63" s="8"/>
      <c r="X63" s="8"/>
      <c r="Y63" s="8"/>
      <c r="Z63" s="8"/>
      <c r="AA63" s="8"/>
      <c r="AB63" s="8"/>
      <c r="AC63" s="313" t="s">
        <v>648</v>
      </c>
      <c r="AD63" s="322"/>
      <c r="AE63" s="1029">
        <f ca="1">SUBTOTAL(9,AE$54:AE$62)</f>
        <v>1602.6499999999999</v>
      </c>
      <c r="AF63" s="250"/>
      <c r="AG63" s="337"/>
      <c r="AH63" s="337"/>
      <c r="AI63" s="337">
        <f ca="1">SUM(AI32:AI58)</f>
        <v>3993866.7431565924</v>
      </c>
      <c r="AJ63" s="337">
        <f ca="1">SUM(AJ32:AJ58)</f>
        <v>4313434.1199999992</v>
      </c>
      <c r="AK63" s="337">
        <f ca="1">SUM(AK32:AK58)</f>
        <v>319567.37684340851</v>
      </c>
      <c r="AL63" s="20">
        <f ca="1">IF(AK63=0,0,ROUND(AK63/AI63,2))</f>
        <v>0.08</v>
      </c>
      <c r="AM63" s="337"/>
      <c r="AN63" s="337"/>
      <c r="AO63" s="337"/>
      <c r="AP63" s="337"/>
      <c r="AQ63" s="337"/>
      <c r="AR63" s="337"/>
      <c r="AS63" s="337"/>
      <c r="AT63" s="337"/>
      <c r="AU63" s="336"/>
      <c r="AV63" s="324"/>
      <c r="AW63" s="325"/>
      <c r="AZ63" s="251" t="str">
        <f t="shared" si="32"/>
        <v>1</v>
      </c>
      <c r="BA63" s="251" t="str">
        <f t="shared" ca="1" si="33"/>
        <v>1</v>
      </c>
    </row>
    <row r="64" spans="2:53">
      <c r="E64" s="248"/>
      <c r="F64" s="8"/>
      <c r="G64" s="8"/>
      <c r="H64" s="8"/>
      <c r="I64" s="8"/>
      <c r="J64" s="8"/>
      <c r="K64" s="8"/>
      <c r="L64" s="8"/>
      <c r="M64" s="8"/>
      <c r="N64" s="8"/>
      <c r="O64" s="8"/>
      <c r="P64" s="8"/>
      <c r="Q64" s="8"/>
      <c r="R64" s="8"/>
      <c r="S64" s="8"/>
      <c r="T64" s="8"/>
      <c r="U64" s="8"/>
      <c r="V64" s="8"/>
      <c r="W64" s="8"/>
      <c r="X64" s="8"/>
      <c r="Y64" s="8"/>
      <c r="Z64" s="8"/>
      <c r="AA64" s="8"/>
      <c r="AB64" s="8"/>
      <c r="AC64" s="8"/>
      <c r="AD64" s="8"/>
      <c r="AE64" s="8"/>
      <c r="AF64" s="250"/>
      <c r="AR64" s="13"/>
      <c r="AS64" s="335"/>
      <c r="AZ64" s="251" t="str">
        <f t="shared" si="32"/>
        <v>1</v>
      </c>
      <c r="BA64" s="251" t="str">
        <f t="shared" si="33"/>
        <v>1</v>
      </c>
    </row>
    <row r="65" spans="5:53">
      <c r="E65" s="340"/>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41"/>
      <c r="AG65" s="307"/>
      <c r="AH65" s="307"/>
      <c r="AI65" s="307"/>
      <c r="AJ65" s="307"/>
      <c r="AK65" s="307"/>
      <c r="AL65" s="307"/>
      <c r="AM65" s="307"/>
      <c r="AN65" s="307"/>
      <c r="AO65" s="307"/>
      <c r="AP65" s="307"/>
      <c r="AQ65" s="307"/>
      <c r="AR65" s="307"/>
      <c r="AS65" s="307"/>
      <c r="AT65" s="307"/>
      <c r="AV65" s="307"/>
      <c r="AZ65" s="251" t="str">
        <f t="shared" si="32"/>
        <v>1</v>
      </c>
      <c r="BA65" s="251" t="str">
        <f t="shared" si="33"/>
        <v>1</v>
      </c>
    </row>
    <row r="66" spans="5:53" ht="13.5" thickBot="1">
      <c r="E66" s="252"/>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342" t="s">
        <v>649</v>
      </c>
      <c r="AD66" s="343">
        <f>AD52</f>
        <v>52304</v>
      </c>
      <c r="AE66" s="1030">
        <f ca="1">SUBTOTAL(9,AE$31:AE$65)</f>
        <v>4313787.9299999988</v>
      </c>
      <c r="AF66" s="258"/>
      <c r="AG66" s="323"/>
      <c r="AH66" s="323"/>
      <c r="AI66" s="323"/>
      <c r="AJ66" s="323"/>
      <c r="AK66" s="323"/>
      <c r="AL66" s="323"/>
      <c r="AM66" s="323"/>
      <c r="AN66" s="323"/>
      <c r="AO66" s="323"/>
      <c r="AP66" s="323"/>
      <c r="AQ66" s="323"/>
      <c r="AR66" s="323"/>
      <c r="AS66" s="323"/>
      <c r="AT66" s="323"/>
      <c r="AU66" s="60"/>
      <c r="AV66" s="324"/>
      <c r="AW66" s="325"/>
      <c r="AZ66" s="251" t="str">
        <f t="shared" si="32"/>
        <v>1</v>
      </c>
      <c r="BA66" s="251" t="str">
        <f t="shared" ca="1" si="33"/>
        <v>1</v>
      </c>
    </row>
    <row r="67" spans="5:53">
      <c r="AR67" s="344"/>
      <c r="AS67" s="345"/>
      <c r="AZ67" s="251" t="str">
        <f t="shared" si="32"/>
        <v>1</v>
      </c>
      <c r="BA67" s="251" t="str">
        <f t="shared" si="33"/>
        <v>1</v>
      </c>
    </row>
    <row r="68" spans="5:53">
      <c r="AZ68" s="251" t="str">
        <f t="shared" si="32"/>
        <v>1</v>
      </c>
      <c r="BA68" s="251" t="str">
        <f t="shared" si="33"/>
        <v>1</v>
      </c>
    </row>
    <row r="69" spans="5:53">
      <c r="O69" s="346"/>
      <c r="P69" s="346"/>
      <c r="R69" s="280" t="s">
        <v>633</v>
      </c>
      <c r="S69" s="1160"/>
      <c r="T69" s="1160"/>
      <c r="U69" s="346"/>
      <c r="V69" s="346"/>
      <c r="W69" s="346"/>
      <c r="X69" s="346"/>
      <c r="Y69" s="346"/>
      <c r="Z69" s="282" t="s">
        <v>61</v>
      </c>
      <c r="AA69" s="281" t="s">
        <v>60</v>
      </c>
      <c r="AB69" s="282" t="s">
        <v>63</v>
      </c>
      <c r="AC69" s="281" t="s">
        <v>59</v>
      </c>
      <c r="AD69" s="282" t="s">
        <v>602</v>
      </c>
      <c r="AE69" s="281" t="s">
        <v>638</v>
      </c>
      <c r="AZ69" s="251" t="str">
        <f t="shared" si="32"/>
        <v>1</v>
      </c>
      <c r="BA69" s="251" t="str">
        <f t="shared" si="33"/>
        <v>1</v>
      </c>
    </row>
    <row r="70" spans="5:53">
      <c r="O70" s="8"/>
      <c r="P70" s="8"/>
      <c r="R70" s="347" t="s">
        <v>643</v>
      </c>
      <c r="S70" s="1161"/>
      <c r="T70" s="1161"/>
      <c r="U70" s="8"/>
      <c r="V70" s="8"/>
      <c r="W70" s="8"/>
      <c r="X70" s="8"/>
      <c r="Y70" s="8"/>
      <c r="Z70" s="348">
        <f>IF(AD70=0,0,(AD70/AD$91))</f>
        <v>0.73340471092077086</v>
      </c>
      <c r="AA70" s="349">
        <f ca="1">IF(AE70=0,0,(AE70/AE$91))</f>
        <v>0.76094105121568423</v>
      </c>
      <c r="AB70" s="350" t="s">
        <v>62</v>
      </c>
      <c r="AC70" s="269" t="s">
        <v>62</v>
      </c>
      <c r="AD70" s="351">
        <f t="shared" ref="AD70:AE90" si="37">SUMIF($G$31:$G$53,$R70,AD$31:AD$64)</f>
        <v>38360</v>
      </c>
      <c r="AE70" s="352">
        <f t="shared" ca="1" si="37"/>
        <v>3281318.7999999993</v>
      </c>
      <c r="AF70" s="6" t="str">
        <f t="shared" ref="AF70:AF90" si="38">R70</f>
        <v>ManTech</v>
      </c>
      <c r="AG70" s="60"/>
      <c r="AH70" s="60"/>
      <c r="AI70" s="60"/>
      <c r="AJ70" s="60"/>
      <c r="AK70" s="60"/>
      <c r="AL70" s="60"/>
      <c r="AM70" s="60"/>
      <c r="AN70" s="60"/>
      <c r="AO70" s="60"/>
      <c r="AP70" s="60"/>
      <c r="AQ70" s="60"/>
      <c r="AR70" s="60"/>
      <c r="AS70" s="60"/>
      <c r="AT70" s="60"/>
      <c r="AU70" s="60"/>
      <c r="AV70" s="324"/>
      <c r="AW70" s="325"/>
      <c r="AZ70" s="251" t="str">
        <f t="shared" si="32"/>
        <v>1</v>
      </c>
      <c r="BA70" s="251" t="str">
        <f t="shared" ca="1" si="33"/>
        <v>1</v>
      </c>
    </row>
    <row r="71" spans="5:53">
      <c r="M71" s="11"/>
      <c r="O71" s="8"/>
      <c r="P71" s="8"/>
      <c r="R71" s="347" t="str">
        <f>InputSheet!C149</f>
        <v>Segovia, Inc.</v>
      </c>
      <c r="S71" s="1161"/>
      <c r="T71" s="1161"/>
      <c r="U71" s="8"/>
      <c r="V71" s="8"/>
      <c r="W71" s="8"/>
      <c r="X71" s="8"/>
      <c r="Y71" s="8"/>
      <c r="Z71" s="348">
        <f t="shared" ref="Z71:AA90" si="39">IF(AD71=0,0,(AD71/AD$91))</f>
        <v>0.26613643315998775</v>
      </c>
      <c r="AA71" s="349">
        <f t="shared" ca="1" si="39"/>
        <v>0.23816638973360632</v>
      </c>
      <c r="AB71" s="348">
        <f>IF(AD71=0,0,(AD71/(AD$91-AD$70)))</f>
        <v>0.99827882960413084</v>
      </c>
      <c r="AC71" s="353">
        <f ca="1">IF(AE71=0,0,(AE71/(AE$91-AE$70)))</f>
        <v>0.99626636419490533</v>
      </c>
      <c r="AD71" s="351">
        <f t="shared" si="37"/>
        <v>13920</v>
      </c>
      <c r="AE71" s="352">
        <f t="shared" ca="1" si="37"/>
        <v>1027017.6000000001</v>
      </c>
      <c r="AF71" s="6" t="str">
        <f t="shared" si="38"/>
        <v>Segovia, Inc.</v>
      </c>
      <c r="AG71" s="60"/>
      <c r="AH71" s="60"/>
      <c r="AI71" s="60"/>
      <c r="AJ71" s="60"/>
      <c r="AK71" s="60"/>
      <c r="AL71" s="60"/>
      <c r="AM71" s="60"/>
      <c r="AN71" s="60"/>
      <c r="AO71" s="60"/>
      <c r="AP71" s="60"/>
      <c r="AQ71" s="60"/>
      <c r="AR71" s="60"/>
      <c r="AS71" s="60"/>
      <c r="AT71" s="60"/>
      <c r="AU71" s="60"/>
      <c r="AV71" s="324"/>
      <c r="AW71" s="325"/>
      <c r="AZ71" s="251" t="str">
        <f t="shared" ca="1" si="32"/>
        <v>1</v>
      </c>
      <c r="BA71" s="251" t="str">
        <f t="shared" ca="1" si="33"/>
        <v>1</v>
      </c>
    </row>
    <row r="72" spans="5:53">
      <c r="M72" s="11"/>
      <c r="O72" s="8"/>
      <c r="P72" s="8"/>
      <c r="R72" s="347" t="str">
        <f>InputSheet!C150</f>
        <v>Briggs and Sons</v>
      </c>
      <c r="S72" s="1161"/>
      <c r="T72" s="1161"/>
      <c r="U72" s="8"/>
      <c r="V72" s="8"/>
      <c r="W72" s="8"/>
      <c r="X72" s="8"/>
      <c r="Y72" s="8"/>
      <c r="Z72" s="348">
        <f t="shared" si="39"/>
        <v>0</v>
      </c>
      <c r="AA72" s="349">
        <f t="shared" si="39"/>
        <v>0</v>
      </c>
      <c r="AB72" s="348">
        <f t="shared" ref="AB72:AC90" si="40">IF(AD72=0,0,(AD72/(AD$91-AD$70)))</f>
        <v>0</v>
      </c>
      <c r="AC72" s="353">
        <f t="shared" si="40"/>
        <v>0</v>
      </c>
      <c r="AD72" s="351">
        <f t="shared" si="37"/>
        <v>0</v>
      </c>
      <c r="AE72" s="352">
        <f t="shared" si="37"/>
        <v>0</v>
      </c>
      <c r="AF72" s="6" t="str">
        <f t="shared" si="38"/>
        <v>Briggs and Sons</v>
      </c>
      <c r="AG72" s="60"/>
      <c r="AH72" s="60"/>
      <c r="AI72" s="60"/>
      <c r="AJ72" s="60"/>
      <c r="AK72" s="60"/>
      <c r="AL72" s="60"/>
      <c r="AM72" s="60"/>
      <c r="AN72" s="60"/>
      <c r="AO72" s="60"/>
      <c r="AP72" s="60"/>
      <c r="AQ72" s="60"/>
      <c r="AR72" s="60"/>
      <c r="AS72" s="60"/>
      <c r="AT72" s="60"/>
      <c r="AU72" s="60"/>
      <c r="AV72" s="324"/>
      <c r="AW72" s="325"/>
      <c r="AZ72" s="251" t="str">
        <f t="shared" si="32"/>
        <v>0</v>
      </c>
      <c r="BA72" s="251" t="str">
        <f t="shared" si="33"/>
        <v>0</v>
      </c>
    </row>
    <row r="73" spans="5:53">
      <c r="M73" s="11"/>
      <c r="O73" s="8"/>
      <c r="P73" s="8"/>
      <c r="R73" s="347" t="str">
        <f>InputSheet!C151</f>
        <v>Yvan</v>
      </c>
      <c r="S73" s="1161"/>
      <c r="T73" s="1161"/>
      <c r="U73" s="8"/>
      <c r="V73" s="8"/>
      <c r="W73" s="8"/>
      <c r="X73" s="8"/>
      <c r="Y73" s="8"/>
      <c r="Z73" s="348">
        <f t="shared" si="39"/>
        <v>4.588559192413582E-4</v>
      </c>
      <c r="AA73" s="349">
        <f t="shared" ca="1" si="39"/>
        <v>8.9255905070943537E-4</v>
      </c>
      <c r="AB73" s="348">
        <f t="shared" si="40"/>
        <v>1.7211703958691911E-3</v>
      </c>
      <c r="AC73" s="353">
        <f t="shared" ca="1" si="40"/>
        <v>3.733635805094759E-3</v>
      </c>
      <c r="AD73" s="351">
        <f t="shared" si="37"/>
        <v>24</v>
      </c>
      <c r="AE73" s="352">
        <f t="shared" ca="1" si="37"/>
        <v>3848.88</v>
      </c>
      <c r="AF73" s="6" t="str">
        <f t="shared" si="38"/>
        <v>Yvan</v>
      </c>
      <c r="AG73" s="60"/>
      <c r="AH73" s="60"/>
      <c r="AI73" s="60"/>
      <c r="AJ73" s="60"/>
      <c r="AK73" s="60"/>
      <c r="AL73" s="60"/>
      <c r="AM73" s="60"/>
      <c r="AN73" s="60"/>
      <c r="AO73" s="60"/>
      <c r="AP73" s="60"/>
      <c r="AQ73" s="60"/>
      <c r="AR73" s="60"/>
      <c r="AS73" s="60"/>
      <c r="AT73" s="60"/>
      <c r="AU73" s="60"/>
      <c r="AV73" s="324"/>
      <c r="AW73" s="325"/>
      <c r="AZ73" s="251" t="str">
        <f t="shared" ca="1" si="32"/>
        <v>1</v>
      </c>
      <c r="BA73" s="251" t="str">
        <f t="shared" ca="1" si="33"/>
        <v>1</v>
      </c>
    </row>
    <row r="74" spans="5:53">
      <c r="O74" s="8"/>
      <c r="P74" s="8"/>
      <c r="R74" s="347" t="str">
        <f>InputSheet!C152</f>
        <v>Sub 4</v>
      </c>
      <c r="S74" s="1161"/>
      <c r="T74" s="1161"/>
      <c r="U74" s="8"/>
      <c r="V74" s="8"/>
      <c r="W74" s="8"/>
      <c r="X74" s="8"/>
      <c r="Y74" s="8"/>
      <c r="Z74" s="348">
        <f t="shared" si="39"/>
        <v>0</v>
      </c>
      <c r="AA74" s="349">
        <f t="shared" si="39"/>
        <v>0</v>
      </c>
      <c r="AB74" s="348">
        <f t="shared" si="40"/>
        <v>0</v>
      </c>
      <c r="AC74" s="353">
        <f t="shared" si="40"/>
        <v>0</v>
      </c>
      <c r="AD74" s="351">
        <f t="shared" si="37"/>
        <v>0</v>
      </c>
      <c r="AE74" s="352">
        <f t="shared" si="37"/>
        <v>0</v>
      </c>
      <c r="AF74" s="6" t="str">
        <f t="shared" si="38"/>
        <v>Sub 4</v>
      </c>
      <c r="AG74" s="60"/>
      <c r="AH74" s="60"/>
      <c r="AI74" s="60"/>
      <c r="AJ74" s="60"/>
      <c r="AK74" s="60"/>
      <c r="AL74" s="60"/>
      <c r="AM74" s="60"/>
      <c r="AN74" s="60"/>
      <c r="AO74" s="60"/>
      <c r="AP74" s="60"/>
      <c r="AQ74" s="60"/>
      <c r="AR74" s="60"/>
      <c r="AS74" s="60"/>
      <c r="AT74" s="60"/>
      <c r="AU74" s="60"/>
      <c r="AV74" s="324"/>
      <c r="AW74" s="325"/>
      <c r="AZ74" s="251" t="str">
        <f t="shared" si="32"/>
        <v>0</v>
      </c>
      <c r="BA74" s="251" t="str">
        <f t="shared" si="33"/>
        <v>0</v>
      </c>
    </row>
    <row r="75" spans="5:53">
      <c r="O75" s="8"/>
      <c r="P75" s="8"/>
      <c r="R75" s="347" t="str">
        <f>InputSheet!C153</f>
        <v>Sub 5</v>
      </c>
      <c r="S75" s="1161"/>
      <c r="T75" s="1161"/>
      <c r="U75" s="8"/>
      <c r="V75" s="8"/>
      <c r="W75" s="8"/>
      <c r="X75" s="8"/>
      <c r="Y75" s="8"/>
      <c r="Z75" s="348">
        <f t="shared" si="39"/>
        <v>0</v>
      </c>
      <c r="AA75" s="349">
        <f t="shared" si="39"/>
        <v>0</v>
      </c>
      <c r="AB75" s="348">
        <f t="shared" si="40"/>
        <v>0</v>
      </c>
      <c r="AC75" s="353">
        <f t="shared" si="40"/>
        <v>0</v>
      </c>
      <c r="AD75" s="351">
        <f t="shared" si="37"/>
        <v>0</v>
      </c>
      <c r="AE75" s="352">
        <f t="shared" si="37"/>
        <v>0</v>
      </c>
      <c r="AF75" s="6" t="str">
        <f t="shared" si="38"/>
        <v>Sub 5</v>
      </c>
      <c r="AG75" s="60"/>
      <c r="AH75" s="60"/>
      <c r="AI75" s="60"/>
      <c r="AJ75" s="60"/>
      <c r="AK75" s="60"/>
      <c r="AL75" s="60"/>
      <c r="AM75" s="60"/>
      <c r="AN75" s="60"/>
      <c r="AO75" s="60"/>
      <c r="AP75" s="60"/>
      <c r="AQ75" s="60"/>
      <c r="AR75" s="60"/>
      <c r="AS75" s="60"/>
      <c r="AT75" s="60"/>
      <c r="AU75" s="60"/>
      <c r="AV75" s="324"/>
      <c r="AW75" s="325"/>
      <c r="AZ75" s="251" t="str">
        <f t="shared" si="32"/>
        <v>0</v>
      </c>
      <c r="BA75" s="251" t="str">
        <f t="shared" si="33"/>
        <v>0</v>
      </c>
    </row>
    <row r="76" spans="5:53">
      <c r="O76" s="8"/>
      <c r="P76" s="8"/>
      <c r="R76" s="347" t="str">
        <f>InputSheet!C154</f>
        <v>Sub 6</v>
      </c>
      <c r="S76" s="1161"/>
      <c r="T76" s="1161"/>
      <c r="U76" s="8"/>
      <c r="V76" s="8"/>
      <c r="W76" s="8"/>
      <c r="X76" s="8"/>
      <c r="Y76" s="8"/>
      <c r="Z76" s="348">
        <f t="shared" si="39"/>
        <v>0</v>
      </c>
      <c r="AA76" s="349">
        <f t="shared" si="39"/>
        <v>0</v>
      </c>
      <c r="AB76" s="348">
        <f t="shared" si="40"/>
        <v>0</v>
      </c>
      <c r="AC76" s="353">
        <f t="shared" si="40"/>
        <v>0</v>
      </c>
      <c r="AD76" s="351">
        <f t="shared" si="37"/>
        <v>0</v>
      </c>
      <c r="AE76" s="352">
        <f t="shared" si="37"/>
        <v>0</v>
      </c>
      <c r="AF76" s="6" t="str">
        <f t="shared" si="38"/>
        <v>Sub 6</v>
      </c>
      <c r="AG76" s="60"/>
      <c r="AH76" s="60"/>
      <c r="AI76" s="60"/>
      <c r="AJ76" s="60"/>
      <c r="AK76" s="60"/>
      <c r="AL76" s="60"/>
      <c r="AM76" s="60"/>
      <c r="AN76" s="60"/>
      <c r="AO76" s="60"/>
      <c r="AP76" s="60"/>
      <c r="AQ76" s="60"/>
      <c r="AR76" s="60"/>
      <c r="AS76" s="60"/>
      <c r="AT76" s="60"/>
      <c r="AU76" s="60"/>
      <c r="AV76" s="324"/>
      <c r="AW76" s="325"/>
      <c r="AZ76" s="251" t="str">
        <f t="shared" si="32"/>
        <v>0</v>
      </c>
      <c r="BA76" s="251" t="str">
        <f t="shared" si="33"/>
        <v>0</v>
      </c>
    </row>
    <row r="77" spans="5:53">
      <c r="O77" s="8"/>
      <c r="P77" s="8"/>
      <c r="R77" s="347" t="str">
        <f>InputSheet!C155</f>
        <v>Sub 7</v>
      </c>
      <c r="S77" s="1161"/>
      <c r="T77" s="1161"/>
      <c r="U77" s="8"/>
      <c r="V77" s="8"/>
      <c r="W77" s="8"/>
      <c r="X77" s="8"/>
      <c r="Y77" s="8"/>
      <c r="Z77" s="348">
        <f t="shared" si="39"/>
        <v>0</v>
      </c>
      <c r="AA77" s="349">
        <f t="shared" si="39"/>
        <v>0</v>
      </c>
      <c r="AB77" s="348">
        <f t="shared" si="40"/>
        <v>0</v>
      </c>
      <c r="AC77" s="353">
        <f t="shared" si="40"/>
        <v>0</v>
      </c>
      <c r="AD77" s="351">
        <f t="shared" si="37"/>
        <v>0</v>
      </c>
      <c r="AE77" s="352">
        <f t="shared" si="37"/>
        <v>0</v>
      </c>
      <c r="AF77" s="6" t="str">
        <f t="shared" si="38"/>
        <v>Sub 7</v>
      </c>
      <c r="AG77" s="60"/>
      <c r="AH77" s="60"/>
      <c r="AI77" s="60"/>
      <c r="AJ77" s="60"/>
      <c r="AK77" s="60"/>
      <c r="AL77" s="60"/>
      <c r="AM77" s="60"/>
      <c r="AN77" s="60"/>
      <c r="AO77" s="60"/>
      <c r="AP77" s="60"/>
      <c r="AQ77" s="60"/>
      <c r="AR77" s="60"/>
      <c r="AS77" s="60"/>
      <c r="AT77" s="60"/>
      <c r="AU77" s="60"/>
      <c r="AV77" s="324"/>
      <c r="AW77" s="325"/>
      <c r="AZ77" s="251" t="str">
        <f t="shared" si="32"/>
        <v>0</v>
      </c>
      <c r="BA77" s="251" t="str">
        <f t="shared" si="33"/>
        <v>0</v>
      </c>
    </row>
    <row r="78" spans="5:53">
      <c r="O78" s="8"/>
      <c r="P78" s="8"/>
      <c r="R78" s="347" t="str">
        <f>InputSheet!C156</f>
        <v>Sub 8</v>
      </c>
      <c r="S78" s="1161"/>
      <c r="T78" s="1161"/>
      <c r="U78" s="8"/>
      <c r="V78" s="8"/>
      <c r="W78" s="8"/>
      <c r="X78" s="8"/>
      <c r="Y78" s="8"/>
      <c r="Z78" s="348">
        <f t="shared" si="39"/>
        <v>0</v>
      </c>
      <c r="AA78" s="349">
        <f t="shared" si="39"/>
        <v>0</v>
      </c>
      <c r="AB78" s="348">
        <f t="shared" si="40"/>
        <v>0</v>
      </c>
      <c r="AC78" s="353">
        <f t="shared" si="40"/>
        <v>0</v>
      </c>
      <c r="AD78" s="351">
        <f t="shared" si="37"/>
        <v>0</v>
      </c>
      <c r="AE78" s="352">
        <f t="shared" si="37"/>
        <v>0</v>
      </c>
      <c r="AF78" s="6" t="str">
        <f t="shared" si="38"/>
        <v>Sub 8</v>
      </c>
      <c r="AG78" s="60"/>
      <c r="AH78" s="60"/>
      <c r="AI78" s="60"/>
      <c r="AJ78" s="60"/>
      <c r="AK78" s="60"/>
      <c r="AL78" s="60"/>
      <c r="AM78" s="60"/>
      <c r="AN78" s="60"/>
      <c r="AO78" s="60"/>
      <c r="AP78" s="60"/>
      <c r="AQ78" s="60"/>
      <c r="AR78" s="60"/>
      <c r="AS78" s="60"/>
      <c r="AT78" s="60"/>
      <c r="AU78" s="60"/>
      <c r="AV78" s="324"/>
      <c r="AW78" s="325"/>
      <c r="AZ78" s="251" t="str">
        <f t="shared" si="32"/>
        <v>0</v>
      </c>
      <c r="BA78" s="251" t="str">
        <f t="shared" si="33"/>
        <v>0</v>
      </c>
    </row>
    <row r="79" spans="5:53">
      <c r="O79" s="8"/>
      <c r="P79" s="8"/>
      <c r="R79" s="347" t="str">
        <f>InputSheet!C157</f>
        <v>Sub 9</v>
      </c>
      <c r="S79" s="1161"/>
      <c r="T79" s="1161"/>
      <c r="U79" s="8"/>
      <c r="V79" s="8"/>
      <c r="W79" s="8"/>
      <c r="X79" s="8"/>
      <c r="Y79" s="8"/>
      <c r="Z79" s="348">
        <f t="shared" si="39"/>
        <v>0</v>
      </c>
      <c r="AA79" s="349">
        <f t="shared" si="39"/>
        <v>0</v>
      </c>
      <c r="AB79" s="348">
        <f t="shared" si="40"/>
        <v>0</v>
      </c>
      <c r="AC79" s="353">
        <f t="shared" si="40"/>
        <v>0</v>
      </c>
      <c r="AD79" s="351">
        <f t="shared" si="37"/>
        <v>0</v>
      </c>
      <c r="AE79" s="352">
        <f t="shared" si="37"/>
        <v>0</v>
      </c>
      <c r="AF79" s="6" t="str">
        <f t="shared" si="38"/>
        <v>Sub 9</v>
      </c>
      <c r="AG79" s="60"/>
      <c r="AH79" s="60"/>
      <c r="AI79" s="60"/>
      <c r="AJ79" s="60"/>
      <c r="AK79" s="60"/>
      <c r="AL79" s="60"/>
      <c r="AM79" s="60"/>
      <c r="AN79" s="60"/>
      <c r="AO79" s="60"/>
      <c r="AP79" s="60"/>
      <c r="AQ79" s="60"/>
      <c r="AR79" s="60"/>
      <c r="AS79" s="60"/>
      <c r="AT79" s="60"/>
      <c r="AU79" s="60"/>
      <c r="AV79" s="324"/>
      <c r="AW79" s="325"/>
      <c r="AZ79" s="251" t="str">
        <f t="shared" si="32"/>
        <v>0</v>
      </c>
      <c r="BA79" s="251" t="str">
        <f t="shared" si="33"/>
        <v>0</v>
      </c>
    </row>
    <row r="80" spans="5:53">
      <c r="O80" s="8"/>
      <c r="P80" s="8"/>
      <c r="R80" s="347" t="str">
        <f>InputSheet!C158</f>
        <v>Sub 10</v>
      </c>
      <c r="S80" s="1161"/>
      <c r="T80" s="1161"/>
      <c r="U80" s="8"/>
      <c r="V80" s="8"/>
      <c r="W80" s="8"/>
      <c r="X80" s="8"/>
      <c r="Y80" s="8"/>
      <c r="Z80" s="348">
        <f t="shared" si="39"/>
        <v>0</v>
      </c>
      <c r="AA80" s="349">
        <f t="shared" si="39"/>
        <v>0</v>
      </c>
      <c r="AB80" s="348">
        <f t="shared" si="40"/>
        <v>0</v>
      </c>
      <c r="AC80" s="353">
        <f t="shared" si="40"/>
        <v>0</v>
      </c>
      <c r="AD80" s="351">
        <f t="shared" si="37"/>
        <v>0</v>
      </c>
      <c r="AE80" s="352">
        <f t="shared" si="37"/>
        <v>0</v>
      </c>
      <c r="AF80" s="6" t="str">
        <f t="shared" si="38"/>
        <v>Sub 10</v>
      </c>
      <c r="AG80" s="60"/>
      <c r="AH80" s="60"/>
      <c r="AI80" s="60"/>
      <c r="AJ80" s="60"/>
      <c r="AK80" s="60"/>
      <c r="AL80" s="60"/>
      <c r="AM80" s="60"/>
      <c r="AN80" s="60"/>
      <c r="AO80" s="60"/>
      <c r="AP80" s="60"/>
      <c r="AQ80" s="60"/>
      <c r="AR80" s="60"/>
      <c r="AS80" s="60"/>
      <c r="AT80" s="60"/>
      <c r="AU80" s="60"/>
      <c r="AV80" s="324"/>
      <c r="AW80" s="325"/>
      <c r="AZ80" s="251" t="str">
        <f t="shared" si="32"/>
        <v>0</v>
      </c>
      <c r="BA80" s="251" t="str">
        <f t="shared" si="33"/>
        <v>0</v>
      </c>
    </row>
    <row r="81" spans="15:53">
      <c r="O81" s="8"/>
      <c r="P81" s="8"/>
      <c r="R81" s="347" t="str">
        <f>InputSheet!C159</f>
        <v>Sub 11</v>
      </c>
      <c r="S81" s="1161"/>
      <c r="T81" s="1161"/>
      <c r="U81" s="8"/>
      <c r="V81" s="8"/>
      <c r="W81" s="8"/>
      <c r="X81" s="8"/>
      <c r="Y81" s="8"/>
      <c r="Z81" s="348">
        <f t="shared" si="39"/>
        <v>0</v>
      </c>
      <c r="AA81" s="349">
        <f t="shared" si="39"/>
        <v>0</v>
      </c>
      <c r="AB81" s="348">
        <f t="shared" si="40"/>
        <v>0</v>
      </c>
      <c r="AC81" s="353">
        <f t="shared" si="40"/>
        <v>0</v>
      </c>
      <c r="AD81" s="351">
        <f t="shared" si="37"/>
        <v>0</v>
      </c>
      <c r="AE81" s="352">
        <f t="shared" si="37"/>
        <v>0</v>
      </c>
      <c r="AF81" s="6" t="str">
        <f t="shared" si="38"/>
        <v>Sub 11</v>
      </c>
      <c r="AG81" s="60"/>
      <c r="AH81" s="60"/>
      <c r="AI81" s="60"/>
      <c r="AJ81" s="60"/>
      <c r="AK81" s="60"/>
      <c r="AL81" s="60"/>
      <c r="AM81" s="60"/>
      <c r="AN81" s="60"/>
      <c r="AO81" s="60"/>
      <c r="AP81" s="60"/>
      <c r="AQ81" s="60"/>
      <c r="AR81" s="60"/>
      <c r="AS81" s="60"/>
      <c r="AT81" s="60"/>
      <c r="AU81" s="60"/>
      <c r="AV81" s="324"/>
      <c r="AW81" s="325"/>
      <c r="AZ81" s="251" t="str">
        <f t="shared" si="32"/>
        <v>0</v>
      </c>
      <c r="BA81" s="251" t="str">
        <f t="shared" si="33"/>
        <v>0</v>
      </c>
    </row>
    <row r="82" spans="15:53">
      <c r="O82" s="8"/>
      <c r="P82" s="8"/>
      <c r="R82" s="347" t="str">
        <f>InputSheet!C160</f>
        <v>Sub 12</v>
      </c>
      <c r="S82" s="1161"/>
      <c r="T82" s="1161"/>
      <c r="U82" s="8"/>
      <c r="V82" s="8"/>
      <c r="W82" s="8"/>
      <c r="X82" s="8"/>
      <c r="Y82" s="8"/>
      <c r="Z82" s="348">
        <f t="shared" si="39"/>
        <v>0</v>
      </c>
      <c r="AA82" s="349">
        <f t="shared" si="39"/>
        <v>0</v>
      </c>
      <c r="AB82" s="348">
        <f t="shared" si="40"/>
        <v>0</v>
      </c>
      <c r="AC82" s="353">
        <f t="shared" si="40"/>
        <v>0</v>
      </c>
      <c r="AD82" s="351">
        <f t="shared" si="37"/>
        <v>0</v>
      </c>
      <c r="AE82" s="352">
        <f t="shared" si="37"/>
        <v>0</v>
      </c>
      <c r="AF82" s="6" t="str">
        <f t="shared" si="38"/>
        <v>Sub 12</v>
      </c>
      <c r="AG82" s="60"/>
      <c r="AH82" s="60"/>
      <c r="AI82" s="60"/>
      <c r="AJ82" s="60"/>
      <c r="AK82" s="60"/>
      <c r="AL82" s="60"/>
      <c r="AM82" s="60"/>
      <c r="AN82" s="60"/>
      <c r="AO82" s="60"/>
      <c r="AP82" s="60"/>
      <c r="AQ82" s="60"/>
      <c r="AR82" s="60"/>
      <c r="AS82" s="60"/>
      <c r="AT82" s="60"/>
      <c r="AU82" s="60"/>
      <c r="AV82" s="324"/>
      <c r="AW82" s="325"/>
      <c r="AZ82" s="251" t="str">
        <f t="shared" si="32"/>
        <v>0</v>
      </c>
      <c r="BA82" s="251" t="str">
        <f t="shared" si="33"/>
        <v>0</v>
      </c>
    </row>
    <row r="83" spans="15:53">
      <c r="O83" s="8"/>
      <c r="P83" s="8"/>
      <c r="R83" s="347" t="str">
        <f>InputSheet!C161</f>
        <v>Sub 13</v>
      </c>
      <c r="S83" s="1161"/>
      <c r="T83" s="1161"/>
      <c r="U83" s="8"/>
      <c r="V83" s="8"/>
      <c r="W83" s="8"/>
      <c r="X83" s="8"/>
      <c r="Y83" s="8"/>
      <c r="Z83" s="348">
        <f t="shared" si="39"/>
        <v>0</v>
      </c>
      <c r="AA83" s="349">
        <f t="shared" si="39"/>
        <v>0</v>
      </c>
      <c r="AB83" s="348">
        <f t="shared" si="40"/>
        <v>0</v>
      </c>
      <c r="AC83" s="353">
        <f t="shared" si="40"/>
        <v>0</v>
      </c>
      <c r="AD83" s="351">
        <f t="shared" si="37"/>
        <v>0</v>
      </c>
      <c r="AE83" s="352">
        <f t="shared" si="37"/>
        <v>0</v>
      </c>
      <c r="AF83" s="6" t="str">
        <f t="shared" si="38"/>
        <v>Sub 13</v>
      </c>
      <c r="AG83" s="60"/>
      <c r="AH83" s="60"/>
      <c r="AI83" s="60"/>
      <c r="AJ83" s="60"/>
      <c r="AK83" s="60"/>
      <c r="AL83" s="60"/>
      <c r="AM83" s="60"/>
      <c r="AN83" s="60"/>
      <c r="AO83" s="60"/>
      <c r="AP83" s="60"/>
      <c r="AQ83" s="60"/>
      <c r="AR83" s="60"/>
      <c r="AS83" s="60"/>
      <c r="AT83" s="60"/>
      <c r="AU83" s="60"/>
      <c r="AV83" s="324"/>
      <c r="AW83" s="325"/>
      <c r="AZ83" s="251" t="str">
        <f t="shared" si="32"/>
        <v>0</v>
      </c>
      <c r="BA83" s="251" t="str">
        <f t="shared" si="33"/>
        <v>0</v>
      </c>
    </row>
    <row r="84" spans="15:53">
      <c r="O84" s="8"/>
      <c r="P84" s="8"/>
      <c r="R84" s="347" t="str">
        <f>InputSheet!C162</f>
        <v>Sub 14</v>
      </c>
      <c r="S84" s="1161"/>
      <c r="T84" s="1161"/>
      <c r="U84" s="8"/>
      <c r="V84" s="8"/>
      <c r="W84" s="8"/>
      <c r="X84" s="8"/>
      <c r="Y84" s="8"/>
      <c r="Z84" s="348">
        <f t="shared" si="39"/>
        <v>0</v>
      </c>
      <c r="AA84" s="349">
        <f t="shared" si="39"/>
        <v>0</v>
      </c>
      <c r="AB84" s="348">
        <f t="shared" si="40"/>
        <v>0</v>
      </c>
      <c r="AC84" s="353">
        <f t="shared" si="40"/>
        <v>0</v>
      </c>
      <c r="AD84" s="351">
        <f t="shared" si="37"/>
        <v>0</v>
      </c>
      <c r="AE84" s="352">
        <f t="shared" si="37"/>
        <v>0</v>
      </c>
      <c r="AF84" s="6" t="str">
        <f t="shared" si="38"/>
        <v>Sub 14</v>
      </c>
      <c r="AG84" s="60"/>
      <c r="AH84" s="60"/>
      <c r="AI84" s="60"/>
      <c r="AJ84" s="60"/>
      <c r="AK84" s="60"/>
      <c r="AL84" s="60"/>
      <c r="AM84" s="60"/>
      <c r="AN84" s="60"/>
      <c r="AO84" s="60"/>
      <c r="AP84" s="60"/>
      <c r="AQ84" s="60"/>
      <c r="AR84" s="60"/>
      <c r="AS84" s="60"/>
      <c r="AT84" s="60"/>
      <c r="AU84" s="60"/>
      <c r="AV84" s="324"/>
      <c r="AW84" s="325"/>
      <c r="AZ84" s="251" t="str">
        <f t="shared" si="32"/>
        <v>0</v>
      </c>
      <c r="BA84" s="251" t="str">
        <f t="shared" si="33"/>
        <v>0</v>
      </c>
    </row>
    <row r="85" spans="15:53">
      <c r="O85" s="8"/>
      <c r="P85" s="8"/>
      <c r="R85" s="347" t="str">
        <f>InputSheet!C163</f>
        <v>Sub 15</v>
      </c>
      <c r="S85" s="1161"/>
      <c r="T85" s="1161"/>
      <c r="U85" s="8"/>
      <c r="V85" s="8"/>
      <c r="W85" s="8"/>
      <c r="X85" s="8"/>
      <c r="Y85" s="8"/>
      <c r="Z85" s="348">
        <f t="shared" si="39"/>
        <v>0</v>
      </c>
      <c r="AA85" s="349">
        <f t="shared" si="39"/>
        <v>0</v>
      </c>
      <c r="AB85" s="348">
        <f t="shared" si="40"/>
        <v>0</v>
      </c>
      <c r="AC85" s="353">
        <f t="shared" si="40"/>
        <v>0</v>
      </c>
      <c r="AD85" s="351">
        <f t="shared" si="37"/>
        <v>0</v>
      </c>
      <c r="AE85" s="352">
        <f t="shared" si="37"/>
        <v>0</v>
      </c>
      <c r="AF85" s="6" t="str">
        <f t="shared" si="38"/>
        <v>Sub 15</v>
      </c>
      <c r="AG85" s="60"/>
      <c r="AH85" s="60"/>
      <c r="AI85" s="60"/>
      <c r="AJ85" s="60"/>
      <c r="AK85" s="60"/>
      <c r="AL85" s="60"/>
      <c r="AM85" s="60"/>
      <c r="AN85" s="60"/>
      <c r="AO85" s="60"/>
      <c r="AP85" s="60"/>
      <c r="AQ85" s="60"/>
      <c r="AR85" s="60"/>
      <c r="AS85" s="60"/>
      <c r="AT85" s="60"/>
      <c r="AU85" s="60"/>
      <c r="AV85" s="324"/>
      <c r="AW85" s="325"/>
      <c r="AZ85" s="251" t="str">
        <f t="shared" si="32"/>
        <v>0</v>
      </c>
      <c r="BA85" s="251" t="str">
        <f t="shared" si="33"/>
        <v>0</v>
      </c>
    </row>
    <row r="86" spans="15:53">
      <c r="O86" s="8"/>
      <c r="P86" s="8"/>
      <c r="R86" s="347" t="str">
        <f>InputSheet!C164</f>
        <v>Sub 16</v>
      </c>
      <c r="S86" s="1161"/>
      <c r="T86" s="1161"/>
      <c r="U86" s="8"/>
      <c r="V86" s="8"/>
      <c r="W86" s="8"/>
      <c r="X86" s="8"/>
      <c r="Y86" s="8"/>
      <c r="Z86" s="348">
        <f t="shared" si="39"/>
        <v>0</v>
      </c>
      <c r="AA86" s="349">
        <f t="shared" si="39"/>
        <v>0</v>
      </c>
      <c r="AB86" s="348">
        <f t="shared" si="40"/>
        <v>0</v>
      </c>
      <c r="AC86" s="353">
        <f t="shared" si="40"/>
        <v>0</v>
      </c>
      <c r="AD86" s="351">
        <f t="shared" si="37"/>
        <v>0</v>
      </c>
      <c r="AE86" s="352">
        <f t="shared" si="37"/>
        <v>0</v>
      </c>
      <c r="AF86" s="6" t="str">
        <f t="shared" si="38"/>
        <v>Sub 16</v>
      </c>
      <c r="AG86" s="60"/>
      <c r="AH86" s="60"/>
      <c r="AI86" s="60"/>
      <c r="AJ86" s="60"/>
      <c r="AK86" s="60"/>
      <c r="AL86" s="60"/>
      <c r="AM86" s="60"/>
      <c r="AN86" s="60"/>
      <c r="AO86" s="60"/>
      <c r="AP86" s="60"/>
      <c r="AQ86" s="60"/>
      <c r="AR86" s="60"/>
      <c r="AS86" s="60"/>
      <c r="AT86" s="60"/>
      <c r="AU86" s="60"/>
      <c r="AV86" s="324"/>
      <c r="AW86" s="325"/>
      <c r="AZ86" s="251" t="str">
        <f t="shared" si="32"/>
        <v>0</v>
      </c>
      <c r="BA86" s="251" t="str">
        <f t="shared" si="33"/>
        <v>0</v>
      </c>
    </row>
    <row r="87" spans="15:53">
      <c r="O87" s="8"/>
      <c r="P87" s="8"/>
      <c r="R87" s="347" t="str">
        <f>InputSheet!C165</f>
        <v>Sub 17</v>
      </c>
      <c r="S87" s="1161"/>
      <c r="T87" s="1161"/>
      <c r="U87" s="8"/>
      <c r="V87" s="8"/>
      <c r="W87" s="8"/>
      <c r="X87" s="8"/>
      <c r="Y87" s="8"/>
      <c r="Z87" s="348">
        <f t="shared" si="39"/>
        <v>0</v>
      </c>
      <c r="AA87" s="349">
        <f t="shared" si="39"/>
        <v>0</v>
      </c>
      <c r="AB87" s="348">
        <f t="shared" si="40"/>
        <v>0</v>
      </c>
      <c r="AC87" s="353">
        <f t="shared" si="40"/>
        <v>0</v>
      </c>
      <c r="AD87" s="351">
        <f t="shared" si="37"/>
        <v>0</v>
      </c>
      <c r="AE87" s="352">
        <f t="shared" si="37"/>
        <v>0</v>
      </c>
      <c r="AF87" s="6" t="str">
        <f t="shared" si="38"/>
        <v>Sub 17</v>
      </c>
      <c r="AG87" s="60"/>
      <c r="AH87" s="60"/>
      <c r="AI87" s="60"/>
      <c r="AJ87" s="60"/>
      <c r="AK87" s="60"/>
      <c r="AL87" s="60"/>
      <c r="AM87" s="60"/>
      <c r="AN87" s="60"/>
      <c r="AO87" s="60"/>
      <c r="AP87" s="60"/>
      <c r="AQ87" s="60"/>
      <c r="AR87" s="60"/>
      <c r="AS87" s="60"/>
      <c r="AT87" s="60"/>
      <c r="AU87" s="60"/>
      <c r="AV87" s="324"/>
      <c r="AW87" s="325"/>
      <c r="AZ87" s="251" t="str">
        <f t="shared" si="32"/>
        <v>0</v>
      </c>
      <c r="BA87" s="251" t="str">
        <f t="shared" si="33"/>
        <v>0</v>
      </c>
    </row>
    <row r="88" spans="15:53">
      <c r="O88" s="8"/>
      <c r="P88" s="8"/>
      <c r="R88" s="347" t="str">
        <f>InputSheet!C166</f>
        <v>Sub 18</v>
      </c>
      <c r="S88" s="1161"/>
      <c r="T88" s="1161"/>
      <c r="U88" s="8"/>
      <c r="V88" s="8"/>
      <c r="W88" s="8"/>
      <c r="X88" s="8"/>
      <c r="Y88" s="8"/>
      <c r="Z88" s="348">
        <f t="shared" si="39"/>
        <v>0</v>
      </c>
      <c r="AA88" s="349">
        <f t="shared" si="39"/>
        <v>0</v>
      </c>
      <c r="AB88" s="348">
        <f t="shared" si="40"/>
        <v>0</v>
      </c>
      <c r="AC88" s="353">
        <f t="shared" si="40"/>
        <v>0</v>
      </c>
      <c r="AD88" s="351">
        <f t="shared" si="37"/>
        <v>0</v>
      </c>
      <c r="AE88" s="352">
        <f t="shared" si="37"/>
        <v>0</v>
      </c>
      <c r="AF88" s="6" t="str">
        <f t="shared" si="38"/>
        <v>Sub 18</v>
      </c>
      <c r="AG88" s="60"/>
      <c r="AH88" s="60"/>
      <c r="AI88" s="60"/>
      <c r="AJ88" s="60"/>
      <c r="AK88" s="60"/>
      <c r="AL88" s="60"/>
      <c r="AM88" s="60"/>
      <c r="AN88" s="60"/>
      <c r="AO88" s="60"/>
      <c r="AP88" s="60"/>
      <c r="AQ88" s="60"/>
      <c r="AR88" s="60"/>
      <c r="AS88" s="60"/>
      <c r="AT88" s="60"/>
      <c r="AU88" s="60"/>
      <c r="AV88" s="324"/>
      <c r="AW88" s="325"/>
      <c r="AZ88" s="251" t="str">
        <f t="shared" si="32"/>
        <v>0</v>
      </c>
      <c r="BA88" s="251" t="str">
        <f t="shared" si="33"/>
        <v>0</v>
      </c>
    </row>
    <row r="89" spans="15:53">
      <c r="O89" s="8"/>
      <c r="P89" s="8"/>
      <c r="R89" s="347" t="str">
        <f>InputSheet!C167</f>
        <v>Sub 19</v>
      </c>
      <c r="S89" s="1161"/>
      <c r="T89" s="1161"/>
      <c r="U89" s="8"/>
      <c r="V89" s="8"/>
      <c r="W89" s="8"/>
      <c r="X89" s="8"/>
      <c r="Y89" s="8"/>
      <c r="Z89" s="348">
        <f t="shared" si="39"/>
        <v>0</v>
      </c>
      <c r="AA89" s="349">
        <f t="shared" si="39"/>
        <v>0</v>
      </c>
      <c r="AB89" s="348">
        <f t="shared" si="40"/>
        <v>0</v>
      </c>
      <c r="AC89" s="353">
        <f t="shared" si="40"/>
        <v>0</v>
      </c>
      <c r="AD89" s="351">
        <f t="shared" si="37"/>
        <v>0</v>
      </c>
      <c r="AE89" s="352">
        <f t="shared" si="37"/>
        <v>0</v>
      </c>
      <c r="AF89" s="6" t="str">
        <f t="shared" si="38"/>
        <v>Sub 19</v>
      </c>
      <c r="AG89" s="60"/>
      <c r="AH89" s="60"/>
      <c r="AI89" s="60"/>
      <c r="AJ89" s="60"/>
      <c r="AK89" s="60"/>
      <c r="AL89" s="60"/>
      <c r="AM89" s="60"/>
      <c r="AN89" s="60"/>
      <c r="AO89" s="60"/>
      <c r="AP89" s="60"/>
      <c r="AQ89" s="60"/>
      <c r="AR89" s="60"/>
      <c r="AS89" s="60"/>
      <c r="AT89" s="60"/>
      <c r="AU89" s="60"/>
      <c r="AV89" s="324"/>
      <c r="AW89" s="325"/>
      <c r="AZ89" s="251" t="str">
        <f t="shared" si="32"/>
        <v>0</v>
      </c>
      <c r="BA89" s="251" t="str">
        <f t="shared" si="33"/>
        <v>0</v>
      </c>
    </row>
    <row r="90" spans="15:53">
      <c r="O90" s="8"/>
      <c r="P90" s="8"/>
      <c r="R90" s="347" t="str">
        <f>InputSheet!C168</f>
        <v>Sub 20</v>
      </c>
      <c r="S90" s="1161"/>
      <c r="T90" s="1161"/>
      <c r="U90" s="8"/>
      <c r="V90" s="8"/>
      <c r="W90" s="8"/>
      <c r="X90" s="8"/>
      <c r="Y90" s="8"/>
      <c r="Z90" s="348">
        <f t="shared" si="39"/>
        <v>0</v>
      </c>
      <c r="AA90" s="349">
        <f t="shared" si="39"/>
        <v>0</v>
      </c>
      <c r="AB90" s="348">
        <f t="shared" si="40"/>
        <v>0</v>
      </c>
      <c r="AC90" s="353">
        <f t="shared" si="40"/>
        <v>0</v>
      </c>
      <c r="AD90" s="351">
        <f t="shared" si="37"/>
        <v>0</v>
      </c>
      <c r="AE90" s="352">
        <f t="shared" si="37"/>
        <v>0</v>
      </c>
      <c r="AF90" s="6" t="str">
        <f t="shared" si="38"/>
        <v>Sub 20</v>
      </c>
      <c r="AG90" s="60"/>
      <c r="AH90" s="60"/>
      <c r="AI90" s="60"/>
      <c r="AJ90" s="60"/>
      <c r="AK90" s="60"/>
      <c r="AL90" s="60"/>
      <c r="AM90" s="60"/>
      <c r="AN90" s="60"/>
      <c r="AO90" s="60"/>
      <c r="AP90" s="60"/>
      <c r="AQ90" s="60"/>
      <c r="AR90" s="60"/>
      <c r="AS90" s="60"/>
      <c r="AT90" s="60"/>
      <c r="AU90" s="60"/>
      <c r="AV90" s="324"/>
      <c r="AW90" s="325"/>
      <c r="AZ90" s="251" t="str">
        <f t="shared" si="32"/>
        <v>0</v>
      </c>
      <c r="BA90" s="251" t="str">
        <f t="shared" si="33"/>
        <v>0</v>
      </c>
    </row>
    <row r="91" spans="15:53" ht="13.5" thickBot="1">
      <c r="O91" s="355"/>
      <c r="P91" s="355"/>
      <c r="R91" s="354" t="s">
        <v>650</v>
      </c>
      <c r="S91" s="355"/>
      <c r="T91" s="355"/>
      <c r="U91" s="355"/>
      <c r="V91" s="355"/>
      <c r="W91" s="355"/>
      <c r="X91" s="355"/>
      <c r="Y91" s="355"/>
      <c r="Z91" s="354"/>
      <c r="AA91" s="356"/>
      <c r="AB91" s="354"/>
      <c r="AC91" s="357"/>
      <c r="AD91" s="358">
        <f>SUM(AD70:AD90)</f>
        <v>52304</v>
      </c>
      <c r="AE91" s="359">
        <f ca="1">SUM(AE70:AE90)</f>
        <v>4312185.2799999993</v>
      </c>
      <c r="AG91" s="360"/>
      <c r="AH91" s="360"/>
      <c r="AI91" s="360"/>
      <c r="AJ91" s="360"/>
      <c r="AK91" s="360"/>
      <c r="AL91" s="360"/>
      <c r="AM91" s="360"/>
      <c r="AN91" s="360"/>
      <c r="AO91" s="360"/>
      <c r="AP91" s="360"/>
      <c r="AQ91" s="360"/>
      <c r="AR91" s="360"/>
      <c r="AS91" s="360"/>
      <c r="AT91" s="360"/>
      <c r="AU91" s="60"/>
      <c r="AV91" s="324"/>
      <c r="AW91" s="325"/>
      <c r="AZ91" s="251" t="str">
        <f t="shared" si="32"/>
        <v>1</v>
      </c>
      <c r="BA91" s="251" t="str">
        <f t="shared" ca="1" si="33"/>
        <v>1</v>
      </c>
    </row>
    <row r="92" spans="15:53" ht="13.5" thickTop="1">
      <c r="O92" s="327"/>
      <c r="P92" s="327"/>
      <c r="R92" s="361"/>
      <c r="S92" s="327"/>
      <c r="T92" s="327"/>
      <c r="U92" s="327"/>
      <c r="V92" s="327"/>
      <c r="W92" s="327"/>
      <c r="X92" s="327"/>
      <c r="Y92" s="327"/>
      <c r="Z92" s="327"/>
      <c r="AA92" s="327"/>
      <c r="AB92" s="327"/>
      <c r="AC92" s="327"/>
      <c r="AD92" s="327"/>
      <c r="AE92" s="362"/>
      <c r="AZ92" s="251" t="str">
        <f t="shared" si="32"/>
        <v>1</v>
      </c>
      <c r="BA92" s="251" t="str">
        <f t="shared" si="33"/>
        <v>1</v>
      </c>
    </row>
  </sheetData>
  <autoFilter ref="AZ29:BA29"/>
  <mergeCells count="1">
    <mergeCell ref="F2:L2"/>
  </mergeCells>
  <conditionalFormatting sqref="R24:U24">
    <cfRule type="cellIs" dxfId="6" priority="1" stopIfTrue="1" operator="greaterThan">
      <formula>0</formula>
    </cfRule>
  </conditionalFormatting>
  <dataValidations count="2">
    <dataValidation type="list" allowBlank="1" showInputMessage="1" showErrorMessage="1" sqref="G32:G49">
      <formula1>$R$70:$R$90</formula1>
    </dataValidation>
    <dataValidation type="list" allowBlank="1" showInputMessage="1" showErrorMessage="1" sqref="L32:L49">
      <formula1>$L$9:$L$25</formula1>
    </dataValidation>
  </dataValidations>
  <printOptions horizontalCentered="1"/>
  <pageMargins left="1" right="1" top="0.5" bottom="0.5" header="0.5" footer="0.5"/>
  <pageSetup scale="31" fitToHeight="1000" orientation="landscape" r:id="rId1"/>
  <headerFooter alignWithMargins="0"/>
  <rowBreaks count="1" manualBreakCount="1">
    <brk id="67" min="3" max="25" man="1"/>
  </rowBreaks>
  <legacyDrawing r:id="rId2"/>
</worksheet>
</file>

<file path=xl/worksheets/sheet9.xml><?xml version="1.0" encoding="utf-8"?>
<worksheet xmlns="http://schemas.openxmlformats.org/spreadsheetml/2006/main" xmlns:r="http://schemas.openxmlformats.org/officeDocument/2006/relationships">
  <sheetPr codeName="Sheet10">
    <tabColor indexed="57"/>
    <pageSetUpPr fitToPage="1"/>
  </sheetPr>
  <dimension ref="A1:BA92"/>
  <sheetViews>
    <sheetView showGridLines="0" view="pageBreakPreview" topLeftCell="D1" zoomScale="85" zoomScaleNormal="70" zoomScaleSheetLayoutView="85" workbookViewId="0">
      <selection activeCell="H47" sqref="H47"/>
    </sheetView>
  </sheetViews>
  <sheetFormatPr defaultRowHeight="12.75" outlineLevelRow="1" outlineLevelCol="1"/>
  <cols>
    <col min="1" max="1" width="9.5703125" style="8" bestFit="1" customWidth="1"/>
    <col min="2" max="2" width="9.5703125" style="8" customWidth="1"/>
    <col min="3" max="3" width="9.140625" style="8"/>
    <col min="4" max="4" width="3.85546875" style="8" customWidth="1"/>
    <col min="5" max="5" width="17.7109375" style="6" customWidth="1"/>
    <col min="6" max="7" width="10.5703125" style="6" customWidth="1"/>
    <col min="8" max="8" width="3" style="6" customWidth="1"/>
    <col min="9" max="9" width="11.28515625" style="6" bestFit="1" customWidth="1"/>
    <col min="10" max="10" width="16.5703125" style="6" hidden="1" customWidth="1" outlineLevel="1"/>
    <col min="11" max="11" width="20.42578125" style="6" hidden="1" customWidth="1" outlineLevel="1"/>
    <col min="12" max="12" width="14" style="6" bestFit="1" customWidth="1" collapsed="1"/>
    <col min="13" max="13" width="14.7109375" style="6" bestFit="1" customWidth="1"/>
    <col min="14" max="14" width="12" style="6" customWidth="1"/>
    <col min="15" max="15" width="11.140625" style="6" customWidth="1" outlineLevel="1"/>
    <col min="16" max="16" width="9.85546875" style="6" customWidth="1" outlineLevel="1"/>
    <col min="17" max="17" width="9.85546875" style="6" bestFit="1" customWidth="1"/>
    <col min="18" max="18" width="16.5703125" style="6" bestFit="1" customWidth="1"/>
    <col min="19" max="19" width="20" style="6" bestFit="1" customWidth="1"/>
    <col min="20" max="20" width="10.5703125" style="6" bestFit="1" customWidth="1"/>
    <col min="21" max="23" width="12.42578125" style="6" bestFit="1" customWidth="1" outlineLevel="1"/>
    <col min="24" max="25" width="8.42578125" style="6" bestFit="1" customWidth="1" outlineLevel="1"/>
    <col min="26" max="26" width="10.5703125" style="6" customWidth="1"/>
    <col min="27" max="27" width="8.85546875" style="6" bestFit="1" customWidth="1"/>
    <col min="28" max="28" width="11.140625" style="6" customWidth="1"/>
    <col min="29" max="29" width="10" style="6" customWidth="1"/>
    <col min="30" max="30" width="10.42578125" style="6" customWidth="1"/>
    <col min="31" max="31" width="13.28515625" style="6" customWidth="1"/>
    <col min="32" max="32" width="12.42578125" style="6" customWidth="1" outlineLevel="1"/>
    <col min="33" max="35" width="10.7109375" style="6" customWidth="1" outlineLevel="1"/>
    <col min="36" max="36" width="9.85546875" style="6" customWidth="1" outlineLevel="1"/>
    <col min="37" max="42" width="11.140625" style="6" customWidth="1" outlineLevel="1"/>
    <col min="43" max="43" width="11.28515625" style="6" customWidth="1" outlineLevel="1"/>
    <col min="44" max="44" width="10.28515625" style="6" customWidth="1" outlineLevel="1"/>
    <col min="45" max="45" width="11.140625" style="6" customWidth="1" outlineLevel="1"/>
    <col min="46" max="46" width="10.7109375" style="6" customWidth="1" outlineLevel="1"/>
    <col min="47" max="47" width="3.5703125" style="8" customWidth="1" outlineLevel="1"/>
    <col min="48" max="48" width="13.7109375" style="6" customWidth="1" outlineLevel="1"/>
    <col min="49" max="49" width="13.7109375" style="8" customWidth="1"/>
    <col min="50" max="51" width="9.140625" style="8" customWidth="1"/>
    <col min="52" max="53" width="19.85546875" style="251" bestFit="1" customWidth="1"/>
    <col min="54" max="16384" width="9.140625" style="8"/>
  </cols>
  <sheetData>
    <row r="1" spans="1:53">
      <c r="E1" s="241" t="s">
        <v>666</v>
      </c>
      <c r="F1" s="242" t="str">
        <f>InputSheet!D1</f>
        <v>NCSA HQ 7010</v>
      </c>
      <c r="G1" s="243"/>
      <c r="H1" s="243"/>
      <c r="I1" s="243"/>
      <c r="J1" s="244"/>
      <c r="K1" s="244"/>
      <c r="L1" s="243"/>
      <c r="M1" s="245" t="s">
        <v>610</v>
      </c>
      <c r="N1" s="242" t="str">
        <f>InputSheet!D4</f>
        <v>P-12246</v>
      </c>
      <c r="O1" s="243"/>
      <c r="P1" s="243"/>
      <c r="Q1" s="243"/>
      <c r="R1" s="243"/>
      <c r="S1" s="243"/>
      <c r="T1" s="243"/>
      <c r="U1" s="243"/>
      <c r="V1" s="243"/>
      <c r="W1" s="243"/>
      <c r="X1" s="243"/>
      <c r="Y1" s="243"/>
      <c r="Z1" s="243"/>
      <c r="AA1" s="243"/>
      <c r="AB1" s="243"/>
      <c r="AC1" s="243"/>
      <c r="AD1" s="243"/>
      <c r="AE1" s="243"/>
      <c r="AF1" s="246"/>
      <c r="AZ1" s="247"/>
      <c r="BA1" s="247"/>
    </row>
    <row r="2" spans="1:53">
      <c r="E2" s="248" t="s">
        <v>612</v>
      </c>
      <c r="F2" s="1195" t="str">
        <f>InputSheet!D2</f>
        <v>CIS Consultant Services</v>
      </c>
      <c r="G2" s="1195"/>
      <c r="H2" s="1195"/>
      <c r="I2" s="1195"/>
      <c r="J2" s="1195"/>
      <c r="K2" s="1195"/>
      <c r="L2" s="1196"/>
      <c r="M2" s="249" t="s">
        <v>611</v>
      </c>
      <c r="N2" s="27" t="str">
        <f>InputSheet!D3</f>
        <v>ManTech Telecommunications and Information Systems Corporation</v>
      </c>
      <c r="O2" s="8"/>
      <c r="P2" s="8"/>
      <c r="Q2" s="8"/>
      <c r="R2" s="8"/>
      <c r="S2" s="8"/>
      <c r="T2" s="8"/>
      <c r="U2" s="8"/>
      <c r="V2" s="8"/>
      <c r="W2" s="8"/>
      <c r="X2" s="8"/>
      <c r="Y2" s="8"/>
      <c r="Z2" s="8"/>
      <c r="AA2" s="8"/>
      <c r="AB2" s="8"/>
      <c r="AC2" s="8"/>
      <c r="AD2" s="8"/>
      <c r="AE2" s="8"/>
      <c r="AF2" s="250"/>
    </row>
    <row r="3" spans="1:53" s="254" customFormat="1" ht="13.5" thickBot="1">
      <c r="A3" s="8"/>
      <c r="B3" s="8"/>
      <c r="C3" s="8"/>
      <c r="D3" s="8"/>
      <c r="E3" s="252" t="s">
        <v>613</v>
      </c>
      <c r="F3" s="253" t="s">
        <v>619</v>
      </c>
      <c r="J3" s="255"/>
      <c r="K3" s="255"/>
      <c r="M3" s="256"/>
      <c r="Q3" s="257"/>
      <c r="AF3" s="258"/>
      <c r="AK3" s="257"/>
      <c r="AL3" s="257"/>
      <c r="AM3" s="257"/>
      <c r="AN3" s="257"/>
      <c r="AO3" s="257"/>
      <c r="AP3" s="257"/>
      <c r="AZ3" s="259"/>
      <c r="BA3" s="259"/>
    </row>
    <row r="4" spans="1:53">
      <c r="E4" s="248"/>
      <c r="F4" s="8"/>
      <c r="G4" s="8"/>
      <c r="H4" s="8"/>
      <c r="I4" s="8"/>
      <c r="J4" s="260"/>
      <c r="K4" s="260"/>
      <c r="L4" s="8"/>
      <c r="M4" s="8"/>
      <c r="N4" s="8"/>
      <c r="O4" s="8"/>
      <c r="P4" s="8"/>
      <c r="Q4" s="8"/>
      <c r="R4" s="8"/>
      <c r="S4" s="8"/>
      <c r="T4" s="8"/>
      <c r="U4" s="8"/>
      <c r="V4" s="8"/>
      <c r="W4" s="8"/>
      <c r="X4" s="8"/>
      <c r="Y4" s="8"/>
      <c r="Z4" s="8"/>
      <c r="AA4" s="8"/>
      <c r="AB4" s="8"/>
      <c r="AC4" s="8"/>
      <c r="AD4" s="8"/>
      <c r="AE4" s="8"/>
      <c r="AF4" s="1031"/>
      <c r="AT4" s="8"/>
    </row>
    <row r="5" spans="1:53" hidden="1" outlineLevel="1">
      <c r="E5" s="248"/>
      <c r="F5" s="8"/>
      <c r="G5" s="8"/>
      <c r="H5" s="8"/>
      <c r="I5" s="8"/>
      <c r="J5" s="261"/>
      <c r="K5" s="261"/>
      <c r="L5" s="262"/>
      <c r="M5" s="8"/>
      <c r="N5" s="263" t="str">
        <f>N28&amp;"%"</f>
        <v>B%</v>
      </c>
      <c r="O5" s="263" t="str">
        <f>O28&amp;"%"</f>
        <v>%</v>
      </c>
      <c r="P5" s="263" t="str">
        <f>P28&amp;"%"</f>
        <v>%</v>
      </c>
      <c r="Q5" s="263" t="str">
        <f>Q28&amp;"%"</f>
        <v>C%</v>
      </c>
      <c r="R5" s="263" t="str">
        <f>R28&amp;"%"</f>
        <v>D%</v>
      </c>
      <c r="S5" s="263"/>
      <c r="T5" s="263"/>
      <c r="U5" s="263" t="str">
        <f t="shared" ref="U5:Z5" si="0">U28&amp;"%"</f>
        <v>%</v>
      </c>
      <c r="V5" s="263" t="str">
        <f t="shared" si="0"/>
        <v>%</v>
      </c>
      <c r="W5" s="263" t="str">
        <f t="shared" si="0"/>
        <v>%</v>
      </c>
      <c r="X5" s="263" t="str">
        <f t="shared" si="0"/>
        <v>%</v>
      </c>
      <c r="Y5" s="263" t="str">
        <f t="shared" si="0"/>
        <v>%</v>
      </c>
      <c r="Z5" s="263" t="str">
        <f t="shared" si="0"/>
        <v>E%</v>
      </c>
      <c r="AA5" s="263"/>
      <c r="AB5" s="263" t="str">
        <f>AB28&amp;"%"</f>
        <v>G%</v>
      </c>
      <c r="AC5" s="8"/>
      <c r="AD5" s="8"/>
      <c r="AE5" s="8"/>
      <c r="AF5" s="1031"/>
      <c r="AJ5" s="263"/>
      <c r="AK5" s="263"/>
      <c r="AL5" s="263"/>
      <c r="AM5" s="263"/>
      <c r="AN5" s="263"/>
      <c r="AO5" s="263"/>
      <c r="AP5" s="263"/>
      <c r="AQ5" s="263"/>
      <c r="AR5" s="263"/>
      <c r="AS5" s="263"/>
      <c r="AT5" s="264"/>
      <c r="AU5" s="47"/>
    </row>
    <row r="6" spans="1:53" hidden="1" outlineLevel="1">
      <c r="E6" s="248"/>
      <c r="F6" s="8"/>
      <c r="G6" s="8"/>
      <c r="H6" s="8"/>
      <c r="I6" s="265"/>
      <c r="J6" s="266"/>
      <c r="K6" s="263"/>
      <c r="L6" s="267">
        <f ca="1">COLUMN(L6)-COLUMN(OFFSET($L6,0,-1))</f>
        <v>1</v>
      </c>
      <c r="M6" s="267">
        <f t="shared" ref="M6:AB6" ca="1" si="1">COLUMN(M6)-COLUMN(OFFSET($L6,0,-1))</f>
        <v>2</v>
      </c>
      <c r="N6" s="267">
        <f t="shared" ca="1" si="1"/>
        <v>3</v>
      </c>
      <c r="O6" s="267">
        <f t="shared" ca="1" si="1"/>
        <v>4</v>
      </c>
      <c r="P6" s="267">
        <f t="shared" ca="1" si="1"/>
        <v>5</v>
      </c>
      <c r="Q6" s="267">
        <f t="shared" ca="1" si="1"/>
        <v>6</v>
      </c>
      <c r="R6" s="267">
        <f t="shared" ca="1" si="1"/>
        <v>7</v>
      </c>
      <c r="S6" s="267"/>
      <c r="T6" s="267"/>
      <c r="U6" s="267">
        <f t="shared" ca="1" si="1"/>
        <v>10</v>
      </c>
      <c r="V6" s="267">
        <f t="shared" ca="1" si="1"/>
        <v>11</v>
      </c>
      <c r="W6" s="267">
        <f t="shared" ca="1" si="1"/>
        <v>12</v>
      </c>
      <c r="X6" s="267">
        <f t="shared" ca="1" si="1"/>
        <v>13</v>
      </c>
      <c r="Y6" s="267">
        <f t="shared" ca="1" si="1"/>
        <v>14</v>
      </c>
      <c r="Z6" s="267">
        <f t="shared" ca="1" si="1"/>
        <v>15</v>
      </c>
      <c r="AA6" s="267"/>
      <c r="AB6" s="267">
        <f t="shared" ca="1" si="1"/>
        <v>17</v>
      </c>
      <c r="AC6" s="8"/>
      <c r="AD6" s="8"/>
      <c r="AE6" s="8"/>
      <c r="AF6" s="1031"/>
      <c r="AG6" s="266"/>
      <c r="AH6" s="266"/>
      <c r="AI6" s="266"/>
      <c r="AJ6" s="263"/>
      <c r="AK6" s="263"/>
      <c r="AL6" s="263"/>
      <c r="AM6" s="263"/>
      <c r="AN6" s="263"/>
      <c r="AO6" s="263"/>
      <c r="AP6" s="263"/>
      <c r="AQ6" s="263"/>
      <c r="AR6" s="263"/>
      <c r="AS6" s="263"/>
      <c r="AT6" s="264"/>
      <c r="AU6" s="47"/>
    </row>
    <row r="7" spans="1:53" collapsed="1">
      <c r="E7" s="268"/>
      <c r="F7" s="39" t="s">
        <v>587</v>
      </c>
      <c r="G7" s="39" t="s">
        <v>588</v>
      </c>
      <c r="H7" s="39"/>
      <c r="I7" s="269"/>
      <c r="J7" s="270"/>
      <c r="K7" s="270"/>
      <c r="L7" s="271"/>
      <c r="M7" s="272"/>
      <c r="N7" s="272"/>
      <c r="O7" s="272"/>
      <c r="P7" s="272"/>
      <c r="Q7" s="272" t="str">
        <f>InputSheet!D41</f>
        <v>Contr/Govt</v>
      </c>
      <c r="R7" s="272"/>
      <c r="S7" s="272"/>
      <c r="T7" s="272"/>
      <c r="U7" s="272"/>
      <c r="V7" s="272"/>
      <c r="W7" s="272"/>
      <c r="X7" s="272"/>
      <c r="Y7" s="272"/>
      <c r="Z7" s="272" t="str">
        <f>$Q7</f>
        <v>Contr/Govt</v>
      </c>
      <c r="AA7" s="272"/>
      <c r="AB7" s="273"/>
      <c r="AC7" s="8"/>
      <c r="AD7" s="8"/>
      <c r="AE7" s="8"/>
      <c r="AF7" s="1032"/>
      <c r="AG7" s="270"/>
      <c r="AH7" s="270"/>
      <c r="AI7" s="270"/>
      <c r="AJ7" s="270"/>
      <c r="AK7" s="270"/>
      <c r="AL7" s="270"/>
      <c r="AM7" s="270"/>
      <c r="AN7" s="270"/>
      <c r="AO7" s="270"/>
      <c r="AP7" s="270"/>
      <c r="AQ7" s="270"/>
      <c r="AR7" s="270"/>
      <c r="AS7" s="274"/>
      <c r="AT7" s="249"/>
    </row>
    <row r="8" spans="1:53" ht="14.25" customHeight="1">
      <c r="E8" s="239" t="str">
        <f>InputSheet!$C$24</f>
        <v>Option Year 2</v>
      </c>
      <c r="F8" s="275">
        <f>VLOOKUP($E$8,InputSheet!$C$22:$G$38,2,FALSE)</f>
        <v>40909</v>
      </c>
      <c r="G8" s="276">
        <f>VLOOKUP($E$8,InputSheet!$C$22:$G$38,3,FALSE)</f>
        <v>41152</v>
      </c>
      <c r="H8" s="277"/>
      <c r="I8" s="278"/>
      <c r="J8" s="279" t="s">
        <v>593</v>
      </c>
      <c r="K8" s="279" t="s">
        <v>628</v>
      </c>
      <c r="L8" s="280" t="s">
        <v>52</v>
      </c>
      <c r="M8" s="279" t="s">
        <v>0</v>
      </c>
      <c r="N8" s="279" t="s">
        <v>620</v>
      </c>
      <c r="O8" s="279" t="s">
        <v>895</v>
      </c>
      <c r="P8" s="279" t="s">
        <v>911</v>
      </c>
      <c r="Q8" s="279" t="s">
        <v>621</v>
      </c>
      <c r="R8" s="279" t="s">
        <v>637</v>
      </c>
      <c r="S8" s="1158" t="s">
        <v>996</v>
      </c>
      <c r="T8" s="1158" t="s">
        <v>995</v>
      </c>
      <c r="U8" s="1158" t="s">
        <v>993</v>
      </c>
      <c r="V8" s="279" t="s">
        <v>957</v>
      </c>
      <c r="W8" s="279" t="s">
        <v>949</v>
      </c>
      <c r="X8" s="279" t="s">
        <v>950</v>
      </c>
      <c r="Y8" s="279" t="s">
        <v>718</v>
      </c>
      <c r="Z8" s="279" t="s">
        <v>597</v>
      </c>
      <c r="AA8" s="279" t="s">
        <v>53</v>
      </c>
      <c r="AB8" s="281" t="s">
        <v>55</v>
      </c>
      <c r="AC8" s="8"/>
      <c r="AD8" s="8"/>
      <c r="AE8" s="8"/>
      <c r="AF8" s="1033" t="s">
        <v>717</v>
      </c>
      <c r="AG8" s="279"/>
      <c r="AH8" s="279"/>
      <c r="AI8" s="279"/>
      <c r="AJ8" s="279"/>
      <c r="AK8" s="279"/>
      <c r="AL8" s="279"/>
      <c r="AM8" s="279"/>
      <c r="AN8" s="279"/>
      <c r="AO8" s="279"/>
      <c r="AP8" s="279"/>
      <c r="AQ8" s="279"/>
      <c r="AR8" s="279"/>
      <c r="AS8" s="279"/>
      <c r="AT8" s="249"/>
    </row>
    <row r="9" spans="1:53" hidden="1">
      <c r="B9" s="8">
        <v>750</v>
      </c>
      <c r="E9" s="248"/>
      <c r="F9" s="8"/>
      <c r="G9" s="8"/>
      <c r="H9" s="8"/>
      <c r="I9" s="278"/>
      <c r="J9" s="283" t="str">
        <f>InputSheet!I40</f>
        <v>IS</v>
      </c>
      <c r="K9" s="284" t="str">
        <f>InputSheet!$D$42</f>
        <v>Contr</v>
      </c>
      <c r="L9" s="207" t="s">
        <v>622</v>
      </c>
      <c r="M9" s="285">
        <f>InputSheet!$E$7</f>
        <v>3.3000000000000002E-2</v>
      </c>
      <c r="N9" s="286">
        <f>VLOOKUP(($E$8&amp;$J9),InputSheet!$A$22:$G$130,7,FALSE)</f>
        <v>1.0890977106249997</v>
      </c>
      <c r="O9" s="833">
        <v>0.35</v>
      </c>
      <c r="P9" s="833">
        <v>0.35</v>
      </c>
      <c r="Q9" s="287">
        <f>IF(Q$7="",VLOOKUP($E$8&amp;$J9&amp;Q$8&amp;$K9,Indirects,2,FALSE),VLOOKUP($E$8&amp;$J9&amp;Q$8&amp;Q$7,Indirects,2,FALSE))</f>
        <v>0.31240000000000001</v>
      </c>
      <c r="R9" s="287">
        <f>IF(R$7="",VLOOKUP($E$8&amp;$J9&amp;R$8&amp;$K9,Indirects,2,FALSE),VLOOKUP($E$8&amp;$J9&amp;R$8&amp;R$7,Indirects,2,FALSE))</f>
        <v>0.1988</v>
      </c>
      <c r="S9" s="287"/>
      <c r="T9" s="287"/>
      <c r="U9" s="1015">
        <v>5000</v>
      </c>
      <c r="V9" s="1015">
        <v>5000</v>
      </c>
      <c r="W9" s="833">
        <v>0.35</v>
      </c>
      <c r="X9" s="833">
        <v>0.35</v>
      </c>
      <c r="Y9" s="833">
        <v>0.35</v>
      </c>
      <c r="Z9" s="287">
        <f>IF(Z$7="",VLOOKUP($E$8&amp;$J9&amp;Z$8&amp;$K9,Indirects,2,FALSE),VLOOKUP($E$8&amp;$J9&amp;Z$8&amp;Z$7,Indirects,2,FALSE))</f>
        <v>8.9499999999999996E-2</v>
      </c>
      <c r="AA9" s="288"/>
      <c r="AB9" s="213">
        <v>0.15</v>
      </c>
      <c r="AC9" s="8"/>
      <c r="AD9" s="8"/>
      <c r="AE9" s="8"/>
      <c r="AF9" s="1034">
        <f t="shared" ref="AF9:AF24" si="2">IF(M9="","",M9)</f>
        <v>3.3000000000000002E-2</v>
      </c>
      <c r="AG9" s="1018"/>
      <c r="AH9" s="1018"/>
      <c r="AI9" s="1018"/>
      <c r="AJ9" s="287"/>
      <c r="AK9" s="287"/>
      <c r="AL9" s="287"/>
      <c r="AM9" s="287"/>
      <c r="AN9" s="287"/>
      <c r="AO9" s="287"/>
      <c r="AP9" s="287"/>
      <c r="AQ9" s="287"/>
      <c r="AR9" s="287"/>
      <c r="AS9" s="287"/>
      <c r="AT9" s="249"/>
    </row>
    <row r="10" spans="1:53" ht="15" customHeight="1">
      <c r="B10" s="8">
        <f>B9/3</f>
        <v>250</v>
      </c>
      <c r="E10" s="248"/>
      <c r="F10" s="8"/>
      <c r="G10" s="8"/>
      <c r="H10" s="8"/>
      <c r="I10" s="278"/>
      <c r="J10" s="289" t="str">
        <f>J$9</f>
        <v>IS</v>
      </c>
      <c r="K10" s="290" t="str">
        <f>InputSheet!$D$43</f>
        <v>Govt</v>
      </c>
      <c r="L10" s="208" t="s">
        <v>623</v>
      </c>
      <c r="M10" s="285">
        <f>InputSheet!$E$7</f>
        <v>3.3000000000000002E-2</v>
      </c>
      <c r="N10" s="286">
        <f>VLOOKUP(($E$8&amp;$J10),InputSheet!$A$22:$G$130,7,FALSE)</f>
        <v>1.0890977106249997</v>
      </c>
      <c r="O10" s="834">
        <v>0.35</v>
      </c>
      <c r="P10" s="834">
        <v>0.35</v>
      </c>
      <c r="Q10" s="287">
        <f>IF(Q$7="",VLOOKUP($E$8&amp;$J10&amp;Q$8&amp;$K10,Indirects,2,FALSE),VLOOKUP($E$8&amp;$J10&amp;Q$8&amp;Q$7,Indirects,2,FALSE))</f>
        <v>0.31240000000000001</v>
      </c>
      <c r="R10" s="287">
        <f>IF(R$7="",VLOOKUP($E$8&amp;$J10&amp;R$8&amp;$K10,Indirects,2,FALSE),VLOOKUP($E$8&amp;$J10&amp;R$8&amp;R$7,Indirects,2,FALSE))</f>
        <v>2.23E-2</v>
      </c>
      <c r="S10" s="1163">
        <f ca="1">+AE48</f>
        <v>14924</v>
      </c>
      <c r="T10" s="1163">
        <f ca="1">+AE49</f>
        <v>3960.24</v>
      </c>
      <c r="U10" s="1159">
        <v>0</v>
      </c>
      <c r="V10" s="1015">
        <v>5000</v>
      </c>
      <c r="W10" s="1094">
        <f>75.04*8</f>
        <v>600.32000000000005</v>
      </c>
      <c r="X10" s="834">
        <v>1.9E-2</v>
      </c>
      <c r="Y10" s="1091">
        <f>'Travel - Year 3'!$Q$21</f>
        <v>2265.8000000000002</v>
      </c>
      <c r="Z10" s="287">
        <f t="shared" ref="Z10:Z24" si="3">IF(Z$7="",VLOOKUP($E$8&amp;$J10&amp;Z$8&amp;$K10,Indirects,2,FALSE),VLOOKUP($E$8&amp;$J10&amp;Z$8&amp;Z$7,Indirects,2,FALSE))</f>
        <v>8.9499999999999996E-2</v>
      </c>
      <c r="AA10" s="291"/>
      <c r="AB10" s="209">
        <f>'Pricing Summary'!C52</f>
        <v>0.08</v>
      </c>
      <c r="AC10" s="8"/>
      <c r="AD10" s="8"/>
      <c r="AE10" s="8"/>
      <c r="AF10" s="1034">
        <f t="shared" si="2"/>
        <v>3.3000000000000002E-2</v>
      </c>
      <c r="AG10" s="1019"/>
      <c r="AH10" s="1019"/>
      <c r="AI10" s="1019"/>
      <c r="AJ10" s="287"/>
      <c r="AK10" s="287"/>
      <c r="AL10" s="287"/>
      <c r="AM10" s="287"/>
      <c r="AN10" s="287"/>
      <c r="AO10" s="287"/>
      <c r="AP10" s="287"/>
      <c r="AQ10" s="287"/>
      <c r="AR10" s="287"/>
      <c r="AS10" s="287"/>
      <c r="AT10" s="249"/>
    </row>
    <row r="11" spans="1:53" hidden="1" outlineLevel="1">
      <c r="E11" s="248"/>
      <c r="F11" s="8"/>
      <c r="G11" s="8"/>
      <c r="H11" s="8"/>
      <c r="I11" s="278"/>
      <c r="J11" s="289" t="str">
        <f t="shared" ref="J11:J24" si="4">J$9</f>
        <v>IS</v>
      </c>
      <c r="K11" s="290" t="str">
        <f>K$9</f>
        <v>Contr</v>
      </c>
      <c r="L11" s="208" t="s">
        <v>667</v>
      </c>
      <c r="M11" s="293">
        <v>0</v>
      </c>
      <c r="N11" s="292">
        <v>1</v>
      </c>
      <c r="O11" s="833">
        <v>0</v>
      </c>
      <c r="P11" s="834">
        <v>0</v>
      </c>
      <c r="Q11" s="287">
        <f t="shared" ref="Q11:R20" si="5">IF(Q$7="",VLOOKUP($E$8&amp;$J11&amp;Q$8&amp;$K11,Indirects,2,FALSE),VLOOKUP($E$8&amp;$J11&amp;Q$8&amp;Q$7,Indirects,2,FALSE))</f>
        <v>0.31240000000000001</v>
      </c>
      <c r="R11" s="287">
        <f t="shared" si="5"/>
        <v>0.1988</v>
      </c>
      <c r="S11" s="287"/>
      <c r="T11" s="287"/>
      <c r="U11" s="834">
        <v>0</v>
      </c>
      <c r="V11" s="834">
        <v>0</v>
      </c>
      <c r="W11" s="834">
        <v>0</v>
      </c>
      <c r="X11" s="834">
        <v>0</v>
      </c>
      <c r="Y11" s="834">
        <v>0</v>
      </c>
      <c r="Z11" s="287">
        <f t="shared" si="3"/>
        <v>8.9499999999999996E-2</v>
      </c>
      <c r="AA11" s="291"/>
      <c r="AB11" s="209">
        <f t="shared" ref="AB11:AB22" si="6">AB10</f>
        <v>0.08</v>
      </c>
      <c r="AC11" s="8"/>
      <c r="AD11" s="8"/>
      <c r="AE11" s="8"/>
      <c r="AF11" s="1034">
        <f t="shared" si="2"/>
        <v>0</v>
      </c>
      <c r="AG11" s="1019"/>
      <c r="AH11" s="1019"/>
      <c r="AI11" s="1019"/>
      <c r="AJ11" s="287"/>
      <c r="AK11" s="287"/>
      <c r="AL11" s="287"/>
      <c r="AM11" s="287"/>
      <c r="AN11" s="287"/>
      <c r="AO11" s="287"/>
      <c r="AP11" s="287"/>
      <c r="AQ11" s="287"/>
      <c r="AR11" s="287"/>
      <c r="AS11" s="287"/>
      <c r="AT11" s="249"/>
    </row>
    <row r="12" spans="1:53" hidden="1" outlineLevel="1">
      <c r="E12" s="248"/>
      <c r="F12" s="8"/>
      <c r="G12" s="8"/>
      <c r="H12" s="8"/>
      <c r="I12" s="278"/>
      <c r="J12" s="289" t="str">
        <f t="shared" si="4"/>
        <v>IS</v>
      </c>
      <c r="K12" s="290" t="str">
        <f>K$10</f>
        <v>Govt</v>
      </c>
      <c r="L12" s="208" t="s">
        <v>668</v>
      </c>
      <c r="M12" s="293">
        <v>0</v>
      </c>
      <c r="N12" s="292">
        <v>1</v>
      </c>
      <c r="O12" s="834">
        <v>0</v>
      </c>
      <c r="P12" s="834">
        <v>0</v>
      </c>
      <c r="Q12" s="287">
        <f t="shared" si="5"/>
        <v>0.31240000000000001</v>
      </c>
      <c r="R12" s="287">
        <f t="shared" si="5"/>
        <v>2.23E-2</v>
      </c>
      <c r="S12" s="287"/>
      <c r="T12" s="287"/>
      <c r="U12" s="834">
        <v>0</v>
      </c>
      <c r="V12" s="834">
        <v>0</v>
      </c>
      <c r="W12" s="834">
        <v>0</v>
      </c>
      <c r="X12" s="834">
        <v>0</v>
      </c>
      <c r="Y12" s="834">
        <v>0</v>
      </c>
      <c r="Z12" s="287">
        <f t="shared" si="3"/>
        <v>8.9499999999999996E-2</v>
      </c>
      <c r="AA12" s="291"/>
      <c r="AB12" s="209">
        <f t="shared" si="6"/>
        <v>0.08</v>
      </c>
      <c r="AC12" s="8"/>
      <c r="AD12" s="8"/>
      <c r="AE12" s="8"/>
      <c r="AF12" s="1034">
        <f t="shared" si="2"/>
        <v>0</v>
      </c>
      <c r="AG12" s="1019"/>
      <c r="AH12" s="1019"/>
      <c r="AI12" s="1019"/>
      <c r="AJ12" s="287"/>
      <c r="AK12" s="287"/>
      <c r="AL12" s="287"/>
      <c r="AM12" s="287"/>
      <c r="AN12" s="287"/>
      <c r="AO12" s="287"/>
      <c r="AP12" s="287"/>
      <c r="AQ12" s="287"/>
      <c r="AR12" s="287"/>
      <c r="AS12" s="287"/>
      <c r="AT12" s="249"/>
    </row>
    <row r="13" spans="1:53" hidden="1" outlineLevel="1">
      <c r="E13" s="248"/>
      <c r="F13" s="8"/>
      <c r="G13" s="8"/>
      <c r="H13" s="8"/>
      <c r="I13" s="278"/>
      <c r="J13" s="289" t="str">
        <f>InputSheet!I87</f>
        <v>ESD</v>
      </c>
      <c r="K13" s="290" t="str">
        <f>K$9</f>
        <v>Contr</v>
      </c>
      <c r="L13" s="208" t="s">
        <v>624</v>
      </c>
      <c r="M13" s="285">
        <f>InputSheet!$E$54</f>
        <v>3.3000000000000002E-2</v>
      </c>
      <c r="N13" s="286">
        <f>VLOOKUP(($E$8&amp;$J13),InputSheet!$A$22:$G$130,7,FALSE)</f>
        <v>1.0890977106249997</v>
      </c>
      <c r="O13" s="833">
        <v>0</v>
      </c>
      <c r="P13" s="833">
        <v>0</v>
      </c>
      <c r="Q13" s="287">
        <f>IF(Q$7="",VLOOKUP($E$8&amp;$J13&amp;Q$8&amp;$K13,Indirects,2,FALSE),VLOOKUP($E$8&amp;$J13&amp;Q$8&amp;Q$7,Indirects,2,FALSE))</f>
        <v>0</v>
      </c>
      <c r="R13" s="287">
        <f t="shared" si="5"/>
        <v>0</v>
      </c>
      <c r="S13" s="287"/>
      <c r="T13" s="287"/>
      <c r="U13" s="833">
        <v>0</v>
      </c>
      <c r="V13" s="833">
        <v>0</v>
      </c>
      <c r="W13" s="833">
        <v>0</v>
      </c>
      <c r="X13" s="833">
        <v>0</v>
      </c>
      <c r="Y13" s="833">
        <v>0</v>
      </c>
      <c r="Z13" s="287">
        <f t="shared" si="3"/>
        <v>0</v>
      </c>
      <c r="AA13" s="291"/>
      <c r="AB13" s="209">
        <f t="shared" si="6"/>
        <v>0.08</v>
      </c>
      <c r="AC13" s="8"/>
      <c r="AD13" s="8"/>
      <c r="AE13" s="8"/>
      <c r="AF13" s="1034">
        <f t="shared" si="2"/>
        <v>3.3000000000000002E-2</v>
      </c>
      <c r="AG13" s="1019"/>
      <c r="AH13" s="1019"/>
      <c r="AI13" s="1019"/>
      <c r="AJ13" s="287"/>
      <c r="AK13" s="287"/>
      <c r="AL13" s="287"/>
      <c r="AM13" s="287"/>
      <c r="AN13" s="287"/>
      <c r="AO13" s="287"/>
      <c r="AP13" s="287"/>
      <c r="AQ13" s="287"/>
      <c r="AR13" s="287"/>
      <c r="AS13" s="287"/>
      <c r="AT13" s="249"/>
    </row>
    <row r="14" spans="1:53" hidden="1" outlineLevel="1">
      <c r="E14" s="248"/>
      <c r="F14" s="8"/>
      <c r="G14" s="8"/>
      <c r="H14" s="8"/>
      <c r="I14" s="278"/>
      <c r="J14" s="289" t="str">
        <f>J13</f>
        <v>ESD</v>
      </c>
      <c r="K14" s="290" t="str">
        <f>K$10</f>
        <v>Govt</v>
      </c>
      <c r="L14" s="208" t="s">
        <v>625</v>
      </c>
      <c r="M14" s="285">
        <f>InputSheet!$E$54</f>
        <v>3.3000000000000002E-2</v>
      </c>
      <c r="N14" s="286">
        <f>VLOOKUP(($E$8&amp;$J14),InputSheet!$A$22:$G$130,7,FALSE)</f>
        <v>1.0890977106249997</v>
      </c>
      <c r="O14" s="834">
        <v>0</v>
      </c>
      <c r="P14" s="834">
        <v>0</v>
      </c>
      <c r="Q14" s="287">
        <f>IF(Q$7="",VLOOKUP($E$8&amp;$J14&amp;Q$8&amp;$K14,Indirects,2,FALSE),VLOOKUP($E$8&amp;$J14&amp;Q$8&amp;Q$7,Indirects,2,FALSE))</f>
        <v>0</v>
      </c>
      <c r="R14" s="287">
        <f t="shared" si="5"/>
        <v>0</v>
      </c>
      <c r="S14" s="287"/>
      <c r="T14" s="287"/>
      <c r="U14" s="834">
        <v>0</v>
      </c>
      <c r="V14" s="834">
        <v>0</v>
      </c>
      <c r="W14" s="834">
        <v>0</v>
      </c>
      <c r="X14" s="834">
        <v>0</v>
      </c>
      <c r="Y14" s="834">
        <v>0</v>
      </c>
      <c r="Z14" s="287">
        <f t="shared" si="3"/>
        <v>0</v>
      </c>
      <c r="AA14" s="291"/>
      <c r="AB14" s="209">
        <f t="shared" si="6"/>
        <v>0.08</v>
      </c>
      <c r="AC14" s="8"/>
      <c r="AD14" s="8"/>
      <c r="AE14" s="8"/>
      <c r="AF14" s="1034">
        <f t="shared" si="2"/>
        <v>3.3000000000000002E-2</v>
      </c>
      <c r="AG14" s="1019"/>
      <c r="AH14" s="1019"/>
      <c r="AI14" s="1019"/>
      <c r="AJ14" s="287"/>
      <c r="AK14" s="287"/>
      <c r="AL14" s="287"/>
      <c r="AM14" s="287"/>
      <c r="AN14" s="287"/>
      <c r="AO14" s="287"/>
      <c r="AP14" s="287"/>
      <c r="AQ14" s="287"/>
      <c r="AR14" s="287"/>
      <c r="AS14" s="287"/>
      <c r="AT14" s="249"/>
    </row>
    <row r="15" spans="1:53" hidden="1" outlineLevel="1">
      <c r="E15" s="248"/>
      <c r="F15" s="8"/>
      <c r="G15" s="8"/>
      <c r="H15" s="8"/>
      <c r="I15" s="278"/>
      <c r="J15" s="289" t="str">
        <f>InputSheet!I134</f>
        <v>ESD</v>
      </c>
      <c r="K15" s="290" t="str">
        <f>K$9</f>
        <v>Contr</v>
      </c>
      <c r="L15" s="208" t="s">
        <v>784</v>
      </c>
      <c r="M15" s="285">
        <f>InputSheet!$E$101</f>
        <v>3.3000000000000002E-2</v>
      </c>
      <c r="N15" s="286">
        <f>VLOOKUP(($E$8&amp;$J15),InputSheet!$A$22:$G$130,7,FALSE)</f>
        <v>1.0890977106249997</v>
      </c>
      <c r="O15" s="833">
        <v>0</v>
      </c>
      <c r="P15" s="833">
        <v>0</v>
      </c>
      <c r="Q15" s="287">
        <f>IF(Q$7="",VLOOKUP($E$8&amp;$J15&amp;Q$8&amp;$K15,Indirects,2,FALSE),VLOOKUP($E$8&amp;$J15&amp;Q$8&amp;Q$7,Indirects,2,FALSE))</f>
        <v>0</v>
      </c>
      <c r="R15" s="287">
        <f t="shared" si="5"/>
        <v>0</v>
      </c>
      <c r="S15" s="287"/>
      <c r="T15" s="287"/>
      <c r="U15" s="833">
        <v>0</v>
      </c>
      <c r="V15" s="833">
        <v>0</v>
      </c>
      <c r="W15" s="833">
        <v>0</v>
      </c>
      <c r="X15" s="833">
        <v>0</v>
      </c>
      <c r="Y15" s="833">
        <v>0</v>
      </c>
      <c r="Z15" s="287">
        <f t="shared" si="3"/>
        <v>0</v>
      </c>
      <c r="AA15" s="291"/>
      <c r="AB15" s="209">
        <f t="shared" si="6"/>
        <v>0.08</v>
      </c>
      <c r="AC15" s="8"/>
      <c r="AD15" s="8"/>
      <c r="AE15" s="8"/>
      <c r="AF15" s="1034">
        <f t="shared" si="2"/>
        <v>3.3000000000000002E-2</v>
      </c>
      <c r="AG15" s="1019"/>
      <c r="AH15" s="1019"/>
      <c r="AI15" s="1019"/>
      <c r="AJ15" s="287"/>
      <c r="AK15" s="287"/>
      <c r="AL15" s="287"/>
      <c r="AM15" s="287"/>
      <c r="AN15" s="287"/>
      <c r="AO15" s="287"/>
      <c r="AP15" s="287"/>
      <c r="AQ15" s="287"/>
      <c r="AR15" s="287"/>
      <c r="AS15" s="287"/>
      <c r="AT15" s="249"/>
    </row>
    <row r="16" spans="1:53" hidden="1" outlineLevel="1">
      <c r="E16" s="248"/>
      <c r="F16" s="8"/>
      <c r="G16" s="8"/>
      <c r="H16" s="8"/>
      <c r="I16" s="278"/>
      <c r="J16" s="289" t="str">
        <f>J15</f>
        <v>ESD</v>
      </c>
      <c r="K16" s="290" t="str">
        <f>K$10</f>
        <v>Govt</v>
      </c>
      <c r="L16" s="208" t="s">
        <v>785</v>
      </c>
      <c r="M16" s="285">
        <f>InputSheet!$E$101</f>
        <v>3.3000000000000002E-2</v>
      </c>
      <c r="N16" s="286">
        <f>VLOOKUP(($E$8&amp;$J16),InputSheet!$A$22:$G$130,7,FALSE)</f>
        <v>1.0890977106249997</v>
      </c>
      <c r="O16" s="834">
        <v>0</v>
      </c>
      <c r="P16" s="834">
        <v>0</v>
      </c>
      <c r="Q16" s="287">
        <f t="shared" si="5"/>
        <v>0</v>
      </c>
      <c r="R16" s="287">
        <f t="shared" si="5"/>
        <v>0</v>
      </c>
      <c r="S16" s="287"/>
      <c r="T16" s="287"/>
      <c r="U16" s="834">
        <v>0</v>
      </c>
      <c r="V16" s="834">
        <v>0</v>
      </c>
      <c r="W16" s="834">
        <v>0</v>
      </c>
      <c r="X16" s="834">
        <v>0</v>
      </c>
      <c r="Y16" s="834">
        <v>0</v>
      </c>
      <c r="Z16" s="287">
        <f t="shared" si="3"/>
        <v>0</v>
      </c>
      <c r="AA16" s="291"/>
      <c r="AB16" s="209">
        <f t="shared" si="6"/>
        <v>0.08</v>
      </c>
      <c r="AC16" s="8"/>
      <c r="AD16" s="8"/>
      <c r="AE16" s="8"/>
      <c r="AF16" s="1034">
        <f t="shared" si="2"/>
        <v>3.3000000000000002E-2</v>
      </c>
      <c r="AG16" s="1019"/>
      <c r="AH16" s="1019"/>
      <c r="AI16" s="1019"/>
      <c r="AJ16" s="287"/>
      <c r="AK16" s="287"/>
      <c r="AL16" s="287"/>
      <c r="AM16" s="287"/>
      <c r="AN16" s="287"/>
      <c r="AO16" s="287"/>
      <c r="AP16" s="287"/>
      <c r="AQ16" s="287"/>
      <c r="AR16" s="287"/>
      <c r="AS16" s="287"/>
      <c r="AT16" s="249"/>
    </row>
    <row r="17" spans="4:53" hidden="1" outlineLevel="1">
      <c r="E17" s="248"/>
      <c r="F17" s="8"/>
      <c r="G17" s="8"/>
      <c r="H17" s="8"/>
      <c r="I17" s="278"/>
      <c r="J17" s="289" t="str">
        <f t="shared" si="4"/>
        <v>IS</v>
      </c>
      <c r="K17" s="290" t="str">
        <f>K$9</f>
        <v>Contr</v>
      </c>
      <c r="L17" s="208" t="s">
        <v>716</v>
      </c>
      <c r="M17" s="285">
        <f>InputSheet!$E$7</f>
        <v>3.3000000000000002E-2</v>
      </c>
      <c r="N17" s="286">
        <f>VLOOKUP(($E$8&amp;$J17),InputSheet!$A$22:$G$130,7,FALSE)</f>
        <v>1.0890977106249997</v>
      </c>
      <c r="O17" s="834">
        <v>0.5</v>
      </c>
      <c r="P17" s="834">
        <v>0</v>
      </c>
      <c r="Q17" s="287">
        <f t="shared" si="5"/>
        <v>0.31240000000000001</v>
      </c>
      <c r="R17" s="287">
        <f t="shared" si="5"/>
        <v>0.1988</v>
      </c>
      <c r="S17" s="287"/>
      <c r="T17" s="287"/>
      <c r="U17" s="834">
        <v>0</v>
      </c>
      <c r="V17" s="834">
        <v>0</v>
      </c>
      <c r="W17" s="834">
        <v>0</v>
      </c>
      <c r="X17" s="834">
        <v>0</v>
      </c>
      <c r="Y17" s="834">
        <v>0</v>
      </c>
      <c r="Z17" s="287">
        <f t="shared" si="3"/>
        <v>8.9499999999999996E-2</v>
      </c>
      <c r="AA17" s="291"/>
      <c r="AB17" s="209">
        <f t="shared" si="6"/>
        <v>0.08</v>
      </c>
      <c r="AC17" s="8"/>
      <c r="AD17" s="8"/>
      <c r="AE17" s="8"/>
      <c r="AF17" s="1034">
        <f t="shared" si="2"/>
        <v>3.3000000000000002E-2</v>
      </c>
      <c r="AG17" s="1019"/>
      <c r="AH17" s="1019"/>
      <c r="AI17" s="1019"/>
      <c r="AJ17" s="287"/>
      <c r="AK17" s="287"/>
      <c r="AL17" s="287"/>
      <c r="AM17" s="287"/>
      <c r="AN17" s="287"/>
      <c r="AO17" s="287"/>
      <c r="AP17" s="287"/>
      <c r="AQ17" s="287"/>
      <c r="AR17" s="287"/>
      <c r="AS17" s="287"/>
      <c r="AT17" s="249"/>
    </row>
    <row r="18" spans="4:53" hidden="1" outlineLevel="1">
      <c r="E18" s="248"/>
      <c r="F18" s="8"/>
      <c r="G18" s="8"/>
      <c r="H18" s="8"/>
      <c r="I18" s="278"/>
      <c r="J18" s="289" t="str">
        <f t="shared" si="4"/>
        <v>IS</v>
      </c>
      <c r="K18" s="290" t="str">
        <f>K$10</f>
        <v>Govt</v>
      </c>
      <c r="L18" s="208" t="s">
        <v>715</v>
      </c>
      <c r="M18" s="285">
        <f>InputSheet!$E$7</f>
        <v>3.3000000000000002E-2</v>
      </c>
      <c r="N18" s="286">
        <f>VLOOKUP(($E$8&amp;$J18),InputSheet!$A$22:$G$130,7,FALSE)</f>
        <v>1.0890977106249997</v>
      </c>
      <c r="O18" s="834">
        <v>0.5</v>
      </c>
      <c r="P18" s="834">
        <v>0</v>
      </c>
      <c r="Q18" s="287">
        <f t="shared" si="5"/>
        <v>0.31240000000000001</v>
      </c>
      <c r="R18" s="287">
        <f t="shared" si="5"/>
        <v>2.23E-2</v>
      </c>
      <c r="S18" s="287"/>
      <c r="T18" s="287"/>
      <c r="U18" s="834">
        <v>0</v>
      </c>
      <c r="V18" s="834">
        <v>0</v>
      </c>
      <c r="W18" s="834">
        <v>0</v>
      </c>
      <c r="X18" s="834">
        <v>0</v>
      </c>
      <c r="Y18" s="834">
        <v>0</v>
      </c>
      <c r="Z18" s="287">
        <f t="shared" si="3"/>
        <v>8.9499999999999996E-2</v>
      </c>
      <c r="AA18" s="291"/>
      <c r="AB18" s="209">
        <f t="shared" si="6"/>
        <v>0.08</v>
      </c>
      <c r="AC18" s="8"/>
      <c r="AD18" s="8"/>
      <c r="AE18" s="8"/>
      <c r="AF18" s="1034">
        <f t="shared" si="2"/>
        <v>3.3000000000000002E-2</v>
      </c>
      <c r="AG18" s="1019"/>
      <c r="AH18" s="1019"/>
      <c r="AI18" s="1019"/>
      <c r="AJ18" s="287"/>
      <c r="AK18" s="287"/>
      <c r="AL18" s="287"/>
      <c r="AM18" s="287"/>
      <c r="AN18" s="287"/>
      <c r="AO18" s="287"/>
      <c r="AP18" s="287"/>
      <c r="AQ18" s="287"/>
      <c r="AR18" s="287"/>
      <c r="AS18" s="287"/>
      <c r="AT18" s="249"/>
    </row>
    <row r="19" spans="4:53" hidden="1" outlineLevel="1">
      <c r="E19" s="248"/>
      <c r="F19" s="8"/>
      <c r="G19" s="8"/>
      <c r="H19" s="8"/>
      <c r="I19" s="278"/>
      <c r="J19" s="289" t="str">
        <f t="shared" si="4"/>
        <v>IS</v>
      </c>
      <c r="K19" s="290" t="str">
        <f>K$9</f>
        <v>Contr</v>
      </c>
      <c r="L19" s="208" t="s">
        <v>670</v>
      </c>
      <c r="M19" s="293">
        <v>0</v>
      </c>
      <c r="N19" s="292">
        <v>1</v>
      </c>
      <c r="O19" s="833">
        <v>0.5</v>
      </c>
      <c r="P19" s="833">
        <v>0</v>
      </c>
      <c r="Q19" s="287">
        <f t="shared" si="5"/>
        <v>0.31240000000000001</v>
      </c>
      <c r="R19" s="287">
        <f t="shared" si="5"/>
        <v>0.1988</v>
      </c>
      <c r="S19" s="287"/>
      <c r="T19" s="287"/>
      <c r="U19" s="833">
        <v>0</v>
      </c>
      <c r="V19" s="833">
        <v>0</v>
      </c>
      <c r="W19" s="833">
        <v>0</v>
      </c>
      <c r="X19" s="833">
        <v>0</v>
      </c>
      <c r="Y19" s="833">
        <v>0</v>
      </c>
      <c r="Z19" s="287">
        <f t="shared" si="3"/>
        <v>8.9499999999999996E-2</v>
      </c>
      <c r="AA19" s="291"/>
      <c r="AB19" s="209">
        <f t="shared" si="6"/>
        <v>0.08</v>
      </c>
      <c r="AC19" s="8"/>
      <c r="AD19" s="8"/>
      <c r="AE19" s="8"/>
      <c r="AF19" s="1034">
        <f t="shared" si="2"/>
        <v>0</v>
      </c>
      <c r="AG19" s="1019"/>
      <c r="AH19" s="1019"/>
      <c r="AI19" s="1019"/>
      <c r="AJ19" s="287"/>
      <c r="AK19" s="287"/>
      <c r="AL19" s="287"/>
      <c r="AM19" s="287"/>
      <c r="AN19" s="287"/>
      <c r="AO19" s="287"/>
      <c r="AP19" s="287"/>
      <c r="AQ19" s="287"/>
      <c r="AR19" s="287"/>
      <c r="AS19" s="287"/>
      <c r="AT19" s="249"/>
    </row>
    <row r="20" spans="4:53" hidden="1" outlineLevel="1">
      <c r="E20" s="248"/>
      <c r="F20" s="8"/>
      <c r="G20" s="8"/>
      <c r="H20" s="8"/>
      <c r="I20" s="278"/>
      <c r="J20" s="289" t="str">
        <f t="shared" si="4"/>
        <v>IS</v>
      </c>
      <c r="K20" s="290" t="str">
        <f>K$10</f>
        <v>Govt</v>
      </c>
      <c r="L20" s="208" t="s">
        <v>669</v>
      </c>
      <c r="M20" s="293">
        <v>0</v>
      </c>
      <c r="N20" s="292">
        <v>1</v>
      </c>
      <c r="O20" s="834">
        <v>0.5</v>
      </c>
      <c r="P20" s="834">
        <v>0</v>
      </c>
      <c r="Q20" s="287">
        <f t="shared" si="5"/>
        <v>0.31240000000000001</v>
      </c>
      <c r="R20" s="287">
        <f t="shared" si="5"/>
        <v>2.23E-2</v>
      </c>
      <c r="S20" s="287"/>
      <c r="T20" s="287"/>
      <c r="U20" s="834">
        <v>0</v>
      </c>
      <c r="V20" s="834">
        <v>0</v>
      </c>
      <c r="W20" s="834">
        <v>0</v>
      </c>
      <c r="X20" s="834">
        <v>0</v>
      </c>
      <c r="Y20" s="834">
        <v>0</v>
      </c>
      <c r="Z20" s="287">
        <f t="shared" si="3"/>
        <v>8.9499999999999996E-2</v>
      </c>
      <c r="AA20" s="291"/>
      <c r="AB20" s="209">
        <f t="shared" si="6"/>
        <v>0.08</v>
      </c>
      <c r="AC20" s="8"/>
      <c r="AD20" s="8"/>
      <c r="AE20" s="8"/>
      <c r="AF20" s="1034">
        <f t="shared" si="2"/>
        <v>0</v>
      </c>
      <c r="AG20" s="1019"/>
      <c r="AH20" s="1019"/>
      <c r="AI20" s="1019"/>
      <c r="AJ20" s="287"/>
      <c r="AK20" s="287"/>
      <c r="AL20" s="287"/>
      <c r="AM20" s="287"/>
      <c r="AN20" s="287"/>
      <c r="AO20" s="287"/>
      <c r="AP20" s="287"/>
      <c r="AQ20" s="287"/>
      <c r="AR20" s="287"/>
      <c r="AS20" s="287"/>
      <c r="AT20" s="249"/>
    </row>
    <row r="21" spans="4:53" collapsed="1">
      <c r="E21" s="248"/>
      <c r="F21" s="8"/>
      <c r="G21" s="8"/>
      <c r="H21" s="8"/>
      <c r="I21" s="278"/>
      <c r="J21" s="283" t="str">
        <f t="shared" si="4"/>
        <v>IS</v>
      </c>
      <c r="K21" s="284" t="str">
        <f>InputSheet!$D$44</f>
        <v>Contr/Govt</v>
      </c>
      <c r="L21" s="210" t="s">
        <v>684</v>
      </c>
      <c r="M21" s="285">
        <v>0</v>
      </c>
      <c r="N21" s="286">
        <v>1</v>
      </c>
      <c r="O21" s="833">
        <v>0</v>
      </c>
      <c r="P21" s="833">
        <v>0</v>
      </c>
      <c r="Q21" s="287"/>
      <c r="R21" s="287">
        <f>VLOOKUP($E$8&amp;$J21&amp;InputSheet!$C$44&amp;$K21,Indirects,2,FALSE)</f>
        <v>2.8799999999999999E-2</v>
      </c>
      <c r="S21" s="287"/>
      <c r="T21" s="287"/>
      <c r="U21" s="833">
        <v>0</v>
      </c>
      <c r="V21" s="833">
        <v>0</v>
      </c>
      <c r="W21" s="833">
        <v>0</v>
      </c>
      <c r="X21" s="833">
        <v>0</v>
      </c>
      <c r="Y21" s="833">
        <v>0</v>
      </c>
      <c r="Z21" s="287">
        <f t="shared" si="3"/>
        <v>8.9499999999999996E-2</v>
      </c>
      <c r="AA21" s="288"/>
      <c r="AB21" s="209">
        <f>'Pricing Summary'!C53</f>
        <v>0.08</v>
      </c>
      <c r="AC21" s="8"/>
      <c r="AD21" s="8"/>
      <c r="AE21" s="8"/>
      <c r="AF21" s="1035">
        <f t="shared" si="2"/>
        <v>0</v>
      </c>
      <c r="AG21" s="1018"/>
      <c r="AH21" s="1018"/>
      <c r="AI21" s="1018"/>
      <c r="AJ21" s="287"/>
      <c r="AK21" s="287"/>
      <c r="AL21" s="287"/>
      <c r="AM21" s="287"/>
      <c r="AN21" s="287"/>
      <c r="AO21" s="287"/>
      <c r="AP21" s="287"/>
      <c r="AQ21" s="287"/>
      <c r="AR21" s="287"/>
      <c r="AS21" s="287"/>
      <c r="AT21" s="249"/>
    </row>
    <row r="22" spans="4:53" hidden="1">
      <c r="E22" s="248"/>
      <c r="F22" s="8"/>
      <c r="G22" s="8"/>
      <c r="H22" s="8"/>
      <c r="I22" s="278"/>
      <c r="J22" s="289" t="str">
        <f t="shared" si="4"/>
        <v>IS</v>
      </c>
      <c r="K22" s="290" t="str">
        <f>K21</f>
        <v>Contr/Govt</v>
      </c>
      <c r="L22" s="211" t="s">
        <v>685</v>
      </c>
      <c r="M22" s="807">
        <v>0</v>
      </c>
      <c r="N22" s="294">
        <f>N21</f>
        <v>1</v>
      </c>
      <c r="O22" s="835">
        <v>0</v>
      </c>
      <c r="P22" s="835">
        <v>0</v>
      </c>
      <c r="Q22" s="295"/>
      <c r="R22" s="296">
        <f>VLOOKUP($E$8&amp;$J22&amp;InputSheet!$C$44&amp;$K22,Indirects,2,FALSE)</f>
        <v>2.8799999999999999E-2</v>
      </c>
      <c r="S22" s="296"/>
      <c r="T22" s="296"/>
      <c r="U22" s="835">
        <v>0</v>
      </c>
      <c r="V22" s="835">
        <v>0</v>
      </c>
      <c r="W22" s="835">
        <v>0</v>
      </c>
      <c r="X22" s="835">
        <v>0</v>
      </c>
      <c r="Y22" s="835">
        <v>0</v>
      </c>
      <c r="Z22" s="296">
        <f t="shared" si="3"/>
        <v>8.9499999999999996E-2</v>
      </c>
      <c r="AA22" s="297"/>
      <c r="AB22" s="212">
        <f t="shared" si="6"/>
        <v>0.08</v>
      </c>
      <c r="AC22" s="8"/>
      <c r="AD22" s="8"/>
      <c r="AE22" s="8"/>
      <c r="AF22" s="1035">
        <f t="shared" si="2"/>
        <v>0</v>
      </c>
      <c r="AG22" s="1020"/>
      <c r="AH22" s="1020"/>
      <c r="AI22" s="1020"/>
      <c r="AJ22" s="295"/>
      <c r="AK22" s="296"/>
      <c r="AL22" s="296"/>
      <c r="AM22" s="296"/>
      <c r="AN22" s="296"/>
      <c r="AO22" s="296"/>
      <c r="AP22" s="296"/>
      <c r="AQ22" s="296"/>
      <c r="AR22" s="296"/>
      <c r="AS22" s="296"/>
      <c r="AT22" s="249"/>
    </row>
    <row r="23" spans="4:53" hidden="1">
      <c r="E23" s="248"/>
      <c r="F23" s="8"/>
      <c r="G23" s="8"/>
      <c r="H23" s="8"/>
      <c r="I23" s="278"/>
      <c r="J23" s="289" t="str">
        <f t="shared" si="4"/>
        <v>IS</v>
      </c>
      <c r="K23" s="290" t="str">
        <f>K22</f>
        <v>Contr/Govt</v>
      </c>
      <c r="L23" s="207" t="s">
        <v>616</v>
      </c>
      <c r="M23" s="808">
        <v>0</v>
      </c>
      <c r="N23" s="298">
        <v>1</v>
      </c>
      <c r="O23" s="836">
        <v>0</v>
      </c>
      <c r="P23" s="836">
        <v>0</v>
      </c>
      <c r="Q23" s="299"/>
      <c r="R23" s="299">
        <f>VLOOKUP($E$8&amp;$J23&amp;InputSheet!$C$44&amp;$K23,Indirects,2,FALSE)</f>
        <v>2.8799999999999999E-2</v>
      </c>
      <c r="S23" s="299"/>
      <c r="T23" s="299"/>
      <c r="U23" s="836">
        <v>0</v>
      </c>
      <c r="V23" s="836">
        <v>0</v>
      </c>
      <c r="W23" s="836">
        <v>0</v>
      </c>
      <c r="X23" s="836">
        <v>0</v>
      </c>
      <c r="Y23" s="836">
        <v>0</v>
      </c>
      <c r="Z23" s="299">
        <f t="shared" si="3"/>
        <v>8.9499999999999996E-2</v>
      </c>
      <c r="AA23" s="300"/>
      <c r="AB23" s="213">
        <v>0</v>
      </c>
      <c r="AC23" s="8"/>
      <c r="AD23" s="8"/>
      <c r="AE23" s="8"/>
      <c r="AF23" s="1035">
        <f t="shared" si="2"/>
        <v>0</v>
      </c>
      <c r="AG23" s="1021"/>
      <c r="AH23" s="1021"/>
      <c r="AI23" s="1021"/>
      <c r="AJ23" s="299"/>
      <c r="AK23" s="299"/>
      <c r="AL23" s="299"/>
      <c r="AM23" s="299"/>
      <c r="AN23" s="299"/>
      <c r="AO23" s="299"/>
      <c r="AP23" s="299"/>
      <c r="AQ23" s="299"/>
      <c r="AR23" s="299"/>
      <c r="AS23" s="299"/>
      <c r="AT23" s="249"/>
    </row>
    <row r="24" spans="4:53">
      <c r="E24" s="248"/>
      <c r="F24" s="8"/>
      <c r="G24" s="8"/>
      <c r="H24" s="8"/>
      <c r="I24" s="278"/>
      <c r="J24" s="301" t="str">
        <f t="shared" si="4"/>
        <v>IS</v>
      </c>
      <c r="K24" s="302" t="str">
        <f>K23</f>
        <v>Contr/Govt</v>
      </c>
      <c r="L24" s="237" t="s">
        <v>617</v>
      </c>
      <c r="M24" s="809">
        <v>0</v>
      </c>
      <c r="N24" s="303">
        <v>1</v>
      </c>
      <c r="O24" s="837">
        <v>0</v>
      </c>
      <c r="P24" s="837">
        <v>0</v>
      </c>
      <c r="Q24" s="304"/>
      <c r="R24" s="305">
        <f>IF(OR($J$24="MBI - FT",$J$24="MBI - PT"),R23,0)</f>
        <v>0</v>
      </c>
      <c r="S24" s="305"/>
      <c r="T24" s="305"/>
      <c r="U24" s="837">
        <v>0</v>
      </c>
      <c r="V24" s="837">
        <v>0</v>
      </c>
      <c r="W24" s="837">
        <v>0</v>
      </c>
      <c r="X24" s="837">
        <v>0</v>
      </c>
      <c r="Y24" s="837">
        <v>0</v>
      </c>
      <c r="Z24" s="305">
        <f t="shared" si="3"/>
        <v>8.9499999999999996E-2</v>
      </c>
      <c r="AA24" s="306"/>
      <c r="AB24" s="238">
        <f>'Pricing Summary'!C54</f>
        <v>0.08</v>
      </c>
      <c r="AC24" s="8"/>
      <c r="AD24" s="8"/>
      <c r="AE24" s="8"/>
      <c r="AF24" s="1035">
        <f t="shared" si="2"/>
        <v>0</v>
      </c>
      <c r="AG24" s="1022"/>
      <c r="AH24" s="1022"/>
      <c r="AI24" s="1022"/>
      <c r="AJ24" s="304"/>
      <c r="AK24" s="305"/>
      <c r="AL24" s="305"/>
      <c r="AM24" s="305"/>
      <c r="AN24" s="305"/>
      <c r="AO24" s="305"/>
      <c r="AP24" s="305"/>
      <c r="AQ24" s="305"/>
      <c r="AR24" s="305"/>
      <c r="AS24" s="305"/>
      <c r="AT24" s="249"/>
    </row>
    <row r="25" spans="4:53">
      <c r="E25" s="248"/>
      <c r="F25" s="8"/>
      <c r="G25" s="8"/>
      <c r="H25" s="8"/>
      <c r="I25" s="8"/>
      <c r="J25" s="307"/>
      <c r="K25" s="307"/>
      <c r="L25" s="307"/>
      <c r="M25" s="307"/>
      <c r="N25" s="307"/>
      <c r="O25" s="307"/>
      <c r="P25" s="307"/>
      <c r="Q25" s="307"/>
      <c r="R25" s="307"/>
      <c r="S25" s="307"/>
      <c r="T25" s="307"/>
      <c r="U25" s="307"/>
      <c r="V25" s="307"/>
      <c r="W25" s="307"/>
      <c r="X25" s="307"/>
      <c r="Y25" s="307"/>
      <c r="Z25" s="307"/>
      <c r="AA25" s="307"/>
      <c r="AB25" s="307"/>
      <c r="AC25" s="8"/>
      <c r="AD25" s="8"/>
      <c r="AE25" s="8"/>
      <c r="AF25" s="250" t="s">
        <v>920</v>
      </c>
      <c r="AG25" s="8"/>
      <c r="AH25" s="8"/>
      <c r="AI25" s="8"/>
      <c r="AJ25" s="8"/>
      <c r="AK25" s="8"/>
      <c r="AL25" s="8"/>
      <c r="AM25" s="8"/>
      <c r="AN25" s="8"/>
      <c r="AO25" s="8"/>
      <c r="AP25" s="8"/>
      <c r="AQ25" s="8"/>
      <c r="AR25" s="8"/>
      <c r="AS25" s="8"/>
      <c r="AT25" s="8"/>
      <c r="AZ25" s="308"/>
      <c r="BA25" s="308"/>
    </row>
    <row r="26" spans="4:53" hidden="1" outlineLevel="1">
      <c r="E26" s="248"/>
      <c r="F26" s="8"/>
      <c r="G26" s="8"/>
      <c r="H26" s="8"/>
      <c r="I26" s="8"/>
      <c r="J26" s="8"/>
      <c r="K26" s="8"/>
      <c r="L26" s="8"/>
      <c r="M26" s="309"/>
      <c r="N26" s="310" t="str">
        <f>M$28&amp;"*"&amp;N$5</f>
        <v>A*B%</v>
      </c>
      <c r="O26" s="310"/>
      <c r="P26" s="310"/>
      <c r="Q26" s="310" t="str">
        <f>N$28&amp;"*"&amp;Q$5</f>
        <v>B*C%</v>
      </c>
      <c r="R26" s="310" t="str">
        <f>"("&amp;N28&amp;"+"&amp;Q$28&amp;")"&amp;"*"&amp;R$5</f>
        <v>(B+C)*D%</v>
      </c>
      <c r="S26" s="310"/>
      <c r="T26" s="310"/>
      <c r="U26" s="310"/>
      <c r="V26" s="310"/>
      <c r="W26" s="310"/>
      <c r="X26" s="310"/>
      <c r="Y26" s="310"/>
      <c r="Z26" s="310" t="str">
        <f>"("&amp;N28&amp;"+"&amp;Q28&amp;"+"&amp;R$28&amp;")"&amp;"*"&amp;Z$5</f>
        <v>(B+C+D)*E%</v>
      </c>
      <c r="AA26" s="310" t="s">
        <v>776</v>
      </c>
      <c r="AB26" s="310" t="str">
        <f>"("&amp;N28&amp;"+"&amp;Q28&amp;"+"&amp;R$28&amp;"+"&amp;Z$28&amp;")"&amp;"*"&amp;AB$5</f>
        <v>(B+C+D+E)*G%</v>
      </c>
      <c r="AC26" s="8"/>
      <c r="AD26" s="8"/>
      <c r="AE26" s="8"/>
      <c r="AF26" s="250"/>
    </row>
    <row r="27" spans="4:53" ht="8.25" hidden="1" customHeight="1" outlineLevel="1">
      <c r="E27" s="248"/>
      <c r="F27" s="8"/>
      <c r="G27" s="8"/>
      <c r="H27" s="8"/>
      <c r="I27" s="8"/>
      <c r="J27" s="8"/>
      <c r="K27" s="8"/>
      <c r="L27" s="8"/>
      <c r="M27" s="311"/>
      <c r="N27" s="312"/>
      <c r="O27" s="312"/>
      <c r="P27" s="312"/>
      <c r="Q27" s="312"/>
      <c r="R27" s="312"/>
      <c r="S27" s="312"/>
      <c r="T27" s="312"/>
      <c r="U27" s="312"/>
      <c r="V27" s="312"/>
      <c r="W27" s="312"/>
      <c r="X27" s="312"/>
      <c r="Y27" s="312"/>
      <c r="Z27" s="312"/>
      <c r="AA27" s="312"/>
      <c r="AB27" s="312"/>
      <c r="AC27" s="8"/>
      <c r="AD27" s="8"/>
      <c r="AE27" s="8"/>
      <c r="AF27" s="250"/>
    </row>
    <row r="28" spans="4:53" hidden="1" outlineLevel="1">
      <c r="E28" s="248"/>
      <c r="F28" s="8"/>
      <c r="G28" s="8"/>
      <c r="H28" s="8"/>
      <c r="I28" s="8"/>
      <c r="J28" s="8"/>
      <c r="K28" s="8"/>
      <c r="L28" s="8"/>
      <c r="M28" s="263" t="s">
        <v>601</v>
      </c>
      <c r="N28" s="263" t="s">
        <v>598</v>
      </c>
      <c r="O28" s="263"/>
      <c r="P28" s="263"/>
      <c r="Q28" s="263" t="s">
        <v>599</v>
      </c>
      <c r="R28" s="263" t="s">
        <v>618</v>
      </c>
      <c r="S28" s="263"/>
      <c r="T28" s="263"/>
      <c r="U28" s="263"/>
      <c r="V28" s="263"/>
      <c r="W28" s="263"/>
      <c r="X28" s="263"/>
      <c r="Y28" s="263"/>
      <c r="Z28" s="263" t="s">
        <v>645</v>
      </c>
      <c r="AA28" s="263" t="s">
        <v>774</v>
      </c>
      <c r="AB28" s="263" t="s">
        <v>775</v>
      </c>
      <c r="AC28" s="8"/>
      <c r="AD28" s="8"/>
      <c r="AE28" s="8"/>
      <c r="AF28" s="250"/>
    </row>
    <row r="29" spans="4:53" collapsed="1">
      <c r="E29" s="248"/>
      <c r="F29" s="8"/>
      <c r="G29" s="8"/>
      <c r="H29" s="8"/>
      <c r="I29" s="8"/>
      <c r="J29" s="8"/>
      <c r="K29" s="8"/>
      <c r="L29" s="8"/>
      <c r="M29" s="8"/>
      <c r="N29" s="8"/>
      <c r="O29" s="8"/>
      <c r="P29" s="8"/>
      <c r="Q29" s="8"/>
      <c r="R29" s="8"/>
      <c r="S29" s="8"/>
      <c r="T29" s="8"/>
      <c r="U29" s="8"/>
      <c r="V29" s="8"/>
      <c r="W29" s="8"/>
      <c r="X29" s="8"/>
      <c r="Y29" s="8"/>
      <c r="Z29" s="8"/>
      <c r="AA29" s="313"/>
      <c r="AB29" s="8"/>
      <c r="AC29" s="8"/>
      <c r="AD29" s="8"/>
      <c r="AE29" s="8"/>
      <c r="AF29" s="250">
        <v>12</v>
      </c>
      <c r="AT29" s="314"/>
      <c r="AU29" s="39"/>
      <c r="AV29" s="314"/>
      <c r="AW29" s="39"/>
      <c r="AZ29" s="308" t="s">
        <v>778</v>
      </c>
      <c r="BA29" s="308" t="s">
        <v>777</v>
      </c>
    </row>
    <row r="30" spans="4:53" ht="13.5" thickBot="1">
      <c r="E30" s="315" t="s">
        <v>632</v>
      </c>
      <c r="F30" s="37"/>
      <c r="G30" s="37" t="s">
        <v>633</v>
      </c>
      <c r="H30" s="8"/>
      <c r="I30" s="37" t="s">
        <v>634</v>
      </c>
      <c r="J30" s="47" t="s">
        <v>644</v>
      </c>
      <c r="K30" s="47" t="s">
        <v>644</v>
      </c>
      <c r="L30" s="37" t="str">
        <f>L8</f>
        <v>Burden Code</v>
      </c>
      <c r="M30" s="39" t="s">
        <v>635</v>
      </c>
      <c r="N30" s="39" t="s">
        <v>58</v>
      </c>
      <c r="O30" s="39" t="str">
        <f>O8</f>
        <v>Hazard</v>
      </c>
      <c r="P30" s="39" t="str">
        <f>P8</f>
        <v>Harship</v>
      </c>
      <c r="Q30" s="39" t="str">
        <f t="shared" ref="Q30:AB30" si="7">Q8</f>
        <v>PRB</v>
      </c>
      <c r="R30" s="39" t="str">
        <f t="shared" si="7"/>
        <v>Overhead</v>
      </c>
      <c r="S30" s="39"/>
      <c r="T30" s="39"/>
      <c r="U30" s="39" t="str">
        <f t="shared" si="7"/>
        <v>Finders Fee</v>
      </c>
      <c r="V30" s="39" t="str">
        <f>V8</f>
        <v>Comp. Bonus</v>
      </c>
      <c r="W30" s="39" t="str">
        <f>W8</f>
        <v>War Risk Ins.</v>
      </c>
      <c r="X30" s="39" t="str">
        <f>X8</f>
        <v>DBA Ins.</v>
      </c>
      <c r="Y30" s="39" t="str">
        <f>Y8</f>
        <v>Travel</v>
      </c>
      <c r="Z30" s="39" t="str">
        <f t="shared" si="7"/>
        <v>G&amp;A</v>
      </c>
      <c r="AA30" s="39" t="str">
        <f t="shared" si="7"/>
        <v>Cost</v>
      </c>
      <c r="AB30" s="39" t="str">
        <f t="shared" si="7"/>
        <v>Profit / Fee</v>
      </c>
      <c r="AC30" s="39" t="s">
        <v>908</v>
      </c>
      <c r="AD30" s="39" t="s">
        <v>646</v>
      </c>
      <c r="AE30" s="39" t="s">
        <v>638</v>
      </c>
      <c r="AF30" s="316" t="s">
        <v>907</v>
      </c>
      <c r="AG30" s="314"/>
      <c r="AH30" s="314"/>
      <c r="AI30" s="314"/>
      <c r="AJ30" s="314"/>
      <c r="AK30" s="314"/>
      <c r="AL30" s="314"/>
      <c r="AM30" s="314"/>
      <c r="AN30" s="314"/>
      <c r="AO30" s="314"/>
      <c r="AP30" s="314"/>
      <c r="AQ30" s="314"/>
      <c r="AR30" s="314"/>
      <c r="AS30" s="314"/>
      <c r="AT30" s="314"/>
      <c r="AU30" s="39"/>
      <c r="AV30" s="314"/>
      <c r="AW30" s="39"/>
      <c r="AZ30" s="251">
        <v>1</v>
      </c>
      <c r="BA30" s="251">
        <v>1</v>
      </c>
    </row>
    <row r="31" spans="4:53" s="317" customFormat="1" ht="16.5" thickBot="1">
      <c r="E31" s="240" t="s">
        <v>640</v>
      </c>
      <c r="F31" s="202"/>
      <c r="G31" s="202"/>
      <c r="H31" s="203"/>
      <c r="I31" s="202"/>
      <c r="J31" s="201"/>
      <c r="K31" s="201"/>
      <c r="L31" s="202"/>
      <c r="M31" s="204"/>
      <c r="N31" s="204"/>
      <c r="O31" s="204"/>
      <c r="P31" s="204"/>
      <c r="Q31" s="204"/>
      <c r="R31" s="204"/>
      <c r="S31" s="204"/>
      <c r="T31" s="204"/>
      <c r="U31" s="204"/>
      <c r="V31" s="204"/>
      <c r="W31" s="204"/>
      <c r="X31" s="204"/>
      <c r="Y31" s="204"/>
      <c r="Z31" s="204"/>
      <c r="AA31" s="204"/>
      <c r="AB31" s="204"/>
      <c r="AC31" s="204"/>
      <c r="AD31" s="204"/>
      <c r="AE31" s="204"/>
      <c r="AF31" s="205"/>
      <c r="AG31" s="206"/>
      <c r="AH31" s="206"/>
      <c r="AI31" s="206" t="s">
        <v>742</v>
      </c>
      <c r="AJ31" s="206" t="s">
        <v>741</v>
      </c>
      <c r="AK31" s="206" t="s">
        <v>66</v>
      </c>
      <c r="AL31" s="206"/>
      <c r="AM31" s="206"/>
      <c r="AN31" s="206"/>
      <c r="AO31" s="206"/>
      <c r="AP31" s="206" t="s">
        <v>989</v>
      </c>
      <c r="AQ31" s="206"/>
      <c r="AR31" s="206"/>
      <c r="AS31" s="206"/>
      <c r="AT31" s="206"/>
      <c r="AU31" s="206"/>
      <c r="AV31" s="206"/>
      <c r="AW31" s="318"/>
      <c r="AZ31" s="251">
        <v>1</v>
      </c>
      <c r="BA31" s="251">
        <v>1</v>
      </c>
    </row>
    <row r="32" spans="4:53">
      <c r="D32" s="8">
        <v>1</v>
      </c>
      <c r="E32" s="319" t="str">
        <f t="shared" ref="E32:E49" si="8">VLOOKUP($D32,DL,2,FALSE)</f>
        <v xml:space="preserve">LAN/Wan Engineer </v>
      </c>
      <c r="F32" s="8"/>
      <c r="G32" s="363" t="str">
        <f>+InputSheet!E173</f>
        <v>ManTech</v>
      </c>
      <c r="H32" s="8"/>
      <c r="I32" s="320">
        <f t="shared" ref="I32:I49" si="9">VLOOKUP($D32,DL,5,FALSE)</f>
        <v>0</v>
      </c>
      <c r="J32" s="198" t="str">
        <f>G32&amp;D32&amp;I32&amp;L32</f>
        <v>ManTech10Govt</v>
      </c>
      <c r="K32" s="198"/>
      <c r="L32" s="363" t="s">
        <v>623</v>
      </c>
      <c r="M32" s="321">
        <f>IF(G32="ManTech",(VLOOKUP($D32,DL,6,FALSE)),(INDEX('Sub Rates'!$F$9:$IK$48,MATCH(($E32&amp;$L32),'Sub Rates'!$E$9:$E$48,0),MATCH(($E$8&amp;$G32),'Sub Rates'!$F$8:$IK$8,0))))</f>
        <v>29</v>
      </c>
      <c r="N32" s="321">
        <f t="shared" ref="N32:N49" ca="1" si="10">ROUND($M32*(VLOOKUP($L32,$L$9:$AB$24,N$6,FALSE)),2)</f>
        <v>31.58</v>
      </c>
      <c r="O32" s="321">
        <f ca="1">$N32*(VLOOKUP($L32,$L$9:$AB$24,O$6,FALSE))</f>
        <v>11.052999999999999</v>
      </c>
      <c r="P32" s="321">
        <f ca="1">$N32*(VLOOKUP($L32,$L$9:$AB$24,P$6,FALSE))</f>
        <v>11.052999999999999</v>
      </c>
      <c r="Q32" s="321">
        <f ca="1">($N32+O32+P32)*(VLOOKUP($L32,$L$9:$AB$24,Q$6,FALSE))</f>
        <v>16.7715064</v>
      </c>
      <c r="R32" s="321">
        <f ca="1">($N32+$Q32+O32+P32)*(VLOOKUP($L32,$L$9:$AB$24,R$6,FALSE))</f>
        <v>1.5712023927200001</v>
      </c>
      <c r="S32" s="321">
        <f t="shared" ref="S32:S37" ca="1" si="11">$S$10/SUM($AD$32:$AD$46)</f>
        <v>0.48771241830065359</v>
      </c>
      <c r="T32" s="321">
        <f t="shared" ref="T32:T37" ca="1" si="12">$T$10/SUM($AD$32:$AD$46)</f>
        <v>0.12941960784313725</v>
      </c>
      <c r="U32" s="321">
        <f t="shared" ref="U32:U37" si="13">(M32*AD32)*$U$10</f>
        <v>0</v>
      </c>
      <c r="V32" s="321">
        <f>$V$10/AD32</f>
        <v>2.4509803921568629</v>
      </c>
      <c r="W32" s="321">
        <f>$W$10/AD32</f>
        <v>0.29427450980392161</v>
      </c>
      <c r="X32" s="321">
        <f t="shared" ref="X32:X37" ca="1" si="14">N32*$X$10</f>
        <v>0.60002</v>
      </c>
      <c r="Y32" s="321">
        <f t="shared" ref="Y32:Y37" si="15">$Y$10/AD32</f>
        <v>1.1106862745098041</v>
      </c>
      <c r="Z32" s="321">
        <f ca="1">IF($G32="ManTech",(SUM($N32:$Y32)*(VLOOKUP($L32,$L$9:$AB$24,Z$6,FALSE))),(IF(R32=0,((SUM(N32,#REF!))*(VLOOKUP($L32,$L$9:$AB$24,Z$6,FALSE))),(SUM($R32:$R32)*(VLOOKUP($L32,$L$9:$AB$24,Z$6,FALSE))))))</f>
        <v>6.900611278582427</v>
      </c>
      <c r="AA32" s="321">
        <f ca="1">SUM(N32:Z32)</f>
        <v>84.002413273916815</v>
      </c>
      <c r="AB32" s="321">
        <f t="shared" ref="AB32:AB46" ca="1" si="16">(AA32*(VLOOKUP($L32,$L$9:$AB$24,AB$6,FALSE)))</f>
        <v>6.7201930619133456</v>
      </c>
      <c r="AC32" s="321">
        <f ca="1">ROUND(SUM(AA32:AB32),2)</f>
        <v>90.72</v>
      </c>
      <c r="AD32" s="214">
        <f>VLOOKUP(D32,InputSheet!B173:O187,14,FALSE)</f>
        <v>2040</v>
      </c>
      <c r="AE32" s="336">
        <f t="shared" ref="AE32:AE49" ca="1" si="17">$AC32*$AD32</f>
        <v>185068.79999999999</v>
      </c>
      <c r="AF32" s="1036">
        <f ca="1">AC32*$AF$29</f>
        <v>1088.6399999999999</v>
      </c>
      <c r="AG32" s="323"/>
      <c r="AH32" s="323"/>
      <c r="AI32" s="323">
        <f ca="1">AA32*AD32</f>
        <v>171364.92307879031</v>
      </c>
      <c r="AJ32" s="323">
        <f ca="1">AC32*AD32</f>
        <v>185068.79999999999</v>
      </c>
      <c r="AK32" s="323">
        <f ca="1">AJ32-AI32</f>
        <v>13703.876921209681</v>
      </c>
      <c r="AL32" s="20">
        <f ca="1">IF(AK32=0,0,ROUND(AK32/AI32,2))</f>
        <v>0.08</v>
      </c>
      <c r="AM32" s="323"/>
      <c r="AN32" s="323"/>
      <c r="AO32" s="323"/>
      <c r="AP32" s="323">
        <f>Y32*AD32</f>
        <v>2265.8000000000002</v>
      </c>
      <c r="AQ32" s="323"/>
      <c r="AR32" s="323"/>
      <c r="AS32" s="323"/>
      <c r="AT32" s="323"/>
      <c r="AU32" s="60"/>
      <c r="AV32" s="324"/>
      <c r="AW32" s="325"/>
      <c r="AZ32" s="251" t="str">
        <f ca="1">IF((OR((AC32=""),(AC32&gt;0))),"1","0")</f>
        <v>1</v>
      </c>
      <c r="BA32" s="251" t="str">
        <f ca="1">IF((OR((AE32=""),(AE32&gt;0))),"1","0")</f>
        <v>1</v>
      </c>
    </row>
    <row r="33" spans="4:53">
      <c r="D33" s="8">
        <f>D32+1</f>
        <v>2</v>
      </c>
      <c r="E33" s="319" t="str">
        <f t="shared" si="8"/>
        <v>Functional Services Administrator</v>
      </c>
      <c r="F33" s="8"/>
      <c r="G33" s="363" t="str">
        <f>+InputSheet!E174</f>
        <v>ManTech</v>
      </c>
      <c r="H33" s="8"/>
      <c r="I33" s="320">
        <f t="shared" si="9"/>
        <v>0</v>
      </c>
      <c r="J33" s="198" t="str">
        <f t="shared" ref="J33:J46" si="18">G33&amp;D33&amp;I33&amp;L33</f>
        <v>ManTech20Govt</v>
      </c>
      <c r="K33" s="198"/>
      <c r="L33" s="363" t="s">
        <v>623</v>
      </c>
      <c r="M33" s="321">
        <f>IF(G33="ManTech",(VLOOKUP($D33,DL,6,FALSE)),(INDEX('Sub Rates'!$F$9:$IK$48,MATCH(($E33&amp;$L33),'Sub Rates'!$E$9:$E$48,0),MATCH(($E$8&amp;$G33),'Sub Rates'!$F$8:$IK$8,0))))</f>
        <v>33.81</v>
      </c>
      <c r="N33" s="321">
        <f t="shared" ca="1" si="10"/>
        <v>36.82</v>
      </c>
      <c r="O33" s="321">
        <f t="shared" ref="O33:P49" ca="1" si="19">$N33*(VLOOKUP($L33,$L$9:$AB$24,O$6,FALSE))</f>
        <v>12.886999999999999</v>
      </c>
      <c r="P33" s="321">
        <f t="shared" ca="1" si="19"/>
        <v>12.886999999999999</v>
      </c>
      <c r="Q33" s="321">
        <f t="shared" ref="Q33:Q48" ca="1" si="20">($N33+O33+P33)*(VLOOKUP($L33,$L$9:$AB$24,Q$6,FALSE))</f>
        <v>19.554365600000001</v>
      </c>
      <c r="R33" s="321">
        <f t="shared" ref="R33:R46" ca="1" si="21">($N33+$Q33+O33+P33)*(VLOOKUP($L33,$L$9:$AB$24,R$6,FALSE))</f>
        <v>1.8319085528800001</v>
      </c>
      <c r="S33" s="321">
        <f t="shared" ca="1" si="11"/>
        <v>0.48771241830065359</v>
      </c>
      <c r="T33" s="321">
        <f t="shared" ca="1" si="12"/>
        <v>0.12941960784313725</v>
      </c>
      <c r="U33" s="321">
        <f t="shared" si="13"/>
        <v>0</v>
      </c>
      <c r="V33" s="321">
        <f t="shared" ref="V33:V46" si="22">$V$10/AD33</f>
        <v>2.4509803921568629</v>
      </c>
      <c r="W33" s="321">
        <f t="shared" ref="W33:W46" si="23">$W$10/AD33</f>
        <v>0.29427450980392161</v>
      </c>
      <c r="X33" s="321">
        <f t="shared" ca="1" si="14"/>
        <v>0.69957999999999998</v>
      </c>
      <c r="Y33" s="321">
        <f t="shared" si="15"/>
        <v>1.1106862745098041</v>
      </c>
      <c r="Z33" s="321">
        <f ca="1">IF($G33="ManTech",(SUM($N33:$Y33)*(VLOOKUP($L33,$L$9:$AB$24,Z$6,FALSE))),(IF(R33=0,((SUM(N33,#REF!))*(VLOOKUP($L33,$L$9:$AB$24,Z$6,FALSE))),(SUM($R33:$R33)*(VLOOKUP($L33,$L$9:$AB$24,Z$6,FALSE))))))</f>
        <v>7.9791869983167469</v>
      </c>
      <c r="AA33" s="321">
        <f t="shared" ref="AA33:AA46" ca="1" si="24">SUM(N33:Z33)</f>
        <v>97.132114353811133</v>
      </c>
      <c r="AB33" s="321">
        <f t="shared" ca="1" si="16"/>
        <v>7.7705691483048911</v>
      </c>
      <c r="AC33" s="321">
        <f t="shared" ref="AC33:AC46" ca="1" si="25">ROUND(SUM(AA33:AB33),2)</f>
        <v>104.9</v>
      </c>
      <c r="AD33" s="214">
        <f>VLOOKUP(D33,InputSheet!B174:O188,14,FALSE)</f>
        <v>2040</v>
      </c>
      <c r="AE33" s="336">
        <f t="shared" ca="1" si="17"/>
        <v>213996</v>
      </c>
      <c r="AF33" s="1036">
        <f t="shared" ref="AF33:AF46" ca="1" si="26">AC33*$AF$29</f>
        <v>1258.8000000000002</v>
      </c>
      <c r="AG33" s="323"/>
      <c r="AH33" s="323"/>
      <c r="AI33" s="323">
        <f t="shared" ref="AI33:AI46" ca="1" si="27">AA33*AD33</f>
        <v>198149.51328177471</v>
      </c>
      <c r="AJ33" s="323">
        <f t="shared" ref="AJ33:AJ46" ca="1" si="28">AC33*AD33</f>
        <v>213996</v>
      </c>
      <c r="AK33" s="323">
        <f t="shared" ref="AK33:AK46" ca="1" si="29">AJ33-AI33</f>
        <v>15846.486718225293</v>
      </c>
      <c r="AL33" s="20">
        <f t="shared" ref="AL33:AL46" ca="1" si="30">IF(AK33=0,0,ROUND(AK33/AI33,2))</f>
        <v>0.08</v>
      </c>
      <c r="AM33" s="323"/>
      <c r="AN33" s="323"/>
      <c r="AO33" s="323"/>
      <c r="AP33" s="323">
        <f t="shared" ref="AP33:AP46" si="31">Y33*AD33</f>
        <v>2265.8000000000002</v>
      </c>
      <c r="AQ33" s="323"/>
      <c r="AR33" s="323"/>
      <c r="AS33" s="323"/>
      <c r="AT33" s="323"/>
      <c r="AU33" s="60"/>
      <c r="AV33" s="324"/>
      <c r="AW33" s="325"/>
      <c r="AZ33" s="251" t="str">
        <f t="shared" ref="AZ33:AZ92" ca="1" si="32">IF((OR((AC33=""),(AC33&gt;0))),"1","0")</f>
        <v>1</v>
      </c>
      <c r="BA33" s="251" t="str">
        <f t="shared" ref="BA33:BA92" ca="1" si="33">IF((OR((AE33=""),(AE33&gt;0))),"1","0")</f>
        <v>1</v>
      </c>
    </row>
    <row r="34" spans="4:53">
      <c r="D34" s="8">
        <f t="shared" ref="D34:D42" si="34">D33+1</f>
        <v>3</v>
      </c>
      <c r="E34" s="319" t="str">
        <f t="shared" si="8"/>
        <v>Functional Services Administrator</v>
      </c>
      <c r="F34" s="8"/>
      <c r="G34" s="363" t="str">
        <f>+InputSheet!E175</f>
        <v>ManTech</v>
      </c>
      <c r="H34" s="8"/>
      <c r="I34" s="320">
        <f t="shared" si="9"/>
        <v>0</v>
      </c>
      <c r="J34" s="198" t="str">
        <f t="shared" si="18"/>
        <v>ManTech30Govt</v>
      </c>
      <c r="K34" s="198"/>
      <c r="L34" s="363" t="s">
        <v>623</v>
      </c>
      <c r="M34" s="321">
        <f>IF(G34="ManTech",(VLOOKUP($D34,DL,6,FALSE)),(INDEX('Sub Rates'!$F$9:$IK$48,MATCH(($E34&amp;$L34),'Sub Rates'!$E$9:$E$48,0),MATCH(($E$8&amp;$G34),'Sub Rates'!$F$8:$IK$8,0))))</f>
        <v>33.81</v>
      </c>
      <c r="N34" s="321">
        <f t="shared" ca="1" si="10"/>
        <v>36.82</v>
      </c>
      <c r="O34" s="321">
        <f t="shared" ca="1" si="19"/>
        <v>12.886999999999999</v>
      </c>
      <c r="P34" s="321">
        <f t="shared" ca="1" si="19"/>
        <v>12.886999999999999</v>
      </c>
      <c r="Q34" s="321">
        <f t="shared" ca="1" si="20"/>
        <v>19.554365600000001</v>
      </c>
      <c r="R34" s="321">
        <f t="shared" ca="1" si="21"/>
        <v>1.8319085528800001</v>
      </c>
      <c r="S34" s="321">
        <f t="shared" ca="1" si="11"/>
        <v>0.48771241830065359</v>
      </c>
      <c r="T34" s="321">
        <f t="shared" ca="1" si="12"/>
        <v>0.12941960784313725</v>
      </c>
      <c r="U34" s="321">
        <f t="shared" si="13"/>
        <v>0</v>
      </c>
      <c r="V34" s="321">
        <f t="shared" si="22"/>
        <v>2.4509803921568629</v>
      </c>
      <c r="W34" s="321">
        <f t="shared" si="23"/>
        <v>0.29427450980392161</v>
      </c>
      <c r="X34" s="321">
        <f t="shared" ca="1" si="14"/>
        <v>0.69957999999999998</v>
      </c>
      <c r="Y34" s="321">
        <f t="shared" si="15"/>
        <v>1.1106862745098041</v>
      </c>
      <c r="Z34" s="321">
        <f ca="1">IF($G34="ManTech",(SUM($N34:$Y34)*(VLOOKUP($L34,$L$9:$AB$24,Z$6,FALSE))),(IF(R34=0,((SUM(N34,#REF!))*(VLOOKUP($L34,$L$9:$AB$24,Z$6,FALSE))),(SUM($R34:$R34)*(VLOOKUP($L34,$L$9:$AB$24,Z$6,FALSE))))))</f>
        <v>7.9791869983167469</v>
      </c>
      <c r="AA34" s="321">
        <f t="shared" ca="1" si="24"/>
        <v>97.132114353811133</v>
      </c>
      <c r="AB34" s="321">
        <f t="shared" ca="1" si="16"/>
        <v>7.7705691483048911</v>
      </c>
      <c r="AC34" s="321">
        <f t="shared" ca="1" si="25"/>
        <v>104.9</v>
      </c>
      <c r="AD34" s="214">
        <f>VLOOKUP(D34,InputSheet!B175:O189,14,FALSE)</f>
        <v>2040</v>
      </c>
      <c r="AE34" s="336">
        <f t="shared" ca="1" si="17"/>
        <v>213996</v>
      </c>
      <c r="AF34" s="1036">
        <f t="shared" ca="1" si="26"/>
        <v>1258.8000000000002</v>
      </c>
      <c r="AG34" s="323"/>
      <c r="AH34" s="323"/>
      <c r="AI34" s="323">
        <f t="shared" ca="1" si="27"/>
        <v>198149.51328177471</v>
      </c>
      <c r="AJ34" s="323">
        <f t="shared" ca="1" si="28"/>
        <v>213996</v>
      </c>
      <c r="AK34" s="323">
        <f t="shared" ca="1" si="29"/>
        <v>15846.486718225293</v>
      </c>
      <c r="AL34" s="20">
        <f t="shared" ca="1" si="30"/>
        <v>0.08</v>
      </c>
      <c r="AM34" s="323"/>
      <c r="AN34" s="323"/>
      <c r="AO34" s="323"/>
      <c r="AP34" s="323">
        <f t="shared" si="31"/>
        <v>2265.8000000000002</v>
      </c>
      <c r="AQ34" s="323"/>
      <c r="AR34" s="323"/>
      <c r="AS34" s="323"/>
      <c r="AT34" s="323"/>
      <c r="AU34" s="60"/>
      <c r="AV34" s="324"/>
      <c r="AW34" s="325"/>
      <c r="AZ34" s="251" t="str">
        <f t="shared" ca="1" si="32"/>
        <v>1</v>
      </c>
      <c r="BA34" s="251" t="str">
        <f t="shared" ca="1" si="33"/>
        <v>1</v>
      </c>
    </row>
    <row r="35" spans="4:53">
      <c r="D35" s="8">
        <f t="shared" si="34"/>
        <v>4</v>
      </c>
      <c r="E35" s="319" t="str">
        <f t="shared" si="8"/>
        <v>Functional Services Administrator</v>
      </c>
      <c r="F35" s="8"/>
      <c r="G35" s="363" t="str">
        <f>+InputSheet!E176</f>
        <v>ManTech</v>
      </c>
      <c r="H35" s="8"/>
      <c r="I35" s="320">
        <f t="shared" si="9"/>
        <v>0</v>
      </c>
      <c r="J35" s="198" t="str">
        <f t="shared" si="18"/>
        <v>ManTech40Govt</v>
      </c>
      <c r="K35" s="198"/>
      <c r="L35" s="363" t="s">
        <v>623</v>
      </c>
      <c r="M35" s="321">
        <f>IF(G35="ManTech",(VLOOKUP($D35,DL,6,FALSE)),(INDEX('Sub Rates'!$F$9:$IK$48,MATCH(($E35&amp;$L35),'Sub Rates'!$E$9:$E$48,0),MATCH(($E$8&amp;$G35),'Sub Rates'!$F$8:$IK$8,0))))</f>
        <v>33.81</v>
      </c>
      <c r="N35" s="321">
        <f t="shared" ca="1" si="10"/>
        <v>36.82</v>
      </c>
      <c r="O35" s="321">
        <f t="shared" ca="1" si="19"/>
        <v>12.886999999999999</v>
      </c>
      <c r="P35" s="321">
        <f t="shared" ca="1" si="19"/>
        <v>12.886999999999999</v>
      </c>
      <c r="Q35" s="321">
        <f t="shared" ca="1" si="20"/>
        <v>19.554365600000001</v>
      </c>
      <c r="R35" s="321">
        <f t="shared" ca="1" si="21"/>
        <v>1.8319085528800001</v>
      </c>
      <c r="S35" s="321">
        <f t="shared" ca="1" si="11"/>
        <v>0.48771241830065359</v>
      </c>
      <c r="T35" s="321">
        <f t="shared" ca="1" si="12"/>
        <v>0.12941960784313725</v>
      </c>
      <c r="U35" s="321">
        <f t="shared" si="13"/>
        <v>0</v>
      </c>
      <c r="V35" s="321">
        <f>$V$10/AD35</f>
        <v>2.4509803921568629</v>
      </c>
      <c r="W35" s="321">
        <f>$W$10/AD35</f>
        <v>0.29427450980392161</v>
      </c>
      <c r="X35" s="321">
        <f t="shared" ca="1" si="14"/>
        <v>0.69957999999999998</v>
      </c>
      <c r="Y35" s="321">
        <f t="shared" si="15"/>
        <v>1.1106862745098041</v>
      </c>
      <c r="Z35" s="321">
        <f ca="1">IF($G35="ManTech",(SUM($N35:$Y35)*(VLOOKUP($L35,$L$9:$AB$24,Z$6,FALSE))),(IF(R35=0,((SUM(N35,#REF!))*(VLOOKUP($L35,$L$9:$AB$24,Z$6,FALSE))),(SUM($R35:$R35)*(VLOOKUP($L35,$L$9:$AB$24,Z$6,FALSE))))))</f>
        <v>7.9791869983167469</v>
      </c>
      <c r="AA35" s="321">
        <f t="shared" ca="1" si="24"/>
        <v>97.132114353811133</v>
      </c>
      <c r="AB35" s="321">
        <f t="shared" ca="1" si="16"/>
        <v>7.7705691483048911</v>
      </c>
      <c r="AC35" s="321">
        <f t="shared" ca="1" si="25"/>
        <v>104.9</v>
      </c>
      <c r="AD35" s="214">
        <f>VLOOKUP(D35,InputSheet!B176:O190,14,FALSE)</f>
        <v>2040</v>
      </c>
      <c r="AE35" s="336">
        <f t="shared" ca="1" si="17"/>
        <v>213996</v>
      </c>
      <c r="AF35" s="1036">
        <f t="shared" ca="1" si="26"/>
        <v>1258.8000000000002</v>
      </c>
      <c r="AG35" s="323"/>
      <c r="AH35" s="323"/>
      <c r="AI35" s="323">
        <f t="shared" ca="1" si="27"/>
        <v>198149.51328177471</v>
      </c>
      <c r="AJ35" s="323">
        <f t="shared" ca="1" si="28"/>
        <v>213996</v>
      </c>
      <c r="AK35" s="323">
        <f t="shared" ca="1" si="29"/>
        <v>15846.486718225293</v>
      </c>
      <c r="AL35" s="20">
        <f t="shared" ca="1" si="30"/>
        <v>0.08</v>
      </c>
      <c r="AM35" s="323"/>
      <c r="AN35" s="323"/>
      <c r="AO35" s="323"/>
      <c r="AP35" s="323">
        <f t="shared" si="31"/>
        <v>2265.8000000000002</v>
      </c>
      <c r="AQ35" s="323"/>
      <c r="AR35" s="323"/>
      <c r="AS35" s="323"/>
      <c r="AT35" s="323"/>
      <c r="AU35" s="60"/>
      <c r="AV35" s="324"/>
      <c r="AW35" s="325"/>
      <c r="AZ35" s="251" t="str">
        <f t="shared" ca="1" si="32"/>
        <v>1</v>
      </c>
      <c r="BA35" s="251" t="str">
        <f t="shared" ca="1" si="33"/>
        <v>1</v>
      </c>
    </row>
    <row r="36" spans="4:53">
      <c r="D36" s="8">
        <f t="shared" si="34"/>
        <v>5</v>
      </c>
      <c r="E36" s="319" t="str">
        <f t="shared" si="8"/>
        <v>Service Desk</v>
      </c>
      <c r="F36" s="8"/>
      <c r="G36" s="363" t="str">
        <f>+InputSheet!E177</f>
        <v>ManTech</v>
      </c>
      <c r="H36" s="8"/>
      <c r="I36" s="320">
        <f t="shared" si="9"/>
        <v>0</v>
      </c>
      <c r="J36" s="198" t="str">
        <f t="shared" si="18"/>
        <v>ManTech50Govt</v>
      </c>
      <c r="K36" s="198"/>
      <c r="L36" s="363" t="s">
        <v>623</v>
      </c>
      <c r="M36" s="321">
        <f>IF(G36="ManTech",(VLOOKUP($D36,DL,6,FALSE)),(INDEX('Sub Rates'!$F$9:$IK$48,MATCH(($E36&amp;$L36),'Sub Rates'!$E$9:$E$48,0),MATCH(($E$8&amp;$G36),'Sub Rates'!$F$8:$IK$8,0))))</f>
        <v>26</v>
      </c>
      <c r="N36" s="321">
        <f t="shared" ca="1" si="10"/>
        <v>28.32</v>
      </c>
      <c r="O36" s="321">
        <f t="shared" ca="1" si="19"/>
        <v>9.911999999999999</v>
      </c>
      <c r="P36" s="321">
        <f t="shared" ca="1" si="19"/>
        <v>9.911999999999999</v>
      </c>
      <c r="Q36" s="321">
        <f t="shared" ca="1" si="20"/>
        <v>15.040185599999999</v>
      </c>
      <c r="R36" s="321">
        <f t="shared" ca="1" si="21"/>
        <v>1.40900733888</v>
      </c>
      <c r="S36" s="321">
        <f t="shared" ca="1" si="11"/>
        <v>0.48771241830065359</v>
      </c>
      <c r="T36" s="321">
        <f t="shared" ca="1" si="12"/>
        <v>0.12941960784313725</v>
      </c>
      <c r="U36" s="321">
        <f t="shared" si="13"/>
        <v>0</v>
      </c>
      <c r="V36" s="321">
        <f t="shared" si="22"/>
        <v>2.4509803921568629</v>
      </c>
      <c r="W36" s="321">
        <f t="shared" si="23"/>
        <v>0.29427450980392161</v>
      </c>
      <c r="X36" s="321">
        <f t="shared" ca="1" si="14"/>
        <v>0.53808</v>
      </c>
      <c r="Y36" s="321">
        <f t="shared" si="15"/>
        <v>1.1106862745098041</v>
      </c>
      <c r="Z36" s="321">
        <f ca="1">IF($G36="ManTech",(SUM($N36:$Y36)*(VLOOKUP($L36,$L$9:$AB$24,Z$6,FALSE))),(IF(R36=0,((SUM(N36,#REF!))*(VLOOKUP($L36,$L$9:$AB$24,Z$6,FALSE))),(SUM($R36:$R36)*(VLOOKUP($L36,$L$9:$AB$24,Z$6,FALSE))))))</f>
        <v>6.2295889796637463</v>
      </c>
      <c r="AA36" s="321">
        <f t="shared" ca="1" si="24"/>
        <v>75.83393512115812</v>
      </c>
      <c r="AB36" s="321">
        <f t="shared" ca="1" si="16"/>
        <v>6.06671480969265</v>
      </c>
      <c r="AC36" s="321">
        <f t="shared" ca="1" si="25"/>
        <v>81.900000000000006</v>
      </c>
      <c r="AD36" s="214">
        <f>VLOOKUP(D36,InputSheet!B177:O191,14,FALSE)</f>
        <v>2040</v>
      </c>
      <c r="AE36" s="336">
        <f t="shared" ca="1" si="17"/>
        <v>167076</v>
      </c>
      <c r="AF36" s="1036">
        <f t="shared" ca="1" si="26"/>
        <v>982.80000000000007</v>
      </c>
      <c r="AG36" s="323"/>
      <c r="AH36" s="323"/>
      <c r="AI36" s="323">
        <f t="shared" ca="1" si="27"/>
        <v>154701.22764716257</v>
      </c>
      <c r="AJ36" s="323">
        <f t="shared" ca="1" si="28"/>
        <v>167076</v>
      </c>
      <c r="AK36" s="323">
        <f t="shared" ca="1" si="29"/>
        <v>12374.772352837434</v>
      </c>
      <c r="AL36" s="20">
        <f t="shared" ca="1" si="30"/>
        <v>0.08</v>
      </c>
      <c r="AM36" s="323"/>
      <c r="AN36" s="323"/>
      <c r="AO36" s="323"/>
      <c r="AP36" s="323">
        <f t="shared" si="31"/>
        <v>2265.8000000000002</v>
      </c>
      <c r="AQ36" s="323"/>
      <c r="AR36" s="323"/>
      <c r="AS36" s="323"/>
      <c r="AT36" s="323"/>
      <c r="AU36" s="60"/>
      <c r="AV36" s="324"/>
      <c r="AW36" s="325"/>
      <c r="AZ36" s="251" t="str">
        <f t="shared" ca="1" si="32"/>
        <v>1</v>
      </c>
      <c r="BA36" s="251" t="str">
        <f t="shared" ca="1" si="33"/>
        <v>1</v>
      </c>
    </row>
    <row r="37" spans="4:53">
      <c r="D37" s="8">
        <f t="shared" si="34"/>
        <v>6</v>
      </c>
      <c r="E37" s="319" t="str">
        <f t="shared" si="8"/>
        <v>Service Desk</v>
      </c>
      <c r="F37" s="8"/>
      <c r="G37" s="363" t="str">
        <f>+InputSheet!E178</f>
        <v>ManTech</v>
      </c>
      <c r="H37" s="8"/>
      <c r="I37" s="320">
        <f t="shared" si="9"/>
        <v>0</v>
      </c>
      <c r="J37" s="198" t="str">
        <f t="shared" si="18"/>
        <v>ManTech60Govt</v>
      </c>
      <c r="K37" s="198"/>
      <c r="L37" s="363" t="s">
        <v>623</v>
      </c>
      <c r="M37" s="321">
        <f>IF(G37="ManTech",(VLOOKUP($D37,DL,6,FALSE)),(INDEX('Sub Rates'!$F$9:$IK$48,MATCH(($E37&amp;$L37),'Sub Rates'!$E$9:$E$48,0),MATCH(($E$8&amp;$G37),'Sub Rates'!$F$8:$IK$8,0))))</f>
        <v>26</v>
      </c>
      <c r="N37" s="321">
        <f t="shared" ca="1" si="10"/>
        <v>28.32</v>
      </c>
      <c r="O37" s="321">
        <f t="shared" ca="1" si="19"/>
        <v>9.911999999999999</v>
      </c>
      <c r="P37" s="321">
        <f t="shared" ca="1" si="19"/>
        <v>9.911999999999999</v>
      </c>
      <c r="Q37" s="321">
        <f t="shared" ca="1" si="20"/>
        <v>15.040185599999999</v>
      </c>
      <c r="R37" s="321">
        <f t="shared" ca="1" si="21"/>
        <v>1.40900733888</v>
      </c>
      <c r="S37" s="321">
        <f t="shared" ca="1" si="11"/>
        <v>0.48771241830065359</v>
      </c>
      <c r="T37" s="321">
        <f t="shared" ca="1" si="12"/>
        <v>0.12941960784313725</v>
      </c>
      <c r="U37" s="321">
        <f t="shared" si="13"/>
        <v>0</v>
      </c>
      <c r="V37" s="321">
        <f t="shared" si="22"/>
        <v>2.4509803921568629</v>
      </c>
      <c r="W37" s="321">
        <f t="shared" si="23"/>
        <v>0.29427450980392161</v>
      </c>
      <c r="X37" s="321">
        <f t="shared" ca="1" si="14"/>
        <v>0.53808</v>
      </c>
      <c r="Y37" s="321">
        <f t="shared" si="15"/>
        <v>1.1106862745098041</v>
      </c>
      <c r="Z37" s="321">
        <f ca="1">IF($G37="ManTech",(SUM($N37:$Y37)*(VLOOKUP($L37,$L$9:$AB$24,Z$6,FALSE))),(IF(R37=0,((SUM(N37,#REF!))*(VLOOKUP($L37,$L$9:$AB$24,Z$6,FALSE))),(SUM($R37:$R37)*(VLOOKUP($L37,$L$9:$AB$24,Z$6,FALSE))))))</f>
        <v>6.2295889796637463</v>
      </c>
      <c r="AA37" s="321">
        <f t="shared" ca="1" si="24"/>
        <v>75.83393512115812</v>
      </c>
      <c r="AB37" s="321">
        <f t="shared" ca="1" si="16"/>
        <v>6.06671480969265</v>
      </c>
      <c r="AC37" s="321">
        <f ca="1">ROUND(SUM(AA37:AB37),2)</f>
        <v>81.900000000000006</v>
      </c>
      <c r="AD37" s="214">
        <f>VLOOKUP(D37,InputSheet!B178:O192,14,FALSE)</f>
        <v>2040</v>
      </c>
      <c r="AE37" s="336">
        <f t="shared" ca="1" si="17"/>
        <v>167076</v>
      </c>
      <c r="AF37" s="1036">
        <f t="shared" ca="1" si="26"/>
        <v>982.80000000000007</v>
      </c>
      <c r="AG37" s="323"/>
      <c r="AH37" s="323"/>
      <c r="AI37" s="323">
        <f t="shared" ca="1" si="27"/>
        <v>154701.22764716257</v>
      </c>
      <c r="AJ37" s="323">
        <f t="shared" ca="1" si="28"/>
        <v>167076</v>
      </c>
      <c r="AK37" s="323">
        <f t="shared" ca="1" si="29"/>
        <v>12374.772352837434</v>
      </c>
      <c r="AL37" s="20">
        <f t="shared" ca="1" si="30"/>
        <v>0.08</v>
      </c>
      <c r="AM37" s="323"/>
      <c r="AN37" s="323"/>
      <c r="AO37" s="323"/>
      <c r="AP37" s="323">
        <f t="shared" si="31"/>
        <v>2265.8000000000002</v>
      </c>
      <c r="AQ37" s="323"/>
      <c r="AR37" s="323"/>
      <c r="AS37" s="323"/>
      <c r="AT37" s="323"/>
      <c r="AU37" s="60"/>
      <c r="AV37" s="324"/>
      <c r="AW37" s="325"/>
      <c r="AZ37" s="251" t="str">
        <f t="shared" ca="1" si="32"/>
        <v>1</v>
      </c>
      <c r="BA37" s="251" t="str">
        <f t="shared" ca="1" si="33"/>
        <v>1</v>
      </c>
    </row>
    <row r="38" spans="4:53">
      <c r="D38" s="8">
        <f t="shared" si="34"/>
        <v>7</v>
      </c>
      <c r="E38" s="319" t="str">
        <f t="shared" si="8"/>
        <v>CIS Training Supervisor</v>
      </c>
      <c r="F38" s="8"/>
      <c r="G38" s="363" t="str">
        <f>+InputSheet!E179</f>
        <v>Segovia, Inc.</v>
      </c>
      <c r="H38" s="8"/>
      <c r="I38" s="320">
        <f t="shared" si="9"/>
        <v>0</v>
      </c>
      <c r="J38" s="198" t="str">
        <f t="shared" si="18"/>
        <v>Segovia, Inc.70Govt_Sub</v>
      </c>
      <c r="K38" s="198"/>
      <c r="L38" s="363" t="s">
        <v>684</v>
      </c>
      <c r="M38" s="321">
        <f>IF(G38="ManTech",(VLOOKUP($D38,DL,6,FALSE)),(INDEX('Sub Rates'!$F$9:$IK$48,MATCH(($E38&amp;$L38),'Sub Rates'!$E$9:$E$48,0),MATCH(($E$8&amp;$G38),'Sub Rates'!$F$8:$IK$8,0))))</f>
        <v>81</v>
      </c>
      <c r="N38" s="321">
        <f t="shared" ca="1" si="10"/>
        <v>81</v>
      </c>
      <c r="O38" s="321">
        <f t="shared" ca="1" si="19"/>
        <v>0</v>
      </c>
      <c r="P38" s="321">
        <f t="shared" ca="1" si="19"/>
        <v>0</v>
      </c>
      <c r="Q38" s="321">
        <f t="shared" ca="1" si="20"/>
        <v>0</v>
      </c>
      <c r="R38" s="321">
        <f t="shared" ca="1" si="21"/>
        <v>2.3327999999999998</v>
      </c>
      <c r="S38" s="321"/>
      <c r="T38" s="321"/>
      <c r="U38" s="321">
        <v>0</v>
      </c>
      <c r="V38" s="321">
        <v>0</v>
      </c>
      <c r="W38" s="321">
        <v>0</v>
      </c>
      <c r="X38" s="321">
        <v>0</v>
      </c>
      <c r="Y38" s="321">
        <v>0</v>
      </c>
      <c r="Z38" s="321">
        <f ca="1">IF($G38="ManTech",(SUM($N38:$Y38)*(VLOOKUP($L38,$L$9:$AB$24,Z$6,FALSE))),(IF(R38=0,((SUM(N38,#REF!))*(VLOOKUP($L38,$L$9:$AB$24,Z$6,FALSE))),(SUM($R38:$R38)*(VLOOKUP($L38,$L$9:$AB$24,Z$6,FALSE))))))</f>
        <v>0.20878559999999996</v>
      </c>
      <c r="AA38" s="321">
        <f t="shared" ca="1" si="24"/>
        <v>83.541585600000005</v>
      </c>
      <c r="AB38" s="321">
        <f t="shared" ca="1" si="16"/>
        <v>6.6833268480000001</v>
      </c>
      <c r="AC38" s="321">
        <f t="shared" ca="1" si="25"/>
        <v>90.22</v>
      </c>
      <c r="AD38" s="214">
        <f>VLOOKUP(D38,InputSheet!B179:O193,14,FALSE)</f>
        <v>2040</v>
      </c>
      <c r="AE38" s="336">
        <f t="shared" ca="1" si="17"/>
        <v>184048.8</v>
      </c>
      <c r="AF38" s="1036">
        <f t="shared" ca="1" si="26"/>
        <v>1082.6399999999999</v>
      </c>
      <c r="AG38" s="323"/>
      <c r="AH38" s="323"/>
      <c r="AI38" s="323">
        <f t="shared" ca="1" si="27"/>
        <v>170424.83462400001</v>
      </c>
      <c r="AJ38" s="323">
        <f t="shared" ca="1" si="28"/>
        <v>184048.8</v>
      </c>
      <c r="AK38" s="323">
        <f t="shared" ca="1" si="29"/>
        <v>13623.965375999978</v>
      </c>
      <c r="AL38" s="20">
        <f t="shared" ca="1" si="30"/>
        <v>0.08</v>
      </c>
      <c r="AM38" s="323"/>
      <c r="AN38" s="323"/>
      <c r="AO38" s="323"/>
      <c r="AP38" s="323">
        <f t="shared" si="31"/>
        <v>0</v>
      </c>
      <c r="AQ38" s="323"/>
      <c r="AR38" s="323"/>
      <c r="AS38" s="323"/>
      <c r="AT38" s="323"/>
      <c r="AU38" s="60"/>
      <c r="AV38" s="324"/>
      <c r="AW38" s="325"/>
      <c r="AZ38" s="251" t="str">
        <f t="shared" ca="1" si="32"/>
        <v>1</v>
      </c>
      <c r="BA38" s="251" t="str">
        <f t="shared" ca="1" si="33"/>
        <v>1</v>
      </c>
    </row>
    <row r="39" spans="4:53">
      <c r="D39" s="8">
        <f t="shared" si="34"/>
        <v>8</v>
      </c>
      <c r="E39" s="319" t="str">
        <f t="shared" si="8"/>
        <v>CIS Trainer</v>
      </c>
      <c r="F39" s="8"/>
      <c r="G39" s="363" t="str">
        <f>+InputSheet!E180</f>
        <v>Segovia, Inc.</v>
      </c>
      <c r="H39" s="8"/>
      <c r="I39" s="320">
        <f t="shared" si="9"/>
        <v>0</v>
      </c>
      <c r="J39" s="198" t="str">
        <f t="shared" si="18"/>
        <v>Segovia, Inc.80Govt_Sub</v>
      </c>
      <c r="K39" s="198"/>
      <c r="L39" s="363" t="s">
        <v>684</v>
      </c>
      <c r="M39" s="321">
        <f>IF(G39="ManTech",(VLOOKUP($D39,DL,6,FALSE)),(INDEX('Sub Rates'!$F$9:$IK$48,MATCH(($E39&amp;$L39),'Sub Rates'!$E$9:$E$48,0),MATCH(($E$8&amp;$G39),'Sub Rates'!$F$8:$IK$8,0))))</f>
        <v>69.083333333333329</v>
      </c>
      <c r="N39" s="321">
        <f t="shared" ca="1" si="10"/>
        <v>69.08</v>
      </c>
      <c r="O39" s="321">
        <f t="shared" ca="1" si="19"/>
        <v>0</v>
      </c>
      <c r="P39" s="321">
        <f t="shared" ca="1" si="19"/>
        <v>0</v>
      </c>
      <c r="Q39" s="321">
        <f t="shared" ca="1" si="20"/>
        <v>0</v>
      </c>
      <c r="R39" s="321">
        <f t="shared" ca="1" si="21"/>
        <v>1.9895039999999999</v>
      </c>
      <c r="S39" s="321"/>
      <c r="T39" s="321"/>
      <c r="U39" s="321">
        <v>0</v>
      </c>
      <c r="V39" s="321">
        <v>0</v>
      </c>
      <c r="W39" s="321">
        <v>0</v>
      </c>
      <c r="X39" s="321">
        <v>0</v>
      </c>
      <c r="Y39" s="321">
        <v>0</v>
      </c>
      <c r="Z39" s="321">
        <f ca="1">IF($G39="ManTech",(SUM($N39:$Y39)*(VLOOKUP($L39,$L$9:$AB$24,Z$6,FALSE))),(IF(R39=0,((SUM(N39,#REF!))*(VLOOKUP($L39,$L$9:$AB$24,Z$6,FALSE))),(SUM($R39:$R39)*(VLOOKUP($L39,$L$9:$AB$24,Z$6,FALSE))))))</f>
        <v>0.17806060799999998</v>
      </c>
      <c r="AA39" s="321">
        <f t="shared" ca="1" si="24"/>
        <v>71.24756460799999</v>
      </c>
      <c r="AB39" s="321">
        <f t="shared" ca="1" si="16"/>
        <v>5.6998051686399993</v>
      </c>
      <c r="AC39" s="321">
        <f t="shared" ca="1" si="25"/>
        <v>76.95</v>
      </c>
      <c r="AD39" s="214">
        <f>VLOOKUP(D39,InputSheet!B180:O194,14,FALSE)</f>
        <v>2040</v>
      </c>
      <c r="AE39" s="336">
        <f t="shared" ca="1" si="17"/>
        <v>156978</v>
      </c>
      <c r="AF39" s="1036">
        <f t="shared" ca="1" si="26"/>
        <v>923.40000000000009</v>
      </c>
      <c r="AG39" s="323"/>
      <c r="AH39" s="323"/>
      <c r="AI39" s="323">
        <f t="shared" ca="1" si="27"/>
        <v>145345.03180031999</v>
      </c>
      <c r="AJ39" s="323">
        <f t="shared" ca="1" si="28"/>
        <v>156978</v>
      </c>
      <c r="AK39" s="323">
        <f t="shared" ca="1" si="29"/>
        <v>11632.968199680006</v>
      </c>
      <c r="AL39" s="20">
        <f t="shared" ca="1" si="30"/>
        <v>0.08</v>
      </c>
      <c r="AM39" s="323"/>
      <c r="AN39" s="323"/>
      <c r="AO39" s="323"/>
      <c r="AP39" s="323">
        <f t="shared" si="31"/>
        <v>0</v>
      </c>
      <c r="AQ39" s="323"/>
      <c r="AR39" s="323"/>
      <c r="AS39" s="323"/>
      <c r="AT39" s="323"/>
      <c r="AU39" s="60"/>
      <c r="AV39" s="324"/>
      <c r="AW39" s="325"/>
      <c r="AZ39" s="251" t="str">
        <f t="shared" ca="1" si="32"/>
        <v>1</v>
      </c>
      <c r="BA39" s="251" t="str">
        <f t="shared" ca="1" si="33"/>
        <v>1</v>
      </c>
    </row>
    <row r="40" spans="4:53">
      <c r="D40" s="8">
        <f t="shared" si="34"/>
        <v>9</v>
      </c>
      <c r="E40" s="319" t="str">
        <f t="shared" si="8"/>
        <v>Radio Technician</v>
      </c>
      <c r="F40" s="8"/>
      <c r="G40" s="363" t="str">
        <f>+InputSheet!E181</f>
        <v>Segovia, Inc.</v>
      </c>
      <c r="H40" s="8"/>
      <c r="I40" s="320">
        <f t="shared" si="9"/>
        <v>0</v>
      </c>
      <c r="J40" s="198" t="str">
        <f t="shared" si="18"/>
        <v>Segovia, Inc.90Govt_Sub</v>
      </c>
      <c r="K40" s="198"/>
      <c r="L40" s="363" t="s">
        <v>684</v>
      </c>
      <c r="M40" s="321">
        <f>IF(G40="ManTech",(VLOOKUP($D40,DL,6,FALSE)),(INDEX('Sub Rates'!$F$9:$IK$48,MATCH(($E40&amp;$L40),'Sub Rates'!$E$9:$E$48,0),MATCH(($E$8&amp;$G40),'Sub Rates'!$F$8:$IK$8,0))))</f>
        <v>60.583333333333336</v>
      </c>
      <c r="N40" s="321">
        <f t="shared" ca="1" si="10"/>
        <v>60.58</v>
      </c>
      <c r="O40" s="321">
        <f t="shared" ca="1" si="19"/>
        <v>0</v>
      </c>
      <c r="P40" s="321">
        <f t="shared" ca="1" si="19"/>
        <v>0</v>
      </c>
      <c r="Q40" s="321">
        <f t="shared" ca="1" si="20"/>
        <v>0</v>
      </c>
      <c r="R40" s="321">
        <f t="shared" ca="1" si="21"/>
        <v>1.7447039999999998</v>
      </c>
      <c r="S40" s="321"/>
      <c r="T40" s="321"/>
      <c r="U40" s="321">
        <v>0</v>
      </c>
      <c r="V40" s="321">
        <v>0</v>
      </c>
      <c r="W40" s="321">
        <v>0</v>
      </c>
      <c r="X40" s="321">
        <v>0</v>
      </c>
      <c r="Y40" s="321">
        <v>0</v>
      </c>
      <c r="Z40" s="321">
        <f ca="1">IF($G40="ManTech",(SUM($N40:$Y40)*(VLOOKUP($L40,$L$9:$AB$24,Z$6,FALSE))),(IF(R40=0,((SUM(N40,#REF!))*(VLOOKUP($L40,$L$9:$AB$24,Z$6,FALSE))),(SUM($R40:$R40)*(VLOOKUP($L40,$L$9:$AB$24,Z$6,FALSE))))))</f>
        <v>0.15615100799999998</v>
      </c>
      <c r="AA40" s="321">
        <f t="shared" ca="1" si="24"/>
        <v>62.480855007999999</v>
      </c>
      <c r="AB40" s="321">
        <f t="shared" ca="1" si="16"/>
        <v>4.9984684006400002</v>
      </c>
      <c r="AC40" s="321">
        <f t="shared" ca="1" si="25"/>
        <v>67.48</v>
      </c>
      <c r="AD40" s="214">
        <f>VLOOKUP(D40,InputSheet!B181:O195,14,FALSE)</f>
        <v>2040</v>
      </c>
      <c r="AE40" s="336">
        <f t="shared" ca="1" si="17"/>
        <v>137659.20000000001</v>
      </c>
      <c r="AF40" s="1036">
        <f t="shared" ca="1" si="26"/>
        <v>809.76</v>
      </c>
      <c r="AG40" s="323"/>
      <c r="AH40" s="323"/>
      <c r="AI40" s="323">
        <f t="shared" ca="1" si="27"/>
        <v>127460.94421632</v>
      </c>
      <c r="AJ40" s="323">
        <f t="shared" ca="1" si="28"/>
        <v>137659.20000000001</v>
      </c>
      <c r="AK40" s="323">
        <f t="shared" ca="1" si="29"/>
        <v>10198.255783680012</v>
      </c>
      <c r="AL40" s="20">
        <f t="shared" ca="1" si="30"/>
        <v>0.08</v>
      </c>
      <c r="AM40" s="323"/>
      <c r="AN40" s="323"/>
      <c r="AO40" s="323"/>
      <c r="AP40" s="323">
        <f t="shared" si="31"/>
        <v>0</v>
      </c>
      <c r="AQ40" s="323"/>
      <c r="AR40" s="323"/>
      <c r="AS40" s="323"/>
      <c r="AT40" s="323"/>
      <c r="AU40" s="60"/>
      <c r="AV40" s="324"/>
      <c r="AW40" s="325"/>
      <c r="AZ40" s="251" t="str">
        <f t="shared" ca="1" si="32"/>
        <v>1</v>
      </c>
      <c r="BA40" s="251" t="str">
        <f t="shared" ca="1" si="33"/>
        <v>1</v>
      </c>
    </row>
    <row r="41" spans="4:53">
      <c r="D41" s="8">
        <f t="shared" si="34"/>
        <v>10</v>
      </c>
      <c r="E41" s="319" t="str">
        <f t="shared" si="8"/>
        <v>Radio Technician</v>
      </c>
      <c r="F41" s="8"/>
      <c r="G41" s="363" t="str">
        <f>+InputSheet!E182</f>
        <v>Segovia, Inc.</v>
      </c>
      <c r="H41" s="8"/>
      <c r="I41" s="320">
        <f t="shared" si="9"/>
        <v>0</v>
      </c>
      <c r="J41" s="198" t="str">
        <f t="shared" si="18"/>
        <v>Segovia, Inc.100Govt_Sub</v>
      </c>
      <c r="K41" s="198"/>
      <c r="L41" s="363" t="s">
        <v>684</v>
      </c>
      <c r="M41" s="321">
        <f>IF(G41="ManTech",(VLOOKUP($D41,DL,6,FALSE)),(INDEX('Sub Rates'!$F$9:$IK$48,MATCH(($E41&amp;$L41),'Sub Rates'!$E$9:$E$48,0),MATCH(($E$8&amp;$G41),'Sub Rates'!$F$8:$IK$8,0))))</f>
        <v>60.583333333333336</v>
      </c>
      <c r="N41" s="321">
        <f t="shared" ca="1" si="10"/>
        <v>60.58</v>
      </c>
      <c r="O41" s="321">
        <f t="shared" ca="1" si="19"/>
        <v>0</v>
      </c>
      <c r="P41" s="321">
        <f t="shared" ca="1" si="19"/>
        <v>0</v>
      </c>
      <c r="Q41" s="321">
        <f t="shared" ca="1" si="20"/>
        <v>0</v>
      </c>
      <c r="R41" s="321">
        <f t="shared" ca="1" si="21"/>
        <v>1.7447039999999998</v>
      </c>
      <c r="S41" s="321"/>
      <c r="T41" s="321"/>
      <c r="U41" s="321">
        <v>0</v>
      </c>
      <c r="V41" s="321">
        <v>0</v>
      </c>
      <c r="W41" s="321">
        <v>0</v>
      </c>
      <c r="X41" s="321">
        <v>0</v>
      </c>
      <c r="Y41" s="321">
        <v>0</v>
      </c>
      <c r="Z41" s="321">
        <f ca="1">IF($G41="ManTech",(SUM($N41:$Y41)*(VLOOKUP($L41,$L$9:$AB$24,Z$6,FALSE))),(IF(R41=0,((SUM(N41,#REF!))*(VLOOKUP($L41,$L$9:$AB$24,Z$6,FALSE))),(SUM($R41:$R41)*(VLOOKUP($L41,$L$9:$AB$24,Z$6,FALSE))))))</f>
        <v>0.15615100799999998</v>
      </c>
      <c r="AA41" s="321">
        <f t="shared" ca="1" si="24"/>
        <v>62.480855007999999</v>
      </c>
      <c r="AB41" s="321">
        <f t="shared" ca="1" si="16"/>
        <v>4.9984684006400002</v>
      </c>
      <c r="AC41" s="321">
        <f t="shared" ca="1" si="25"/>
        <v>67.48</v>
      </c>
      <c r="AD41" s="214">
        <f>VLOOKUP(D41,InputSheet!B182:O196,14,FALSE)</f>
        <v>2040</v>
      </c>
      <c r="AE41" s="336">
        <f t="shared" ca="1" si="17"/>
        <v>137659.20000000001</v>
      </c>
      <c r="AF41" s="1036">
        <f t="shared" ca="1" si="26"/>
        <v>809.76</v>
      </c>
      <c r="AG41" s="323"/>
      <c r="AH41" s="323"/>
      <c r="AI41" s="323">
        <f t="shared" ca="1" si="27"/>
        <v>127460.94421632</v>
      </c>
      <c r="AJ41" s="323">
        <f t="shared" ca="1" si="28"/>
        <v>137659.20000000001</v>
      </c>
      <c r="AK41" s="323">
        <f t="shared" ca="1" si="29"/>
        <v>10198.255783680012</v>
      </c>
      <c r="AL41" s="20">
        <f t="shared" ca="1" si="30"/>
        <v>0.08</v>
      </c>
      <c r="AM41" s="323"/>
      <c r="AN41" s="323"/>
      <c r="AO41" s="323"/>
      <c r="AP41" s="323">
        <f t="shared" si="31"/>
        <v>0</v>
      </c>
      <c r="AQ41" s="323"/>
      <c r="AR41" s="323"/>
      <c r="AS41" s="323"/>
      <c r="AT41" s="323"/>
      <c r="AU41" s="60"/>
      <c r="AV41" s="324"/>
      <c r="AW41" s="325"/>
      <c r="AZ41" s="251" t="str">
        <f t="shared" ca="1" si="32"/>
        <v>1</v>
      </c>
      <c r="BA41" s="251" t="str">
        <f t="shared" ca="1" si="33"/>
        <v>1</v>
      </c>
    </row>
    <row r="42" spans="4:53">
      <c r="D42" s="8">
        <f t="shared" si="34"/>
        <v>11</v>
      </c>
      <c r="E42" s="319" t="str">
        <f t="shared" si="8"/>
        <v>Network Administrator</v>
      </c>
      <c r="F42" s="8"/>
      <c r="G42" s="363" t="str">
        <f>+InputSheet!E183</f>
        <v>ManTech</v>
      </c>
      <c r="H42" s="8"/>
      <c r="I42" s="320">
        <f t="shared" si="9"/>
        <v>0</v>
      </c>
      <c r="J42" s="198" t="str">
        <f t="shared" si="18"/>
        <v>ManTech110Govt</v>
      </c>
      <c r="K42" s="198"/>
      <c r="L42" s="363" t="s">
        <v>623</v>
      </c>
      <c r="M42" s="321">
        <f>IF(G42="ManTech",(VLOOKUP($D42,DL,6,FALSE)),(INDEX('Sub Rates'!$F$9:$IK$48,MATCH(($E42&amp;$L42),'Sub Rates'!$E$9:$E$48,0),MATCH(($E$8&amp;$G42),'Sub Rates'!$F$8:$IK$8,0))))</f>
        <v>27.5</v>
      </c>
      <c r="N42" s="321">
        <f t="shared" ca="1" si="10"/>
        <v>29.95</v>
      </c>
      <c r="O42" s="321">
        <f t="shared" ca="1" si="19"/>
        <v>10.4825</v>
      </c>
      <c r="P42" s="321">
        <f t="shared" ca="1" si="19"/>
        <v>10.4825</v>
      </c>
      <c r="Q42" s="321">
        <f t="shared" ca="1" si="20"/>
        <v>15.905846</v>
      </c>
      <c r="R42" s="321">
        <f t="shared" ca="1" si="21"/>
        <v>1.4901048658</v>
      </c>
      <c r="S42" s="321">
        <f ca="1">$S$10/SUM($AD$32:$AD$46)</f>
        <v>0.48771241830065359</v>
      </c>
      <c r="T42" s="321">
        <f ca="1">$T$10/SUM($AD$32:$AD$46)</f>
        <v>0.12941960784313725</v>
      </c>
      <c r="U42" s="321">
        <f>(M42*AD42)*$U$10</f>
        <v>0</v>
      </c>
      <c r="V42" s="321">
        <f t="shared" si="22"/>
        <v>2.4509803921568629</v>
      </c>
      <c r="W42" s="321">
        <f t="shared" si="23"/>
        <v>0.29427450980392161</v>
      </c>
      <c r="X42" s="321">
        <f ca="1">N42*$X$10</f>
        <v>0.56904999999999994</v>
      </c>
      <c r="Y42" s="321">
        <f>$Y$10/AD42</f>
        <v>1.1106862745098041</v>
      </c>
      <c r="Z42" s="321">
        <f ca="1">IF($G42="ManTech",(SUM($N42:$Y42)*(VLOOKUP($L42,$L$9:$AB$24,Z$6,FALSE))),(IF(R42=0,((SUM(N42,#REF!))*(VLOOKUP($L42,$L$9:$AB$24,Z$6,FALSE))),(SUM($R42:$R42)*(VLOOKUP($L42,$L$9:$AB$24,Z$6,FALSE))))))</f>
        <v>6.5651001291230884</v>
      </c>
      <c r="AA42" s="321">
        <f t="shared" ca="1" si="24"/>
        <v>79.918174197537496</v>
      </c>
      <c r="AB42" s="321">
        <f t="shared" ca="1" si="16"/>
        <v>6.3934539358029996</v>
      </c>
      <c r="AC42" s="321">
        <f t="shared" ca="1" si="25"/>
        <v>86.31</v>
      </c>
      <c r="AD42" s="214">
        <f>VLOOKUP(D42,InputSheet!B183:O197,14,FALSE)</f>
        <v>2040</v>
      </c>
      <c r="AE42" s="336">
        <f t="shared" ca="1" si="17"/>
        <v>176072.4</v>
      </c>
      <c r="AF42" s="1036">
        <f t="shared" ca="1" si="26"/>
        <v>1035.72</v>
      </c>
      <c r="AG42" s="323"/>
      <c r="AH42" s="323"/>
      <c r="AI42" s="323">
        <f t="shared" ca="1" si="27"/>
        <v>163033.07536297649</v>
      </c>
      <c r="AJ42" s="323">
        <f t="shared" ca="1" si="28"/>
        <v>176072.4</v>
      </c>
      <c r="AK42" s="323">
        <f t="shared" ca="1" si="29"/>
        <v>13039.324637023499</v>
      </c>
      <c r="AL42" s="20">
        <f t="shared" ca="1" si="30"/>
        <v>0.08</v>
      </c>
      <c r="AM42" s="323"/>
      <c r="AN42" s="323"/>
      <c r="AO42" s="323"/>
      <c r="AP42" s="323">
        <f t="shared" si="31"/>
        <v>2265.8000000000002</v>
      </c>
      <c r="AQ42" s="323"/>
      <c r="AR42" s="323"/>
      <c r="AS42" s="323"/>
      <c r="AT42" s="323"/>
      <c r="AU42" s="60"/>
      <c r="AV42" s="324"/>
      <c r="AW42" s="325"/>
      <c r="AZ42" s="251" t="str">
        <f t="shared" ca="1" si="32"/>
        <v>1</v>
      </c>
      <c r="BA42" s="251" t="str">
        <f t="shared" ca="1" si="33"/>
        <v>1</v>
      </c>
    </row>
    <row r="43" spans="4:53">
      <c r="D43" s="8">
        <f>D42+1</f>
        <v>12</v>
      </c>
      <c r="E43" s="319" t="str">
        <f t="shared" si="8"/>
        <v>System Administrator</v>
      </c>
      <c r="F43" s="8"/>
      <c r="G43" s="363" t="str">
        <f>+InputSheet!E184</f>
        <v>ManTech</v>
      </c>
      <c r="H43" s="8"/>
      <c r="I43" s="320">
        <f t="shared" si="9"/>
        <v>0</v>
      </c>
      <c r="J43" s="198" t="str">
        <f t="shared" si="18"/>
        <v>ManTech120Govt</v>
      </c>
      <c r="K43" s="198"/>
      <c r="L43" s="363" t="s">
        <v>623</v>
      </c>
      <c r="M43" s="321">
        <f>IF(G43="ManTech",(VLOOKUP($D43,DL,6,FALSE)),(INDEX('Sub Rates'!$F$9:$IK$48,MATCH(($E43&amp;$L43),'Sub Rates'!$E$9:$E$48,0),MATCH(($E$8&amp;$G43),'Sub Rates'!$F$8:$IK$8,0))))</f>
        <v>28</v>
      </c>
      <c r="N43" s="321">
        <f t="shared" ca="1" si="10"/>
        <v>30.49</v>
      </c>
      <c r="O43" s="321">
        <f t="shared" ca="1" si="19"/>
        <v>10.671499999999998</v>
      </c>
      <c r="P43" s="321">
        <f t="shared" ca="1" si="19"/>
        <v>10.671499999999998</v>
      </c>
      <c r="Q43" s="321">
        <f t="shared" ca="1" si="20"/>
        <v>16.192629199999999</v>
      </c>
      <c r="R43" s="321">
        <f t="shared" ca="1" si="21"/>
        <v>1.5169715311599996</v>
      </c>
      <c r="S43" s="321">
        <f ca="1">$S$10/SUM($AD$32:$AD$46)</f>
        <v>0.48771241830065359</v>
      </c>
      <c r="T43" s="321">
        <f ca="1">$T$10/SUM($AD$32:$AD$46)</f>
        <v>0.12941960784313725</v>
      </c>
      <c r="U43" s="321">
        <f>(M43*AD43)*$U$10</f>
        <v>0</v>
      </c>
      <c r="V43" s="321">
        <f t="shared" si="22"/>
        <v>2.4509803921568629</v>
      </c>
      <c r="W43" s="321">
        <f t="shared" si="23"/>
        <v>0.29427450980392161</v>
      </c>
      <c r="X43" s="321">
        <f ca="1">N43*$X$10</f>
        <v>0.57930999999999999</v>
      </c>
      <c r="Y43" s="321">
        <f>$Y$10/AD43</f>
        <v>1.1106862745098041</v>
      </c>
      <c r="Z43" s="321">
        <f ca="1">IF($G43="ManTech",(SUM($N43:$Y43)*(VLOOKUP($L43,$L$9:$AB$24,Z$6,FALSE))),(IF(R43=0,((SUM(N43,#REF!))*(VLOOKUP($L43,$L$9:$AB$24,Z$6,FALSE))),(SUM($R43:$R43)*(VLOOKUP($L43,$L$9:$AB$24,Z$6,FALSE))))))</f>
        <v>6.6762510620728071</v>
      </c>
      <c r="AA43" s="321">
        <f t="shared" ca="1" si="24"/>
        <v>81.271234995847195</v>
      </c>
      <c r="AB43" s="321">
        <f t="shared" ca="1" si="16"/>
        <v>6.5016987996677758</v>
      </c>
      <c r="AC43" s="321">
        <f t="shared" ca="1" si="25"/>
        <v>87.77</v>
      </c>
      <c r="AD43" s="214">
        <f>VLOOKUP(D43,InputSheet!B184:O198,14,FALSE)</f>
        <v>2040</v>
      </c>
      <c r="AE43" s="336">
        <f t="shared" ca="1" si="17"/>
        <v>179050.8</v>
      </c>
      <c r="AF43" s="1036">
        <f t="shared" ca="1" si="26"/>
        <v>1053.24</v>
      </c>
      <c r="AG43" s="323"/>
      <c r="AH43" s="323"/>
      <c r="AI43" s="323">
        <f t="shared" ca="1" si="27"/>
        <v>165793.31939152829</v>
      </c>
      <c r="AJ43" s="323">
        <f t="shared" ca="1" si="28"/>
        <v>179050.8</v>
      </c>
      <c r="AK43" s="323">
        <f t="shared" ca="1" si="29"/>
        <v>13257.480608471698</v>
      </c>
      <c r="AL43" s="20">
        <f t="shared" ca="1" si="30"/>
        <v>0.08</v>
      </c>
      <c r="AM43" s="323"/>
      <c r="AN43" s="323"/>
      <c r="AO43" s="323"/>
      <c r="AP43" s="323">
        <f t="shared" si="31"/>
        <v>2265.8000000000002</v>
      </c>
      <c r="AQ43" s="323"/>
      <c r="AR43" s="323"/>
      <c r="AS43" s="323"/>
      <c r="AT43" s="323"/>
      <c r="AU43" s="60"/>
      <c r="AV43" s="324"/>
      <c r="AW43" s="325"/>
      <c r="AZ43" s="251" t="str">
        <f t="shared" ca="1" si="32"/>
        <v>1</v>
      </c>
      <c r="BA43" s="251" t="str">
        <f t="shared" ca="1" si="33"/>
        <v>1</v>
      </c>
    </row>
    <row r="44" spans="4:53">
      <c r="D44" s="8">
        <f>D43+1</f>
        <v>13</v>
      </c>
      <c r="E44" s="319" t="str">
        <f t="shared" si="8"/>
        <v>Configuration Manager</v>
      </c>
      <c r="F44" s="8"/>
      <c r="G44" s="363" t="str">
        <f>+InputSheet!E185</f>
        <v>ManTech</v>
      </c>
      <c r="H44" s="8"/>
      <c r="I44" s="320">
        <f t="shared" si="9"/>
        <v>0</v>
      </c>
      <c r="J44" s="198" t="str">
        <f t="shared" si="18"/>
        <v>ManTech130Govt</v>
      </c>
      <c r="K44" s="198"/>
      <c r="L44" s="363" t="s">
        <v>623</v>
      </c>
      <c r="M44" s="321">
        <f>IF(G44="ManTech",(VLOOKUP($D44,DL,6,FALSE)),(INDEX('Sub Rates'!$F$9:$IK$48,MATCH(($E44&amp;$L44),'Sub Rates'!$E$9:$E$48,0),MATCH(($E$8&amp;$G44),'Sub Rates'!$F$8:$IK$8,0))))</f>
        <v>26</v>
      </c>
      <c r="N44" s="321">
        <f t="shared" ca="1" si="10"/>
        <v>28.32</v>
      </c>
      <c r="O44" s="321">
        <f t="shared" ca="1" si="19"/>
        <v>9.911999999999999</v>
      </c>
      <c r="P44" s="321">
        <f t="shared" ca="1" si="19"/>
        <v>9.911999999999999</v>
      </c>
      <c r="Q44" s="321">
        <f t="shared" ca="1" si="20"/>
        <v>15.040185599999999</v>
      </c>
      <c r="R44" s="321">
        <f t="shared" ca="1" si="21"/>
        <v>1.40900733888</v>
      </c>
      <c r="S44" s="321">
        <f ca="1">$S$10/SUM($AD$32:$AD$46)</f>
        <v>0.48771241830065359</v>
      </c>
      <c r="T44" s="321">
        <f ca="1">$T$10/SUM($AD$32:$AD$46)</f>
        <v>0.12941960784313725</v>
      </c>
      <c r="U44" s="321">
        <f>(M44*AD44)*$U$10</f>
        <v>0</v>
      </c>
      <c r="V44" s="321">
        <f t="shared" si="22"/>
        <v>2.4509803921568629</v>
      </c>
      <c r="W44" s="321">
        <f t="shared" si="23"/>
        <v>0.29427450980392161</v>
      </c>
      <c r="X44" s="321">
        <f ca="1">N44*$X$10</f>
        <v>0.53808</v>
      </c>
      <c r="Y44" s="321">
        <f>$Y$10/AD44</f>
        <v>1.1106862745098041</v>
      </c>
      <c r="Z44" s="321">
        <f ca="1">IF($G44="ManTech",(SUM($N44:$Y44)*(VLOOKUP($L44,$L$9:$AB$24,Z$6,FALSE))),(IF(R44=0,((SUM(N44,#REF!))*(VLOOKUP($L44,$L$9:$AB$24,Z$6,FALSE))),(SUM($R44:$R44)*(VLOOKUP($L44,$L$9:$AB$24,Z$6,FALSE))))))</f>
        <v>6.2295889796637463</v>
      </c>
      <c r="AA44" s="321">
        <f t="shared" ca="1" si="24"/>
        <v>75.83393512115812</v>
      </c>
      <c r="AB44" s="321">
        <f t="shared" ca="1" si="16"/>
        <v>6.06671480969265</v>
      </c>
      <c r="AC44" s="321">
        <f t="shared" ca="1" si="25"/>
        <v>81.900000000000006</v>
      </c>
      <c r="AD44" s="214">
        <f>VLOOKUP(D44,InputSheet!B185:O199,14,FALSE)</f>
        <v>2040</v>
      </c>
      <c r="AE44" s="336">
        <f t="shared" ca="1" si="17"/>
        <v>167076</v>
      </c>
      <c r="AF44" s="1036">
        <f t="shared" ca="1" si="26"/>
        <v>982.80000000000007</v>
      </c>
      <c r="AG44" s="323"/>
      <c r="AH44" s="323"/>
      <c r="AI44" s="323">
        <f t="shared" ca="1" si="27"/>
        <v>154701.22764716257</v>
      </c>
      <c r="AJ44" s="323">
        <f t="shared" ca="1" si="28"/>
        <v>167076</v>
      </c>
      <c r="AK44" s="323">
        <f t="shared" ca="1" si="29"/>
        <v>12374.772352837434</v>
      </c>
      <c r="AL44" s="20">
        <f t="shared" ca="1" si="30"/>
        <v>0.08</v>
      </c>
      <c r="AM44" s="323"/>
      <c r="AN44" s="323"/>
      <c r="AO44" s="323"/>
      <c r="AP44" s="323">
        <f t="shared" si="31"/>
        <v>2265.8000000000002</v>
      </c>
      <c r="AQ44" s="323"/>
      <c r="AR44" s="323"/>
      <c r="AS44" s="323"/>
      <c r="AT44" s="323"/>
      <c r="AU44" s="60"/>
      <c r="AV44" s="324"/>
      <c r="AW44" s="325"/>
      <c r="AZ44" s="251" t="str">
        <f t="shared" ca="1" si="32"/>
        <v>1</v>
      </c>
      <c r="BA44" s="251" t="str">
        <f t="shared" ca="1" si="33"/>
        <v>1</v>
      </c>
    </row>
    <row r="45" spans="4:53">
      <c r="D45" s="8">
        <f>D44+1</f>
        <v>14</v>
      </c>
      <c r="E45" s="319" t="str">
        <f t="shared" si="8"/>
        <v>Hardware Technician</v>
      </c>
      <c r="F45" s="8"/>
      <c r="G45" s="363" t="str">
        <f>+InputSheet!E186</f>
        <v>ManTech</v>
      </c>
      <c r="H45" s="8"/>
      <c r="I45" s="320">
        <f t="shared" si="9"/>
        <v>0</v>
      </c>
      <c r="J45" s="198" t="str">
        <f t="shared" si="18"/>
        <v>ManTech140Govt</v>
      </c>
      <c r="K45" s="198"/>
      <c r="L45" s="363" t="s">
        <v>623</v>
      </c>
      <c r="M45" s="321">
        <f>IF(G45="ManTech",(VLOOKUP($D45,DL,6,FALSE)),(INDEX('Sub Rates'!$F$9:$IK$48,MATCH(($E45&amp;$L45),'Sub Rates'!$E$9:$E$48,0),MATCH(($E$8&amp;$G45),'Sub Rates'!$F$8:$IK$8,0))))</f>
        <v>26</v>
      </c>
      <c r="N45" s="321">
        <f t="shared" ca="1" si="10"/>
        <v>28.32</v>
      </c>
      <c r="O45" s="321">
        <f t="shared" ca="1" si="19"/>
        <v>9.911999999999999</v>
      </c>
      <c r="P45" s="321">
        <f t="shared" ca="1" si="19"/>
        <v>9.911999999999999</v>
      </c>
      <c r="Q45" s="321">
        <f t="shared" ca="1" si="20"/>
        <v>15.040185599999999</v>
      </c>
      <c r="R45" s="321">
        <f t="shared" ca="1" si="21"/>
        <v>1.40900733888</v>
      </c>
      <c r="S45" s="321">
        <f ca="1">$S$10/SUM($AD$32:$AD$46)</f>
        <v>0.48771241830065359</v>
      </c>
      <c r="T45" s="321">
        <f ca="1">$T$10/SUM($AD$32:$AD$46)</f>
        <v>0.12941960784313725</v>
      </c>
      <c r="U45" s="321">
        <f>(M45*AD45)*$U$10</f>
        <v>0</v>
      </c>
      <c r="V45" s="321">
        <f t="shared" si="22"/>
        <v>2.4509803921568629</v>
      </c>
      <c r="W45" s="321">
        <f t="shared" si="23"/>
        <v>0.29427450980392161</v>
      </c>
      <c r="X45" s="321">
        <f ca="1">N45*$X$10</f>
        <v>0.53808</v>
      </c>
      <c r="Y45" s="321">
        <f>$Y$10/AD45</f>
        <v>1.1106862745098041</v>
      </c>
      <c r="Z45" s="321">
        <f ca="1">IF($G45="ManTech",(SUM($N45:$Y45)*(VLOOKUP($L45,$L$9:$AB$24,Z$6,FALSE))),(IF(R45=0,((SUM(N45,#REF!))*(VLOOKUP($L45,$L$9:$AB$24,Z$6,FALSE))),(SUM($R45:$R45)*(VLOOKUP($L45,$L$9:$AB$24,Z$6,FALSE))))))</f>
        <v>6.2295889796637463</v>
      </c>
      <c r="AA45" s="321">
        <f t="shared" ca="1" si="24"/>
        <v>75.83393512115812</v>
      </c>
      <c r="AB45" s="321">
        <f t="shared" ca="1" si="16"/>
        <v>6.06671480969265</v>
      </c>
      <c r="AC45" s="321">
        <f t="shared" ca="1" si="25"/>
        <v>81.900000000000006</v>
      </c>
      <c r="AD45" s="214">
        <f>VLOOKUP(D45,InputSheet!B186:O200,14,FALSE)</f>
        <v>2040</v>
      </c>
      <c r="AE45" s="336">
        <f t="shared" ca="1" si="17"/>
        <v>167076</v>
      </c>
      <c r="AF45" s="1036">
        <f t="shared" ca="1" si="26"/>
        <v>982.80000000000007</v>
      </c>
      <c r="AG45" s="323"/>
      <c r="AH45" s="323"/>
      <c r="AI45" s="323">
        <f t="shared" ca="1" si="27"/>
        <v>154701.22764716257</v>
      </c>
      <c r="AJ45" s="323">
        <f t="shared" ca="1" si="28"/>
        <v>167076</v>
      </c>
      <c r="AK45" s="323">
        <f t="shared" ca="1" si="29"/>
        <v>12374.772352837434</v>
      </c>
      <c r="AL45" s="20">
        <f t="shared" ca="1" si="30"/>
        <v>0.08</v>
      </c>
      <c r="AM45" s="323"/>
      <c r="AN45" s="323"/>
      <c r="AO45" s="323"/>
      <c r="AP45" s="323">
        <f t="shared" si="31"/>
        <v>2265.8000000000002</v>
      </c>
      <c r="AQ45" s="323"/>
      <c r="AR45" s="323"/>
      <c r="AS45" s="323"/>
      <c r="AT45" s="323"/>
      <c r="AU45" s="60"/>
      <c r="AV45" s="324"/>
      <c r="AW45" s="325"/>
      <c r="AZ45" s="251" t="str">
        <f t="shared" ca="1" si="32"/>
        <v>1</v>
      </c>
      <c r="BA45" s="251" t="str">
        <f t="shared" ca="1" si="33"/>
        <v>1</v>
      </c>
    </row>
    <row r="46" spans="4:53">
      <c r="D46" s="8">
        <f>D45+1</f>
        <v>15</v>
      </c>
      <c r="E46" s="319" t="str">
        <f t="shared" si="8"/>
        <v>Repair/Exchange Specialist</v>
      </c>
      <c r="F46" s="8"/>
      <c r="G46" s="363" t="str">
        <f>+InputSheet!E187</f>
        <v>ManTech</v>
      </c>
      <c r="H46" s="8"/>
      <c r="I46" s="320">
        <f t="shared" si="9"/>
        <v>0</v>
      </c>
      <c r="J46" s="198" t="str">
        <f t="shared" si="18"/>
        <v>ManTech150Govt</v>
      </c>
      <c r="K46" s="198"/>
      <c r="L46" s="363" t="s">
        <v>623</v>
      </c>
      <c r="M46" s="321">
        <f>IF(G46="ManTech",(VLOOKUP($D46,DL,6,FALSE)),(INDEX('Sub Rates'!$F$9:$IK$48,MATCH(($E46&amp;$L46),'Sub Rates'!$E$9:$E$48,0),MATCH(($E$8&amp;$G46),'Sub Rates'!$F$8:$IK$8,0))))</f>
        <v>25</v>
      </c>
      <c r="N46" s="321">
        <f t="shared" ca="1" si="10"/>
        <v>27.23</v>
      </c>
      <c r="O46" s="321">
        <f t="shared" ca="1" si="19"/>
        <v>9.5305</v>
      </c>
      <c r="P46" s="321">
        <f t="shared" ca="1" si="19"/>
        <v>9.5305</v>
      </c>
      <c r="Q46" s="321">
        <f t="shared" ca="1" si="20"/>
        <v>14.4613084</v>
      </c>
      <c r="R46" s="321">
        <f t="shared" ca="1" si="21"/>
        <v>1.3547764773200002</v>
      </c>
      <c r="S46" s="321">
        <f ca="1">$S$10/SUM($AD$32:$AD$46)</f>
        <v>0.48771241830065359</v>
      </c>
      <c r="T46" s="321">
        <f ca="1">$T$10/SUM($AD$32:$AD$46)</f>
        <v>0.12941960784313725</v>
      </c>
      <c r="U46" s="321">
        <f>(M46*AD46)*$U$10</f>
        <v>0</v>
      </c>
      <c r="V46" s="321">
        <f t="shared" si="22"/>
        <v>2.4509803921568629</v>
      </c>
      <c r="W46" s="321">
        <f t="shared" si="23"/>
        <v>0.29427450980392161</v>
      </c>
      <c r="X46" s="321">
        <f ca="1">N46*$X$10</f>
        <v>0.51737</v>
      </c>
      <c r="Y46" s="321">
        <f>$Y$10/AD46</f>
        <v>1.1106862745098041</v>
      </c>
      <c r="Z46" s="321">
        <f ca="1">IF($G46="ManTech",(SUM($N46:$Y46)*(VLOOKUP($L46,$L$9:$AB$24,Z$6,FALSE))),(IF(R46=0,((SUM(N46,#REF!))*(VLOOKUP($L46,$L$9:$AB$24,Z$6,FALSE))),(SUM($R46:$R46)*(VLOOKUP($L46,$L$9:$AB$24,Z$6,FALSE))))))</f>
        <v>6.0052287631541263</v>
      </c>
      <c r="AA46" s="321">
        <f t="shared" ca="1" si="24"/>
        <v>73.1027568430885</v>
      </c>
      <c r="AB46" s="321">
        <f t="shared" ca="1" si="16"/>
        <v>5.8482205474470801</v>
      </c>
      <c r="AC46" s="321">
        <f t="shared" ca="1" si="25"/>
        <v>78.95</v>
      </c>
      <c r="AD46" s="214">
        <f>VLOOKUP(D46,InputSheet!B187:O201,14,FALSE)</f>
        <v>2040</v>
      </c>
      <c r="AE46" s="336">
        <f t="shared" ca="1" si="17"/>
        <v>161058</v>
      </c>
      <c r="AF46" s="1036">
        <f t="shared" ca="1" si="26"/>
        <v>947.40000000000009</v>
      </c>
      <c r="AG46" s="323"/>
      <c r="AH46" s="323"/>
      <c r="AI46" s="323">
        <f t="shared" ca="1" si="27"/>
        <v>149129.62395990055</v>
      </c>
      <c r="AJ46" s="323">
        <f t="shared" ca="1" si="28"/>
        <v>161058</v>
      </c>
      <c r="AK46" s="323">
        <f t="shared" ca="1" si="29"/>
        <v>11928.376040099451</v>
      </c>
      <c r="AL46" s="20">
        <f t="shared" ca="1" si="30"/>
        <v>0.08</v>
      </c>
      <c r="AM46" s="323"/>
      <c r="AN46" s="323"/>
      <c r="AO46" s="323"/>
      <c r="AP46" s="323">
        <f t="shared" si="31"/>
        <v>2265.8000000000002</v>
      </c>
      <c r="AQ46" s="323"/>
      <c r="AR46" s="323"/>
      <c r="AS46" s="323"/>
      <c r="AT46" s="323"/>
      <c r="AU46" s="60"/>
      <c r="AV46" s="324"/>
      <c r="AW46" s="325"/>
      <c r="AZ46" s="251" t="str">
        <f t="shared" ca="1" si="32"/>
        <v>1</v>
      </c>
      <c r="BA46" s="251" t="str">
        <f t="shared" ca="1" si="33"/>
        <v>1</v>
      </c>
    </row>
    <row r="47" spans="4:53">
      <c r="E47" s="319"/>
      <c r="F47" s="8"/>
      <c r="G47" s="363"/>
      <c r="H47" s="8"/>
      <c r="I47" s="320"/>
      <c r="J47" s="198"/>
      <c r="K47" s="198"/>
      <c r="L47" s="363"/>
      <c r="M47" s="321"/>
      <c r="N47" s="321"/>
      <c r="O47" s="321"/>
      <c r="P47" s="321"/>
      <c r="Q47" s="321"/>
      <c r="R47" s="321"/>
      <c r="S47" s="321"/>
      <c r="T47" s="321"/>
      <c r="U47" s="321"/>
      <c r="V47" s="321"/>
      <c r="W47" s="321"/>
      <c r="X47" s="321"/>
      <c r="Y47" s="321"/>
      <c r="Z47" s="321"/>
      <c r="AA47" s="321"/>
      <c r="AB47" s="321"/>
      <c r="AC47" s="321"/>
      <c r="AD47" s="214"/>
      <c r="AE47" s="336"/>
      <c r="AF47" s="1036"/>
      <c r="AG47" s="323"/>
      <c r="AH47" s="323"/>
      <c r="AI47" s="323"/>
      <c r="AJ47" s="323"/>
      <c r="AK47" s="323"/>
      <c r="AL47" s="20"/>
      <c r="AM47" s="323"/>
      <c r="AN47" s="323"/>
      <c r="AO47" s="323"/>
      <c r="AP47" s="323"/>
      <c r="AQ47" s="323"/>
      <c r="AR47" s="323"/>
      <c r="AS47" s="323"/>
      <c r="AT47" s="323"/>
      <c r="AU47" s="60"/>
      <c r="AV47" s="324"/>
      <c r="AW47" s="325"/>
    </row>
    <row r="48" spans="4:53">
      <c r="D48" s="8">
        <v>16</v>
      </c>
      <c r="E48" s="319" t="str">
        <f t="shared" si="8"/>
        <v>PMO Cost</v>
      </c>
      <c r="F48" s="8"/>
      <c r="G48" s="363" t="s">
        <v>643</v>
      </c>
      <c r="H48" s="8"/>
      <c r="I48" s="320" t="str">
        <f t="shared" si="9"/>
        <v>Martin,Lindy E</v>
      </c>
      <c r="J48" s="198" t="str">
        <f>G48&amp;D48&amp;I48&amp;L48</f>
        <v>ManTech16Martin,Lindy EGovt</v>
      </c>
      <c r="K48" s="198"/>
      <c r="L48" s="363" t="s">
        <v>623</v>
      </c>
      <c r="M48" s="321">
        <f>IF(G48="ManTech",(VLOOKUP($D48,DL,6,FALSE)),(INDEX('Sub Rates'!$F$9:$IK$48,MATCH(($E48&amp;$L48),'Sub Rates'!$E$9:$E$48,0),MATCH(($E$8&amp;$G48),'Sub Rates'!$F$8:$IK$8,0))))</f>
        <v>108.5</v>
      </c>
      <c r="N48" s="321">
        <f t="shared" ca="1" si="10"/>
        <v>118.17</v>
      </c>
      <c r="O48" s="321">
        <v>0</v>
      </c>
      <c r="P48" s="321">
        <v>0</v>
      </c>
      <c r="Q48" s="321">
        <f t="shared" ca="1" si="20"/>
        <v>36.916308000000001</v>
      </c>
      <c r="R48" s="321">
        <f ca="1">($N48+$Q48+O48+P48)*(VLOOKUP($L48,$L$9:$AB$24,R$6,FALSE))</f>
        <v>3.4584246684000002</v>
      </c>
      <c r="S48" s="321"/>
      <c r="T48" s="321"/>
      <c r="U48" s="321">
        <v>0</v>
      </c>
      <c r="V48" s="321">
        <v>0</v>
      </c>
      <c r="W48" s="321">
        <v>0</v>
      </c>
      <c r="X48" s="321">
        <v>0</v>
      </c>
      <c r="Y48" s="321">
        <v>0</v>
      </c>
      <c r="Z48" s="321">
        <f ca="1">IF($G48="ManTech",(SUM($N48:$Y48)*(VLOOKUP($L48,$L$9:$AB$24,Z$6,FALSE))),(IF(R48=0,((SUM(N48,#REF!))*(VLOOKUP($L48,$L$9:$AB$24,Z$6,FALSE))),(SUM($R48:$R48)*(VLOOKUP($L48,$L$9:$AB$24,Z$6,FALSE))))))</f>
        <v>14.1897535738218</v>
      </c>
      <c r="AA48" s="321">
        <f ca="1">SUM(N48:Z48)</f>
        <v>172.73448624222181</v>
      </c>
      <c r="AB48" s="321">
        <f ca="1">(AA48*(VLOOKUP($L48,$L$9:$AB$24,AB$6,FALSE)))</f>
        <v>13.818758899377745</v>
      </c>
      <c r="AC48" s="321">
        <f ca="1">ROUND(SUM(AA48:AB48),2)</f>
        <v>186.55</v>
      </c>
      <c r="AD48" s="214">
        <v>80</v>
      </c>
      <c r="AE48" s="336">
        <f t="shared" ca="1" si="17"/>
        <v>14924</v>
      </c>
      <c r="AF48" s="1036">
        <f ca="1">AC48*$AF$29</f>
        <v>2238.6000000000004</v>
      </c>
      <c r="AG48" s="323"/>
      <c r="AH48" s="323"/>
      <c r="AI48" s="323">
        <f ca="1">AA48*AD48</f>
        <v>13818.758899377744</v>
      </c>
      <c r="AJ48" s="323">
        <f ca="1">AC48*AD48</f>
        <v>14924</v>
      </c>
      <c r="AK48" s="323">
        <f ca="1">AJ48-AI48</f>
        <v>1105.2411006222555</v>
      </c>
      <c r="AL48" s="20">
        <f ca="1">IF(AK48=0,0,ROUND(AK48/AI48,2))</f>
        <v>0.08</v>
      </c>
      <c r="AM48" s="323"/>
      <c r="AN48" s="323"/>
      <c r="AO48" s="323"/>
      <c r="AP48" s="323">
        <f>Y48*AD48</f>
        <v>0</v>
      </c>
      <c r="AQ48" s="323"/>
      <c r="AR48" s="323"/>
      <c r="AS48" s="323"/>
      <c r="AT48" s="323"/>
      <c r="AU48" s="60"/>
      <c r="AV48" s="324"/>
      <c r="AW48" s="325"/>
      <c r="AZ48" s="251" t="str">
        <f ca="1">IF((OR((AC48=""),(AC48&gt;0))),"1","0")</f>
        <v>1</v>
      </c>
      <c r="BA48" s="251" t="str">
        <f ca="1">IF((OR((AE48=""),(AE48&gt;0))),"1","0")</f>
        <v>1</v>
      </c>
    </row>
    <row r="49" spans="2:53">
      <c r="D49" s="8">
        <f>D48+1</f>
        <v>17</v>
      </c>
      <c r="E49" s="319" t="str">
        <f t="shared" si="8"/>
        <v>Project Controller Cost</v>
      </c>
      <c r="F49" s="8"/>
      <c r="G49" s="363" t="str">
        <f>+InputSheet!E190</f>
        <v>Yvan</v>
      </c>
      <c r="H49" s="8"/>
      <c r="I49" s="320">
        <f t="shared" si="9"/>
        <v>0</v>
      </c>
      <c r="J49" s="198" t="str">
        <f>G49&amp;D49&amp;I49&amp;L49</f>
        <v>Yvan170Govt_Sub</v>
      </c>
      <c r="K49" s="198"/>
      <c r="L49" s="363" t="s">
        <v>684</v>
      </c>
      <c r="M49" s="321">
        <f>IF(G49="ManTech",(VLOOKUP($D49,DL,6,FALSE)),(INDEX('Sub Rates'!$F$9:$IK$48,MATCH(($E49&amp;$L49),'Sub Rates'!$E$9:$E$48,0),MATCH(($E$8&amp;$G49),'Sub Rates'!$F$8:$IK$8,0))))</f>
        <v>148.14407599999998</v>
      </c>
      <c r="N49" s="321">
        <f t="shared" ca="1" si="10"/>
        <v>148.13999999999999</v>
      </c>
      <c r="O49" s="321">
        <f t="shared" ca="1" si="19"/>
        <v>0</v>
      </c>
      <c r="P49" s="321">
        <f t="shared" ca="1" si="19"/>
        <v>0</v>
      </c>
      <c r="Q49" s="321">
        <f ca="1">($N49+O49+P49)*(VLOOKUP($L49,$L$9:$AB$24,Q$6,FALSE))</f>
        <v>0</v>
      </c>
      <c r="R49" s="321">
        <f ca="1">($N49+$Q49+O49+P49)*(VLOOKUP($L49,$L$9:$AB$24,R$6,FALSE))</f>
        <v>4.2664319999999991</v>
      </c>
      <c r="S49" s="321"/>
      <c r="T49" s="321"/>
      <c r="U49" s="321">
        <v>0</v>
      </c>
      <c r="V49" s="321">
        <v>0</v>
      </c>
      <c r="W49" s="321">
        <v>0</v>
      </c>
      <c r="X49" s="321">
        <v>0</v>
      </c>
      <c r="Y49" s="321">
        <v>0</v>
      </c>
      <c r="Z49" s="321">
        <f ca="1">IF($G49="ManTech",(SUM($N49:$Y49)*(VLOOKUP($L49,$L$9:$AB$24,Z$6,FALSE))),(IF(R49=0,((SUM(N49,#REF!))*(VLOOKUP($L49,$L$9:$AB$24,Z$6,FALSE))),(SUM($R49:$R49)*(VLOOKUP($L49,$L$9:$AB$24,Z$6,FALSE))))))</f>
        <v>0.38184566399999992</v>
      </c>
      <c r="AA49" s="321">
        <f ca="1">SUM(N49:Z49)</f>
        <v>152.78827766399999</v>
      </c>
      <c r="AB49" s="321">
        <f ca="1">(AA49*(VLOOKUP($L49,$L$9:$AB$24,AB$6,FALSE)))</f>
        <v>12.22306221312</v>
      </c>
      <c r="AC49" s="321">
        <f ca="1">ROUND(SUM(AA49:AB49),2)</f>
        <v>165.01</v>
      </c>
      <c r="AD49" s="214">
        <v>24</v>
      </c>
      <c r="AE49" s="336">
        <f t="shared" ca="1" si="17"/>
        <v>3960.24</v>
      </c>
      <c r="AF49" s="1036">
        <f ca="1">AC49*$AF$29</f>
        <v>1980.12</v>
      </c>
      <c r="AG49" s="323"/>
      <c r="AH49" s="323"/>
      <c r="AI49" s="323">
        <f ca="1">AA49*AD49</f>
        <v>3666.9186639359996</v>
      </c>
      <c r="AJ49" s="323">
        <f ca="1">AC49*AD49</f>
        <v>3960.24</v>
      </c>
      <c r="AK49" s="323">
        <f ca="1">AJ49-AI49</f>
        <v>293.32133606400021</v>
      </c>
      <c r="AL49" s="20">
        <f ca="1">IF(AK49=0,0,ROUND(AK49/AI49,2))</f>
        <v>0.08</v>
      </c>
      <c r="AM49" s="323"/>
      <c r="AN49" s="323"/>
      <c r="AO49" s="323"/>
      <c r="AP49" s="323">
        <f>Y49*AD49</f>
        <v>0</v>
      </c>
      <c r="AQ49" s="323"/>
      <c r="AR49" s="323"/>
      <c r="AS49" s="323"/>
      <c r="AT49" s="323"/>
      <c r="AU49" s="60"/>
      <c r="AV49" s="324"/>
      <c r="AW49" s="325"/>
      <c r="AZ49" s="251" t="str">
        <f ca="1">IF((OR((AC49=""),(AC49&gt;0))),"1","0")</f>
        <v>1</v>
      </c>
      <c r="BA49" s="251" t="str">
        <f ca="1">IF((OR((AE49=""),(AE49&gt;0))),"1","0")</f>
        <v>1</v>
      </c>
    </row>
    <row r="50" spans="2:53">
      <c r="E50" s="326"/>
      <c r="F50" s="327"/>
      <c r="G50" s="327"/>
      <c r="H50" s="327"/>
      <c r="I50" s="328"/>
      <c r="J50" s="329"/>
      <c r="K50" s="329"/>
      <c r="L50" s="364"/>
      <c r="M50" s="330"/>
      <c r="N50" s="330"/>
      <c r="O50" s="330"/>
      <c r="P50" s="330"/>
      <c r="Q50" s="330"/>
      <c r="R50" s="330"/>
      <c r="S50" s="330"/>
      <c r="T50" s="330"/>
      <c r="U50" s="330"/>
      <c r="V50" s="330"/>
      <c r="W50" s="330"/>
      <c r="X50" s="330"/>
      <c r="Y50" s="330"/>
      <c r="Z50" s="330"/>
      <c r="AA50" s="330"/>
      <c r="AB50" s="330"/>
      <c r="AC50" s="330"/>
      <c r="AD50" s="218"/>
      <c r="AE50" s="339"/>
      <c r="AF50" s="1037"/>
      <c r="AG50" s="332"/>
      <c r="AH50" s="332"/>
      <c r="AI50" s="332"/>
      <c r="AJ50" s="332"/>
      <c r="AK50" s="332"/>
      <c r="AL50" s="332"/>
      <c r="AM50" s="332"/>
      <c r="AN50" s="332"/>
      <c r="AO50" s="332"/>
      <c r="AP50" s="332"/>
      <c r="AQ50" s="332"/>
      <c r="AR50" s="332"/>
      <c r="AS50" s="332"/>
      <c r="AT50" s="332"/>
      <c r="AU50" s="332"/>
      <c r="AV50" s="333"/>
      <c r="AW50" s="325"/>
      <c r="AZ50" s="251" t="str">
        <f t="shared" si="32"/>
        <v>1</v>
      </c>
      <c r="BA50" s="251" t="str">
        <f t="shared" si="33"/>
        <v>1</v>
      </c>
    </row>
    <row r="51" spans="2:53">
      <c r="E51" s="248"/>
      <c r="F51" s="8"/>
      <c r="G51" s="8"/>
      <c r="H51" s="8"/>
      <c r="I51" s="8"/>
      <c r="J51" s="8"/>
      <c r="K51" s="8"/>
      <c r="L51" s="8"/>
      <c r="M51" s="321"/>
      <c r="N51" s="321"/>
      <c r="O51" s="321"/>
      <c r="P51" s="321"/>
      <c r="Q51" s="321"/>
      <c r="R51" s="321"/>
      <c r="S51" s="321"/>
      <c r="T51" s="321"/>
      <c r="U51" s="321"/>
      <c r="V51" s="321"/>
      <c r="W51" s="321"/>
      <c r="X51" s="321"/>
      <c r="Y51" s="321"/>
      <c r="Z51" s="321"/>
      <c r="AA51" s="321"/>
      <c r="AB51" s="321"/>
      <c r="AC51" s="321"/>
      <c r="AD51" s="321"/>
      <c r="AE51" s="321"/>
      <c r="AF51" s="250"/>
      <c r="AG51" s="323"/>
      <c r="AH51" s="323"/>
      <c r="AI51" s="323"/>
      <c r="AJ51" s="323"/>
      <c r="AK51" s="323"/>
      <c r="AL51" s="323"/>
      <c r="AM51" s="323"/>
      <c r="AN51" s="323"/>
      <c r="AO51" s="323"/>
      <c r="AP51" s="323">
        <f>SUM(AP32:AP46)</f>
        <v>24923.799999999996</v>
      </c>
      <c r="AQ51" s="323"/>
      <c r="AR51" s="323"/>
      <c r="AS51" s="323"/>
      <c r="AT51" s="323"/>
      <c r="AU51" s="60"/>
      <c r="AV51" s="324"/>
      <c r="AW51" s="325"/>
      <c r="AZ51" s="251" t="str">
        <f t="shared" si="32"/>
        <v>1</v>
      </c>
      <c r="BA51" s="251" t="str">
        <f t="shared" si="33"/>
        <v>1</v>
      </c>
    </row>
    <row r="52" spans="2:53">
      <c r="E52" s="248"/>
      <c r="F52" s="8"/>
      <c r="G52" s="8"/>
      <c r="H52" s="8"/>
      <c r="I52" s="8"/>
      <c r="J52" s="8"/>
      <c r="K52" s="8"/>
      <c r="L52" s="8"/>
      <c r="M52" s="8"/>
      <c r="N52" s="8"/>
      <c r="O52" s="8"/>
      <c r="P52" s="8"/>
      <c r="Q52" s="8"/>
      <c r="R52" s="8"/>
      <c r="S52" s="8"/>
      <c r="T52" s="8"/>
      <c r="U52" s="8"/>
      <c r="V52" s="8"/>
      <c r="W52" s="8"/>
      <c r="X52" s="8"/>
      <c r="Y52" s="8"/>
      <c r="Z52" s="8"/>
      <c r="AA52" s="8"/>
      <c r="AB52" s="8"/>
      <c r="AC52" s="313" t="s">
        <v>647</v>
      </c>
      <c r="AD52" s="334">
        <f>SUBTOTAL(9,AD$31:AD$51)</f>
        <v>30704</v>
      </c>
      <c r="AE52" s="1028">
        <f ca="1">SUBTOTAL(9,AE$31:AE$51)</f>
        <v>2646771.44</v>
      </c>
      <c r="AF52" s="250"/>
      <c r="AG52" s="323"/>
      <c r="AH52" s="323"/>
      <c r="AI52" s="323"/>
      <c r="AJ52" s="323"/>
      <c r="AK52" s="323"/>
      <c r="AL52" s="323"/>
      <c r="AM52" s="323"/>
      <c r="AN52" s="323"/>
      <c r="AO52" s="323"/>
      <c r="AP52" s="323"/>
      <c r="AQ52" s="323"/>
      <c r="AR52" s="323"/>
      <c r="AS52" s="323"/>
      <c r="AT52" s="323"/>
      <c r="AU52" s="60"/>
      <c r="AV52" s="324"/>
      <c r="AW52" s="325"/>
      <c r="AZ52" s="251" t="str">
        <f t="shared" si="32"/>
        <v>1</v>
      </c>
      <c r="BA52" s="251" t="str">
        <f t="shared" ca="1" si="33"/>
        <v>1</v>
      </c>
    </row>
    <row r="53" spans="2:53" ht="13.5" thickBot="1">
      <c r="B53" s="8" t="s">
        <v>854</v>
      </c>
      <c r="E53" s="248"/>
      <c r="F53" s="8"/>
      <c r="G53" s="8"/>
      <c r="H53" s="8"/>
      <c r="I53" s="8"/>
      <c r="J53" s="8"/>
      <c r="K53" s="8"/>
      <c r="L53" s="8"/>
      <c r="M53" s="8"/>
      <c r="N53" s="8"/>
      <c r="O53" s="8"/>
      <c r="P53" s="8"/>
      <c r="Q53" s="8"/>
      <c r="R53" s="8"/>
      <c r="S53" s="8"/>
      <c r="T53" s="8"/>
      <c r="U53" s="8"/>
      <c r="V53" s="8"/>
      <c r="W53" s="8"/>
      <c r="X53" s="8"/>
      <c r="Y53" s="8"/>
      <c r="Z53" s="8"/>
      <c r="AA53" s="8"/>
      <c r="AB53" s="8"/>
      <c r="AC53" s="313"/>
      <c r="AD53" s="57"/>
      <c r="AE53" s="60"/>
      <c r="AF53" s="250"/>
      <c r="AP53" s="6">
        <f>SUM('Year 1:Year 3'!AP51)</f>
        <v>139007</v>
      </c>
      <c r="AR53" s="13"/>
      <c r="AS53" s="335"/>
      <c r="AZ53" s="251" t="str">
        <f t="shared" si="32"/>
        <v>1</v>
      </c>
      <c r="BA53" s="251" t="str">
        <f t="shared" si="33"/>
        <v>1</v>
      </c>
    </row>
    <row r="54" spans="2:53" s="317" customFormat="1" ht="16.5" thickBot="1">
      <c r="B54" s="919">
        <v>1.4735</v>
      </c>
      <c r="E54" s="240" t="s">
        <v>737</v>
      </c>
      <c r="F54" s="202"/>
      <c r="G54" s="202"/>
      <c r="H54" s="203"/>
      <c r="I54" s="202"/>
      <c r="J54" s="201"/>
      <c r="K54" s="201"/>
      <c r="L54" s="202"/>
      <c r="M54" s="204"/>
      <c r="N54" s="204"/>
      <c r="O54" s="204"/>
      <c r="P54" s="204"/>
      <c r="Q54" s="204"/>
      <c r="R54" s="204"/>
      <c r="S54" s="204"/>
      <c r="T54" s="204"/>
      <c r="U54" s="204"/>
      <c r="V54" s="204"/>
      <c r="W54" s="204"/>
      <c r="X54" s="204"/>
      <c r="Y54" s="204"/>
      <c r="Z54" s="204"/>
      <c r="AA54" s="204"/>
      <c r="AB54" s="204"/>
      <c r="AC54" s="204"/>
      <c r="AD54" s="204"/>
      <c r="AE54" s="204"/>
      <c r="AF54" s="1038"/>
      <c r="AG54" s="206"/>
      <c r="AH54" s="206"/>
      <c r="AI54" s="206"/>
      <c r="AJ54" s="206"/>
      <c r="AK54" s="206"/>
      <c r="AL54" s="206"/>
      <c r="AM54" s="206"/>
      <c r="AN54" s="206"/>
      <c r="AO54" s="206"/>
      <c r="AP54" s="206"/>
      <c r="AQ54" s="206"/>
      <c r="AR54" s="206"/>
      <c r="AS54" s="206"/>
      <c r="AT54" s="206"/>
      <c r="AU54" s="206"/>
      <c r="AV54" s="206"/>
      <c r="AW54" s="318"/>
      <c r="AZ54" s="251" t="str">
        <f t="shared" si="32"/>
        <v>1</v>
      </c>
      <c r="BA54" s="251" t="str">
        <f t="shared" si="33"/>
        <v>1</v>
      </c>
    </row>
    <row r="55" spans="2:53" ht="15.75">
      <c r="E55" s="1059" t="s">
        <v>941</v>
      </c>
      <c r="F55" s="1060"/>
      <c r="G55" s="1060"/>
      <c r="H55" s="1061"/>
      <c r="I55" s="1060"/>
      <c r="J55" s="1062"/>
      <c r="K55" s="1062"/>
      <c r="L55" s="1060"/>
      <c r="M55" s="1063"/>
      <c r="N55" s="1063"/>
      <c r="O55" s="1063"/>
      <c r="P55" s="1063"/>
      <c r="Q55" s="1063"/>
      <c r="R55" s="1063"/>
      <c r="S55" s="1063"/>
      <c r="T55" s="1063"/>
      <c r="U55" s="1063"/>
      <c r="V55" s="1063"/>
      <c r="W55" s="1063"/>
      <c r="X55" s="1063"/>
      <c r="Y55" s="1063"/>
      <c r="Z55" s="1063"/>
      <c r="AA55" s="1063"/>
      <c r="AB55" s="1063"/>
      <c r="AC55" s="1063"/>
      <c r="AD55" s="1063"/>
      <c r="AE55" s="1063"/>
      <c r="AF55" s="1064"/>
      <c r="AG55" s="337"/>
      <c r="AH55" s="337"/>
      <c r="AI55" s="323"/>
      <c r="AJ55" s="323"/>
      <c r="AK55" s="323"/>
      <c r="AL55" s="20"/>
      <c r="AM55" s="337"/>
      <c r="AN55" s="337"/>
      <c r="AO55" s="337"/>
      <c r="AP55" s="337"/>
      <c r="AQ55" s="337"/>
      <c r="AR55" s="323"/>
      <c r="AS55" s="337"/>
      <c r="AT55" s="323"/>
      <c r="AU55" s="60"/>
      <c r="AV55" s="324"/>
      <c r="AW55" s="325"/>
    </row>
    <row r="56" spans="2:53">
      <c r="E56" s="832" t="s">
        <v>912</v>
      </c>
      <c r="F56" s="8"/>
      <c r="G56" s="8"/>
      <c r="H56" s="8"/>
      <c r="I56" s="8"/>
      <c r="J56" s="8"/>
      <c r="K56" s="8"/>
      <c r="L56" s="363" t="s">
        <v>617</v>
      </c>
      <c r="M56" s="336">
        <f>'[6]Service Quote'!$E$23</f>
        <v>499.95</v>
      </c>
      <c r="N56" s="336">
        <f ca="1">ROUND($M56*(VLOOKUP($L56,$L$9:$AB$24,N$6,FALSE)),2)</f>
        <v>499.95</v>
      </c>
      <c r="O56" s="336">
        <f t="shared" ref="O56:Q59" ca="1" si="35">ROUND($N56*(VLOOKUP($L56,$L$9:$AB$24,O$6,FALSE)),2)</f>
        <v>0</v>
      </c>
      <c r="P56" s="336">
        <f t="shared" ca="1" si="35"/>
        <v>0</v>
      </c>
      <c r="Q56" s="336">
        <f t="shared" ca="1" si="35"/>
        <v>0</v>
      </c>
      <c r="R56" s="336">
        <f ca="1">ROUND(($N56+$Q56)*(VLOOKUP($L56,$L$9:$AB$24,R$6,FALSE)),2)</f>
        <v>0</v>
      </c>
      <c r="S56" s="336"/>
      <c r="T56" s="336"/>
      <c r="U56" s="336">
        <f t="shared" ref="U56:Y59" ca="1" si="36">ROUND($N56*(VLOOKUP($L56,$L$9:$AB$24,U$6,FALSE)),2)</f>
        <v>0</v>
      </c>
      <c r="V56" s="336">
        <f t="shared" ca="1" si="36"/>
        <v>0</v>
      </c>
      <c r="W56" s="336">
        <f t="shared" ca="1" si="36"/>
        <v>0</v>
      </c>
      <c r="X56" s="336">
        <f t="shared" ca="1" si="36"/>
        <v>0</v>
      </c>
      <c r="Y56" s="336">
        <f t="shared" ca="1" si="36"/>
        <v>0</v>
      </c>
      <c r="Z56" s="336">
        <f ca="1">IF($R56=0,ROUND(SUM($N56:$R56)*(VLOOKUP($L56,$L$9:$AB$24,Z$6,FALSE)),2),ROUND(SUM($R56:$R56)*(VLOOKUP($L56,$L$9:$AB$24,Z$6,FALSE)),2))</f>
        <v>44.75</v>
      </c>
      <c r="AA56" s="336">
        <f ca="1">SUM(N56:Z56)</f>
        <v>544.70000000000005</v>
      </c>
      <c r="AB56" s="336">
        <f ca="1">ROUND(AA56*(VLOOKUP($L56,$L$9:$AB$24,AB$6,FALSE)),2)</f>
        <v>43.58</v>
      </c>
      <c r="AC56" s="336">
        <f ca="1">SUM(AA56:AB56)</f>
        <v>588.28000000000009</v>
      </c>
      <c r="AD56" s="214">
        <v>1</v>
      </c>
      <c r="AE56" s="336">
        <f ca="1">$AC56*$AD56</f>
        <v>588.28000000000009</v>
      </c>
      <c r="AF56" s="250"/>
      <c r="AG56" s="337"/>
      <c r="AH56" s="337"/>
      <c r="AI56" s="323">
        <f ca="1">AA56*AD56</f>
        <v>544.70000000000005</v>
      </c>
      <c r="AJ56" s="323">
        <f ca="1">AC56*AD56</f>
        <v>588.28000000000009</v>
      </c>
      <c r="AK56" s="323">
        <f ca="1">AJ56-AI56</f>
        <v>43.580000000000041</v>
      </c>
      <c r="AL56" s="20">
        <f ca="1">IF(AK56=0,0,ROUND(AK56/AI56,2))</f>
        <v>0.08</v>
      </c>
      <c r="AM56" s="337"/>
      <c r="AN56" s="337"/>
      <c r="AO56" s="337"/>
      <c r="AP56" s="337"/>
      <c r="AQ56" s="337"/>
      <c r="AR56" s="323"/>
      <c r="AS56" s="337"/>
      <c r="AT56" s="323"/>
      <c r="AU56" s="60"/>
      <c r="AV56" s="324"/>
      <c r="AW56" s="325"/>
      <c r="AZ56" s="251" t="str">
        <f ca="1">IF((OR((AC56=""),(AC56&gt;0))),"1","0")</f>
        <v>1</v>
      </c>
      <c r="BA56" s="251" t="str">
        <f ca="1">IF((OR((AE56=""),(AE56&gt;0))),"1","0")</f>
        <v>1</v>
      </c>
    </row>
    <row r="57" spans="2:53">
      <c r="E57" s="832" t="s">
        <v>913</v>
      </c>
      <c r="F57" s="8"/>
      <c r="G57" s="8"/>
      <c r="H57" s="8"/>
      <c r="I57" s="8"/>
      <c r="J57" s="8"/>
      <c r="K57" s="8"/>
      <c r="L57" s="363" t="s">
        <v>617</v>
      </c>
      <c r="M57" s="336">
        <f>'[6]Service Quote'!$E$26</f>
        <v>359</v>
      </c>
      <c r="N57" s="336">
        <f ca="1">ROUND($M57*(VLOOKUP($L57,$L$9:$AB$24,N$6,FALSE)),2)</f>
        <v>359</v>
      </c>
      <c r="O57" s="336">
        <f t="shared" ca="1" si="35"/>
        <v>0</v>
      </c>
      <c r="P57" s="336">
        <f t="shared" ca="1" si="35"/>
        <v>0</v>
      </c>
      <c r="Q57" s="336">
        <f t="shared" ca="1" si="35"/>
        <v>0</v>
      </c>
      <c r="R57" s="336">
        <f ca="1">ROUND(($N57+$Q57)*(VLOOKUP($L57,$L$9:$AB$24,R$6,FALSE)),2)</f>
        <v>0</v>
      </c>
      <c r="S57" s="336"/>
      <c r="T57" s="336"/>
      <c r="U57" s="336">
        <f t="shared" ca="1" si="36"/>
        <v>0</v>
      </c>
      <c r="V57" s="336">
        <f t="shared" ca="1" si="36"/>
        <v>0</v>
      </c>
      <c r="W57" s="336">
        <f t="shared" ca="1" si="36"/>
        <v>0</v>
      </c>
      <c r="X57" s="336">
        <f t="shared" ca="1" si="36"/>
        <v>0</v>
      </c>
      <c r="Y57" s="336">
        <f t="shared" ca="1" si="36"/>
        <v>0</v>
      </c>
      <c r="Z57" s="336">
        <f ca="1">IF($R57=0,ROUND(SUM($N57:$R57)*(VLOOKUP($L57,$L$9:$AB$24,Z$6,FALSE)),2),ROUND(SUM($R57:$R57)*(VLOOKUP($L57,$L$9:$AB$24,Z$6,FALSE)),2))</f>
        <v>32.130000000000003</v>
      </c>
      <c r="AA57" s="336">
        <f ca="1">SUM(N57:Z57)</f>
        <v>391.13</v>
      </c>
      <c r="AB57" s="336">
        <f ca="1">ROUND(AA57*(VLOOKUP($L57,$L$9:$AB$24,AB$6,FALSE)),2)</f>
        <v>31.29</v>
      </c>
      <c r="AC57" s="336">
        <f ca="1">SUM(AA57:AB57)</f>
        <v>422.42</v>
      </c>
      <c r="AD57" s="214">
        <v>1</v>
      </c>
      <c r="AE57" s="336">
        <f ca="1">$AC57*$AD57</f>
        <v>422.42</v>
      </c>
      <c r="AF57" s="250"/>
      <c r="AG57" s="337"/>
      <c r="AH57" s="337"/>
      <c r="AI57" s="323">
        <f ca="1">AA57*AD57</f>
        <v>391.13</v>
      </c>
      <c r="AJ57" s="323">
        <f ca="1">AC57*AD57</f>
        <v>422.42</v>
      </c>
      <c r="AK57" s="323">
        <f ca="1">AJ57-AI57</f>
        <v>31.29000000000002</v>
      </c>
      <c r="AL57" s="20">
        <f ca="1">IF(AK57=0,0,ROUND(AK57/AI57,2))</f>
        <v>0.08</v>
      </c>
      <c r="AM57" s="337"/>
      <c r="AN57" s="337"/>
      <c r="AO57" s="337"/>
      <c r="AP57" s="337"/>
      <c r="AQ57" s="337"/>
      <c r="AR57" s="323"/>
      <c r="AS57" s="337"/>
      <c r="AT57" s="323"/>
      <c r="AU57" s="60"/>
      <c r="AV57" s="324"/>
      <c r="AW57" s="325"/>
      <c r="AZ57" s="251" t="str">
        <f ca="1">IF((OR((AC57=""),(AC57&gt;0))),"1","0")</f>
        <v>1</v>
      </c>
      <c r="BA57" s="251" t="str">
        <f ca="1">IF((OR((AE57=""),(AE57&gt;0))),"1","0")</f>
        <v>1</v>
      </c>
    </row>
    <row r="58" spans="2:53">
      <c r="E58" s="832" t="s">
        <v>914</v>
      </c>
      <c r="F58" s="8"/>
      <c r="G58" s="8"/>
      <c r="H58" s="8"/>
      <c r="I58" s="8"/>
      <c r="J58" s="8"/>
      <c r="K58" s="8"/>
      <c r="L58" s="363" t="s">
        <v>617</v>
      </c>
      <c r="M58" s="336">
        <f>'[6]Service Quote'!$E$29</f>
        <v>199.95</v>
      </c>
      <c r="N58" s="336">
        <f ca="1">ROUND($M58*(VLOOKUP($L58,$L$9:$AB$24,N$6,FALSE)),2)</f>
        <v>199.95</v>
      </c>
      <c r="O58" s="336">
        <f t="shared" ca="1" si="35"/>
        <v>0</v>
      </c>
      <c r="P58" s="336">
        <f t="shared" ca="1" si="35"/>
        <v>0</v>
      </c>
      <c r="Q58" s="336">
        <f t="shared" ca="1" si="35"/>
        <v>0</v>
      </c>
      <c r="R58" s="336">
        <f ca="1">ROUND(($N58+$Q58)*(VLOOKUP($L58,$L$9:$AB$24,R$6,FALSE)),2)</f>
        <v>0</v>
      </c>
      <c r="S58" s="336"/>
      <c r="T58" s="336"/>
      <c r="U58" s="336">
        <f t="shared" ca="1" si="36"/>
        <v>0</v>
      </c>
      <c r="V58" s="336">
        <f t="shared" ca="1" si="36"/>
        <v>0</v>
      </c>
      <c r="W58" s="336">
        <f t="shared" ca="1" si="36"/>
        <v>0</v>
      </c>
      <c r="X58" s="336">
        <f t="shared" ca="1" si="36"/>
        <v>0</v>
      </c>
      <c r="Y58" s="336">
        <f t="shared" ca="1" si="36"/>
        <v>0</v>
      </c>
      <c r="Z58" s="336">
        <f ca="1">IF($R58=0,ROUND(SUM($N58:$R58)*(VLOOKUP($L58,$L$9:$AB$24,Z$6,FALSE)),2),ROUND(SUM($R58:$R58)*(VLOOKUP($L58,$L$9:$AB$24,Z$6,FALSE)),2))</f>
        <v>17.899999999999999</v>
      </c>
      <c r="AA58" s="336">
        <f ca="1">SUM(N58:Z58)</f>
        <v>217.85</v>
      </c>
      <c r="AB58" s="336">
        <f ca="1">ROUND(AA58*(VLOOKUP($L58,$L$9:$AB$24,AB$6,FALSE)),2)</f>
        <v>17.43</v>
      </c>
      <c r="AC58" s="336">
        <f ca="1">SUM(AA58:AB58)</f>
        <v>235.28</v>
      </c>
      <c r="AD58" s="214">
        <v>1</v>
      </c>
      <c r="AE58" s="336">
        <f ca="1">$AC58*$AD58</f>
        <v>235.28</v>
      </c>
      <c r="AF58" s="250"/>
      <c r="AG58" s="337"/>
      <c r="AH58" s="337"/>
      <c r="AI58" s="323">
        <f ca="1">AA58*AD58</f>
        <v>217.85</v>
      </c>
      <c r="AJ58" s="323">
        <f ca="1">AC58*AD58</f>
        <v>235.28</v>
      </c>
      <c r="AK58" s="323">
        <f ca="1">AJ58-AI58</f>
        <v>17.430000000000007</v>
      </c>
      <c r="AL58" s="20">
        <f ca="1">IF(AK58=0,0,ROUND(AK58/AI58,2))</f>
        <v>0.08</v>
      </c>
      <c r="AM58" s="337"/>
      <c r="AN58" s="337"/>
      <c r="AO58" s="337"/>
      <c r="AP58" s="337"/>
      <c r="AQ58" s="337"/>
      <c r="AR58" s="323"/>
      <c r="AS58" s="337"/>
      <c r="AT58" s="323"/>
      <c r="AU58" s="60"/>
      <c r="AV58" s="324"/>
      <c r="AW58" s="325"/>
    </row>
    <row r="59" spans="2:53">
      <c r="E59" s="832" t="s">
        <v>999</v>
      </c>
      <c r="F59" s="8"/>
      <c r="G59" s="8"/>
      <c r="H59" s="8"/>
      <c r="I59" s="8"/>
      <c r="J59" s="8"/>
      <c r="K59" s="8"/>
      <c r="L59" s="363" t="s">
        <v>617</v>
      </c>
      <c r="M59" s="1164">
        <v>300</v>
      </c>
      <c r="N59" s="336">
        <f ca="1">ROUND($M59*(VLOOKUP($L59,$L$9:$AB$24,N$6,FALSE)),2)</f>
        <v>300</v>
      </c>
      <c r="O59" s="336">
        <f t="shared" ca="1" si="35"/>
        <v>0</v>
      </c>
      <c r="P59" s="336">
        <f t="shared" ca="1" si="35"/>
        <v>0</v>
      </c>
      <c r="Q59" s="336">
        <f t="shared" ca="1" si="35"/>
        <v>0</v>
      </c>
      <c r="R59" s="336">
        <f ca="1">ROUND(($N59+$Q59)*(VLOOKUP($L59,$L$9:$AB$24,R$6,FALSE)),2)</f>
        <v>0</v>
      </c>
      <c r="S59" s="336"/>
      <c r="T59" s="336"/>
      <c r="U59" s="336">
        <f t="shared" ca="1" si="36"/>
        <v>0</v>
      </c>
      <c r="V59" s="336">
        <f t="shared" ca="1" si="36"/>
        <v>0</v>
      </c>
      <c r="W59" s="336">
        <f t="shared" ca="1" si="36"/>
        <v>0</v>
      </c>
      <c r="X59" s="336">
        <f t="shared" ca="1" si="36"/>
        <v>0</v>
      </c>
      <c r="Y59" s="336">
        <f t="shared" ca="1" si="36"/>
        <v>0</v>
      </c>
      <c r="Z59" s="336">
        <f ca="1">IF($R59=0,ROUND(SUM($N59:$R59)*(VLOOKUP($L59,$L$9:$AB$24,Z$6,FALSE)),2),ROUND(SUM($R59:$R59)*(VLOOKUP($L59,$L$9:$AB$24,Z$6,FALSE)),2))</f>
        <v>26.85</v>
      </c>
      <c r="AA59" s="336">
        <f ca="1">SUM(N59:Z59)</f>
        <v>326.85000000000002</v>
      </c>
      <c r="AB59" s="336">
        <f ca="1">ROUND(AA59*(VLOOKUP($L59,$L$9:$AB$24,AB$6,FALSE)),2)</f>
        <v>26.15</v>
      </c>
      <c r="AC59" s="336">
        <f ca="1">SUM(AA59:AB59)</f>
        <v>353</v>
      </c>
      <c r="AD59" s="214">
        <v>1</v>
      </c>
      <c r="AE59" s="336">
        <f ca="1">$AC59*$AD59</f>
        <v>353</v>
      </c>
      <c r="AF59" s="250"/>
      <c r="AG59" s="337"/>
      <c r="AH59" s="337"/>
      <c r="AI59" s="323"/>
      <c r="AJ59" s="323"/>
      <c r="AK59" s="323"/>
      <c r="AL59" s="20"/>
      <c r="AM59" s="337"/>
      <c r="AN59" s="337"/>
      <c r="AO59" s="337"/>
      <c r="AP59" s="337"/>
      <c r="AQ59" s="337"/>
      <c r="AR59" s="323"/>
      <c r="AS59" s="337"/>
      <c r="AT59" s="323"/>
      <c r="AU59" s="60"/>
      <c r="AV59" s="324"/>
      <c r="AW59" s="325"/>
    </row>
    <row r="60" spans="2:53">
      <c r="E60" s="832"/>
      <c r="F60" s="8"/>
      <c r="G60" s="8"/>
      <c r="H60" s="8"/>
      <c r="I60" s="8"/>
      <c r="J60" s="8"/>
      <c r="K60" s="8"/>
      <c r="L60" s="363"/>
      <c r="M60" s="336"/>
      <c r="N60" s="336"/>
      <c r="O60" s="336"/>
      <c r="P60" s="336"/>
      <c r="Q60" s="336"/>
      <c r="R60" s="336"/>
      <c r="S60" s="336"/>
      <c r="T60" s="336"/>
      <c r="U60" s="336"/>
      <c r="V60" s="336"/>
      <c r="W60" s="336"/>
      <c r="X60" s="336"/>
      <c r="Y60" s="336"/>
      <c r="Z60" s="336"/>
      <c r="AA60" s="336"/>
      <c r="AB60" s="336"/>
      <c r="AC60" s="336" t="s">
        <v>942</v>
      </c>
      <c r="AD60" s="214"/>
      <c r="AE60" s="336">
        <f ca="1">SUBTOTAL(9,AE56:AE59)</f>
        <v>1598.98</v>
      </c>
      <c r="AF60" s="250"/>
      <c r="AG60" s="337"/>
      <c r="AH60" s="337"/>
      <c r="AI60" s="323"/>
      <c r="AJ60" s="323"/>
      <c r="AK60" s="323"/>
      <c r="AL60" s="20"/>
      <c r="AM60" s="337"/>
      <c r="AN60" s="337"/>
      <c r="AO60" s="337"/>
      <c r="AP60" s="337"/>
      <c r="AQ60" s="337"/>
      <c r="AR60" s="323"/>
      <c r="AS60" s="337"/>
      <c r="AT60" s="323"/>
      <c r="AU60" s="60"/>
      <c r="AV60" s="324"/>
      <c r="AW60" s="325"/>
    </row>
    <row r="61" spans="2:53">
      <c r="E61" s="338"/>
      <c r="F61" s="327"/>
      <c r="G61" s="327"/>
      <c r="H61" s="327"/>
      <c r="I61" s="327"/>
      <c r="J61" s="327"/>
      <c r="K61" s="327"/>
      <c r="L61" s="327"/>
      <c r="M61" s="339"/>
      <c r="N61" s="339"/>
      <c r="O61" s="339"/>
      <c r="P61" s="339"/>
      <c r="Q61" s="339"/>
      <c r="R61" s="339"/>
      <c r="S61" s="339"/>
      <c r="T61" s="339"/>
      <c r="U61" s="339"/>
      <c r="V61" s="339"/>
      <c r="W61" s="339"/>
      <c r="X61" s="339"/>
      <c r="Y61" s="339"/>
      <c r="Z61" s="339"/>
      <c r="AA61" s="339"/>
      <c r="AB61" s="339"/>
      <c r="AC61" s="339"/>
      <c r="AD61" s="331"/>
      <c r="AE61" s="339"/>
      <c r="AF61" s="1037"/>
      <c r="AG61" s="339"/>
      <c r="AH61" s="339"/>
      <c r="AI61" s="339"/>
      <c r="AJ61" s="339"/>
      <c r="AK61" s="339"/>
      <c r="AL61" s="339"/>
      <c r="AM61" s="339"/>
      <c r="AN61" s="339"/>
      <c r="AO61" s="339"/>
      <c r="AP61" s="339"/>
      <c r="AQ61" s="339"/>
      <c r="AR61" s="332"/>
      <c r="AS61" s="339"/>
      <c r="AT61" s="332"/>
      <c r="AU61" s="332"/>
      <c r="AV61" s="333"/>
      <c r="AW61" s="325"/>
      <c r="AZ61" s="251" t="str">
        <f t="shared" si="32"/>
        <v>1</v>
      </c>
      <c r="BA61" s="251" t="str">
        <f t="shared" si="33"/>
        <v>1</v>
      </c>
    </row>
    <row r="62" spans="2:53">
      <c r="E62" s="248"/>
      <c r="F62" s="8"/>
      <c r="G62" s="8"/>
      <c r="H62" s="8"/>
      <c r="I62" s="8"/>
      <c r="J62" s="8"/>
      <c r="K62" s="8"/>
      <c r="L62" s="8"/>
      <c r="M62" s="8"/>
      <c r="N62" s="8"/>
      <c r="O62" s="8"/>
      <c r="P62" s="8"/>
      <c r="Q62" s="8"/>
      <c r="R62" s="8"/>
      <c r="S62" s="8"/>
      <c r="T62" s="8"/>
      <c r="U62" s="8"/>
      <c r="V62" s="8"/>
      <c r="W62" s="8"/>
      <c r="X62" s="8"/>
      <c r="Y62" s="8"/>
      <c r="Z62" s="8"/>
      <c r="AA62" s="8"/>
      <c r="AB62" s="8"/>
      <c r="AC62" s="8"/>
      <c r="AD62" s="8"/>
      <c r="AE62" s="336"/>
      <c r="AF62" s="250"/>
      <c r="AZ62" s="251" t="str">
        <f t="shared" si="32"/>
        <v>1</v>
      </c>
      <c r="BA62" s="251" t="str">
        <f t="shared" si="33"/>
        <v>1</v>
      </c>
    </row>
    <row r="63" spans="2:53">
      <c r="E63" s="248"/>
      <c r="F63" s="8"/>
      <c r="G63" s="8"/>
      <c r="H63" s="8"/>
      <c r="I63" s="8"/>
      <c r="J63" s="8"/>
      <c r="K63" s="8"/>
      <c r="L63" s="8"/>
      <c r="M63" s="8"/>
      <c r="N63" s="8"/>
      <c r="O63" s="8"/>
      <c r="P63" s="8"/>
      <c r="Q63" s="8"/>
      <c r="R63" s="8"/>
      <c r="S63" s="8"/>
      <c r="T63" s="8"/>
      <c r="U63" s="8"/>
      <c r="V63" s="8"/>
      <c r="W63" s="8"/>
      <c r="X63" s="8"/>
      <c r="Y63" s="8"/>
      <c r="Z63" s="8"/>
      <c r="AA63" s="8"/>
      <c r="AB63" s="8"/>
      <c r="AC63" s="313" t="s">
        <v>648</v>
      </c>
      <c r="AD63" s="322"/>
      <c r="AE63" s="1029">
        <f ca="1">SUBTOTAL(9,AE$54:AE$62)</f>
        <v>1598.98</v>
      </c>
      <c r="AF63" s="250"/>
      <c r="AG63" s="337"/>
      <c r="AH63" s="337"/>
      <c r="AI63" s="337">
        <f ca="1">SUM(AI32:AI58)</f>
        <v>2451905.5046474435</v>
      </c>
      <c r="AJ63" s="337">
        <f ca="1">SUM(AJ32:AJ58)</f>
        <v>2648017.4199999995</v>
      </c>
      <c r="AK63" s="337">
        <f ca="1">SUM(AK32:AK58)</f>
        <v>196111.91535255619</v>
      </c>
      <c r="AL63" s="20">
        <f ca="1">IF(AK63=0,0,ROUND(AK63/AI63,2))</f>
        <v>0.08</v>
      </c>
      <c r="AM63" s="337"/>
      <c r="AN63" s="337"/>
      <c r="AO63" s="337"/>
      <c r="AP63" s="337"/>
      <c r="AQ63" s="337"/>
      <c r="AR63" s="337"/>
      <c r="AS63" s="337"/>
      <c r="AT63" s="337"/>
      <c r="AU63" s="336"/>
      <c r="AV63" s="324"/>
      <c r="AW63" s="325"/>
      <c r="AZ63" s="251" t="str">
        <f t="shared" si="32"/>
        <v>1</v>
      </c>
      <c r="BA63" s="251" t="str">
        <f t="shared" ca="1" si="33"/>
        <v>1</v>
      </c>
    </row>
    <row r="64" spans="2:53">
      <c r="E64" s="248"/>
      <c r="F64" s="8"/>
      <c r="G64" s="8"/>
      <c r="H64" s="8"/>
      <c r="I64" s="8"/>
      <c r="J64" s="8"/>
      <c r="K64" s="8"/>
      <c r="L64" s="8"/>
      <c r="M64" s="8"/>
      <c r="N64" s="8"/>
      <c r="O64" s="8"/>
      <c r="P64" s="8"/>
      <c r="Q64" s="8"/>
      <c r="R64" s="8"/>
      <c r="S64" s="8"/>
      <c r="T64" s="8"/>
      <c r="U64" s="8"/>
      <c r="V64" s="8"/>
      <c r="W64" s="8"/>
      <c r="X64" s="8"/>
      <c r="Y64" s="8"/>
      <c r="Z64" s="8"/>
      <c r="AA64" s="8"/>
      <c r="AB64" s="8"/>
      <c r="AC64" s="8"/>
      <c r="AD64" s="8"/>
      <c r="AE64" s="8"/>
      <c r="AF64" s="250"/>
      <c r="AR64" s="13"/>
      <c r="AS64" s="335"/>
      <c r="AZ64" s="251" t="str">
        <f t="shared" si="32"/>
        <v>1</v>
      </c>
      <c r="BA64" s="251" t="str">
        <f t="shared" si="33"/>
        <v>1</v>
      </c>
    </row>
    <row r="65" spans="5:53">
      <c r="E65" s="340"/>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41"/>
      <c r="AG65" s="307"/>
      <c r="AH65" s="307"/>
      <c r="AI65" s="307"/>
      <c r="AJ65" s="307"/>
      <c r="AK65" s="307"/>
      <c r="AL65" s="307"/>
      <c r="AM65" s="307"/>
      <c r="AN65" s="307"/>
      <c r="AO65" s="307"/>
      <c r="AP65" s="307"/>
      <c r="AQ65" s="307"/>
      <c r="AR65" s="307"/>
      <c r="AS65" s="307"/>
      <c r="AT65" s="307"/>
      <c r="AV65" s="307"/>
      <c r="AZ65" s="251" t="str">
        <f t="shared" si="32"/>
        <v>1</v>
      </c>
      <c r="BA65" s="251" t="str">
        <f t="shared" si="33"/>
        <v>1</v>
      </c>
    </row>
    <row r="66" spans="5:53" ht="13.5" thickBot="1">
      <c r="E66" s="252"/>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342" t="s">
        <v>649</v>
      </c>
      <c r="AD66" s="343">
        <f>AD52</f>
        <v>30704</v>
      </c>
      <c r="AE66" s="1030">
        <f ca="1">SUBTOTAL(9,AE$31:AE$65)</f>
        <v>2648370.4199999995</v>
      </c>
      <c r="AF66" s="258"/>
      <c r="AG66" s="323"/>
      <c r="AH66" s="323"/>
      <c r="AI66" s="323"/>
      <c r="AJ66" s="323"/>
      <c r="AK66" s="323"/>
      <c r="AL66" s="323"/>
      <c r="AM66" s="323"/>
      <c r="AN66" s="323"/>
      <c r="AO66" s="323"/>
      <c r="AP66" s="323"/>
      <c r="AQ66" s="323"/>
      <c r="AR66" s="323"/>
      <c r="AS66" s="323"/>
      <c r="AT66" s="323"/>
      <c r="AU66" s="60"/>
      <c r="AV66" s="324"/>
      <c r="AW66" s="325"/>
      <c r="AZ66" s="251" t="str">
        <f t="shared" si="32"/>
        <v>1</v>
      </c>
      <c r="BA66" s="251" t="str">
        <f t="shared" ca="1" si="33"/>
        <v>1</v>
      </c>
    </row>
    <row r="67" spans="5:53">
      <c r="AR67" s="344"/>
      <c r="AS67" s="345"/>
      <c r="AZ67" s="251" t="str">
        <f t="shared" si="32"/>
        <v>1</v>
      </c>
      <c r="BA67" s="251" t="str">
        <f t="shared" si="33"/>
        <v>1</v>
      </c>
    </row>
    <row r="68" spans="5:53">
      <c r="AZ68" s="251" t="str">
        <f t="shared" si="32"/>
        <v>1</v>
      </c>
      <c r="BA68" s="251" t="str">
        <f t="shared" si="33"/>
        <v>1</v>
      </c>
    </row>
    <row r="69" spans="5:53">
      <c r="O69" s="346"/>
      <c r="P69" s="346"/>
      <c r="R69" s="280" t="s">
        <v>633</v>
      </c>
      <c r="S69" s="1160"/>
      <c r="T69" s="1160"/>
      <c r="U69" s="346"/>
      <c r="V69" s="346"/>
      <c r="W69" s="346"/>
      <c r="X69" s="346"/>
      <c r="Y69" s="346"/>
      <c r="Z69" s="282" t="s">
        <v>61</v>
      </c>
      <c r="AA69" s="281" t="s">
        <v>60</v>
      </c>
      <c r="AB69" s="282" t="s">
        <v>63</v>
      </c>
      <c r="AC69" s="281" t="s">
        <v>59</v>
      </c>
      <c r="AD69" s="282" t="s">
        <v>602</v>
      </c>
      <c r="AE69" s="281" t="s">
        <v>638</v>
      </c>
      <c r="AZ69" s="251" t="str">
        <f t="shared" si="32"/>
        <v>1</v>
      </c>
      <c r="BA69" s="251" t="str">
        <f t="shared" si="33"/>
        <v>1</v>
      </c>
    </row>
    <row r="70" spans="5:53">
      <c r="O70" s="8"/>
      <c r="P70" s="8"/>
      <c r="R70" s="347" t="s">
        <v>643</v>
      </c>
      <c r="S70" s="1161"/>
      <c r="T70" s="1161"/>
      <c r="U70" s="8"/>
      <c r="V70" s="8"/>
      <c r="W70" s="8"/>
      <c r="X70" s="8"/>
      <c r="Y70" s="8"/>
      <c r="Z70" s="348">
        <f>IF(AD70=0,0,(AD70/AD$91))</f>
        <v>0.73345492443981242</v>
      </c>
      <c r="AA70" s="349">
        <f ca="1">IF(AE70=0,0,(AE70/AE$91))</f>
        <v>0.76563694521352388</v>
      </c>
      <c r="AB70" s="350" t="s">
        <v>62</v>
      </c>
      <c r="AC70" s="269" t="s">
        <v>62</v>
      </c>
      <c r="AD70" s="351">
        <f t="shared" ref="AD70:AE90" si="37">SUMIF($G$31:$G$53,$R70,AD$31:AD$64)</f>
        <v>22520</v>
      </c>
      <c r="AE70" s="352">
        <f t="shared" ca="1" si="37"/>
        <v>2026466</v>
      </c>
      <c r="AF70" s="6" t="str">
        <f t="shared" ref="AF70:AF90" si="38">R70</f>
        <v>ManTech</v>
      </c>
      <c r="AG70" s="60"/>
      <c r="AH70" s="60"/>
      <c r="AI70" s="60"/>
      <c r="AJ70" s="60"/>
      <c r="AK70" s="60"/>
      <c r="AL70" s="60"/>
      <c r="AM70" s="60"/>
      <c r="AN70" s="60"/>
      <c r="AO70" s="60"/>
      <c r="AP70" s="60"/>
      <c r="AQ70" s="60"/>
      <c r="AR70" s="60"/>
      <c r="AS70" s="60"/>
      <c r="AT70" s="60"/>
      <c r="AU70" s="60"/>
      <c r="AV70" s="324"/>
      <c r="AW70" s="325"/>
      <c r="AZ70" s="251" t="str">
        <f t="shared" si="32"/>
        <v>1</v>
      </c>
      <c r="BA70" s="251" t="str">
        <f t="shared" ca="1" si="33"/>
        <v>1</v>
      </c>
    </row>
    <row r="71" spans="5:53">
      <c r="M71" s="11"/>
      <c r="O71" s="8"/>
      <c r="P71" s="8"/>
      <c r="R71" s="347" t="str">
        <f>InputSheet!C149</f>
        <v>Segovia, Inc.</v>
      </c>
      <c r="S71" s="1161"/>
      <c r="T71" s="1161"/>
      <c r="U71" s="8"/>
      <c r="V71" s="8"/>
      <c r="W71" s="8"/>
      <c r="X71" s="8"/>
      <c r="Y71" s="8"/>
      <c r="Z71" s="348">
        <f t="shared" ref="Z71:AA90" si="39">IF(AD71=0,0,(AD71/AD$91))</f>
        <v>0.26576341844710788</v>
      </c>
      <c r="AA71" s="349">
        <f t="shared" ca="1" si="39"/>
        <v>0.23286680167593157</v>
      </c>
      <c r="AB71" s="348">
        <f>IF(AD71=0,0,(AD71/(AD$91-AD$70)))</f>
        <v>0.99706744868035191</v>
      </c>
      <c r="AC71" s="353">
        <f ca="1">IF(AE71=0,0,(AE71/(AE$91-AE$70)))</f>
        <v>0.99361566134257917</v>
      </c>
      <c r="AD71" s="351">
        <f t="shared" si="37"/>
        <v>8160</v>
      </c>
      <c r="AE71" s="352">
        <f t="shared" ca="1" si="37"/>
        <v>616345.19999999995</v>
      </c>
      <c r="AF71" s="6" t="str">
        <f t="shared" si="38"/>
        <v>Segovia, Inc.</v>
      </c>
      <c r="AG71" s="60"/>
      <c r="AH71" s="60"/>
      <c r="AI71" s="60"/>
      <c r="AJ71" s="60"/>
      <c r="AK71" s="60"/>
      <c r="AL71" s="60"/>
      <c r="AM71" s="60"/>
      <c r="AN71" s="60"/>
      <c r="AO71" s="60"/>
      <c r="AP71" s="60"/>
      <c r="AQ71" s="60"/>
      <c r="AR71" s="60"/>
      <c r="AS71" s="60"/>
      <c r="AT71" s="60"/>
      <c r="AU71" s="60"/>
      <c r="AV71" s="324"/>
      <c r="AW71" s="325"/>
      <c r="AZ71" s="251" t="str">
        <f t="shared" ca="1" si="32"/>
        <v>1</v>
      </c>
      <c r="BA71" s="251" t="str">
        <f t="shared" ca="1" si="33"/>
        <v>1</v>
      </c>
    </row>
    <row r="72" spans="5:53">
      <c r="M72" s="11"/>
      <c r="O72" s="8"/>
      <c r="P72" s="8"/>
      <c r="R72" s="347" t="str">
        <f>InputSheet!C150</f>
        <v>Briggs and Sons</v>
      </c>
      <c r="S72" s="1161"/>
      <c r="T72" s="1161"/>
      <c r="U72" s="8"/>
      <c r="V72" s="8"/>
      <c r="W72" s="8"/>
      <c r="X72" s="8"/>
      <c r="Y72" s="8"/>
      <c r="Z72" s="348">
        <f t="shared" si="39"/>
        <v>0</v>
      </c>
      <c r="AA72" s="349">
        <f t="shared" si="39"/>
        <v>0</v>
      </c>
      <c r="AB72" s="348">
        <f t="shared" ref="AB72:AC90" si="40">IF(AD72=0,0,(AD72/(AD$91-AD$70)))</f>
        <v>0</v>
      </c>
      <c r="AC72" s="353">
        <f t="shared" si="40"/>
        <v>0</v>
      </c>
      <c r="AD72" s="351">
        <f t="shared" si="37"/>
        <v>0</v>
      </c>
      <c r="AE72" s="352">
        <f t="shared" si="37"/>
        <v>0</v>
      </c>
      <c r="AF72" s="6" t="str">
        <f t="shared" si="38"/>
        <v>Briggs and Sons</v>
      </c>
      <c r="AG72" s="60"/>
      <c r="AH72" s="60"/>
      <c r="AI72" s="60"/>
      <c r="AJ72" s="60"/>
      <c r="AK72" s="60"/>
      <c r="AL72" s="60"/>
      <c r="AM72" s="60"/>
      <c r="AN72" s="60"/>
      <c r="AO72" s="60"/>
      <c r="AP72" s="60"/>
      <c r="AQ72" s="60"/>
      <c r="AR72" s="60"/>
      <c r="AS72" s="60"/>
      <c r="AT72" s="60"/>
      <c r="AU72" s="60"/>
      <c r="AV72" s="324"/>
      <c r="AW72" s="325"/>
      <c r="AZ72" s="251" t="str">
        <f t="shared" si="32"/>
        <v>0</v>
      </c>
      <c r="BA72" s="251" t="str">
        <f t="shared" si="33"/>
        <v>0</v>
      </c>
    </row>
    <row r="73" spans="5:53">
      <c r="M73" s="11"/>
      <c r="O73" s="8"/>
      <c r="P73" s="8"/>
      <c r="R73" s="347" t="str">
        <f>InputSheet!C151</f>
        <v>Yvan</v>
      </c>
      <c r="S73" s="1161"/>
      <c r="T73" s="1161"/>
      <c r="U73" s="8"/>
      <c r="V73" s="8"/>
      <c r="W73" s="8"/>
      <c r="X73" s="8"/>
      <c r="Y73" s="8"/>
      <c r="Z73" s="348">
        <f t="shared" si="39"/>
        <v>7.8165711307972901E-4</v>
      </c>
      <c r="AA73" s="349">
        <f t="shared" ca="1" si="39"/>
        <v>1.4962531105443691E-3</v>
      </c>
      <c r="AB73" s="348">
        <f t="shared" si="40"/>
        <v>2.9325513196480938E-3</v>
      </c>
      <c r="AC73" s="353">
        <f t="shared" ca="1" si="40"/>
        <v>6.3843386574201208E-3</v>
      </c>
      <c r="AD73" s="351">
        <f t="shared" si="37"/>
        <v>24</v>
      </c>
      <c r="AE73" s="352">
        <f t="shared" ca="1" si="37"/>
        <v>3960.24</v>
      </c>
      <c r="AF73" s="6" t="str">
        <f t="shared" si="38"/>
        <v>Yvan</v>
      </c>
      <c r="AG73" s="60"/>
      <c r="AH73" s="60"/>
      <c r="AI73" s="60"/>
      <c r="AJ73" s="60"/>
      <c r="AK73" s="60"/>
      <c r="AL73" s="60"/>
      <c r="AM73" s="60"/>
      <c r="AN73" s="60"/>
      <c r="AO73" s="60"/>
      <c r="AP73" s="60"/>
      <c r="AQ73" s="60"/>
      <c r="AR73" s="60"/>
      <c r="AS73" s="60"/>
      <c r="AT73" s="60"/>
      <c r="AU73" s="60"/>
      <c r="AV73" s="324"/>
      <c r="AW73" s="325"/>
      <c r="AZ73" s="251" t="str">
        <f t="shared" ca="1" si="32"/>
        <v>1</v>
      </c>
      <c r="BA73" s="251" t="str">
        <f t="shared" ca="1" si="33"/>
        <v>1</v>
      </c>
    </row>
    <row r="74" spans="5:53">
      <c r="O74" s="8"/>
      <c r="P74" s="8"/>
      <c r="R74" s="347" t="str">
        <f>InputSheet!C152</f>
        <v>Sub 4</v>
      </c>
      <c r="S74" s="1161"/>
      <c r="T74" s="1161"/>
      <c r="U74" s="8"/>
      <c r="V74" s="8"/>
      <c r="W74" s="8"/>
      <c r="X74" s="8"/>
      <c r="Y74" s="8"/>
      <c r="Z74" s="348">
        <f t="shared" si="39"/>
        <v>0</v>
      </c>
      <c r="AA74" s="349">
        <f t="shared" si="39"/>
        <v>0</v>
      </c>
      <c r="AB74" s="348">
        <f t="shared" si="40"/>
        <v>0</v>
      </c>
      <c r="AC74" s="353">
        <f t="shared" si="40"/>
        <v>0</v>
      </c>
      <c r="AD74" s="351">
        <f t="shared" si="37"/>
        <v>0</v>
      </c>
      <c r="AE74" s="352">
        <f t="shared" si="37"/>
        <v>0</v>
      </c>
      <c r="AF74" s="6" t="str">
        <f t="shared" si="38"/>
        <v>Sub 4</v>
      </c>
      <c r="AG74" s="60"/>
      <c r="AH74" s="60"/>
      <c r="AI74" s="60"/>
      <c r="AJ74" s="60"/>
      <c r="AK74" s="60"/>
      <c r="AL74" s="60"/>
      <c r="AM74" s="60"/>
      <c r="AN74" s="60"/>
      <c r="AO74" s="60"/>
      <c r="AP74" s="60"/>
      <c r="AQ74" s="60"/>
      <c r="AR74" s="60"/>
      <c r="AS74" s="60"/>
      <c r="AT74" s="60"/>
      <c r="AU74" s="60"/>
      <c r="AV74" s="324"/>
      <c r="AW74" s="325"/>
      <c r="AZ74" s="251" t="str">
        <f t="shared" si="32"/>
        <v>0</v>
      </c>
      <c r="BA74" s="251" t="str">
        <f t="shared" si="33"/>
        <v>0</v>
      </c>
    </row>
    <row r="75" spans="5:53">
      <c r="O75" s="8"/>
      <c r="P75" s="8"/>
      <c r="R75" s="347" t="str">
        <f>InputSheet!C153</f>
        <v>Sub 5</v>
      </c>
      <c r="S75" s="1161"/>
      <c r="T75" s="1161"/>
      <c r="U75" s="8"/>
      <c r="V75" s="8"/>
      <c r="W75" s="8"/>
      <c r="X75" s="8"/>
      <c r="Y75" s="8"/>
      <c r="Z75" s="348">
        <f t="shared" si="39"/>
        <v>0</v>
      </c>
      <c r="AA75" s="349">
        <f t="shared" si="39"/>
        <v>0</v>
      </c>
      <c r="AB75" s="348">
        <f t="shared" si="40"/>
        <v>0</v>
      </c>
      <c r="AC75" s="353">
        <f t="shared" si="40"/>
        <v>0</v>
      </c>
      <c r="AD75" s="351">
        <f t="shared" si="37"/>
        <v>0</v>
      </c>
      <c r="AE75" s="352">
        <f t="shared" si="37"/>
        <v>0</v>
      </c>
      <c r="AF75" s="6" t="str">
        <f t="shared" si="38"/>
        <v>Sub 5</v>
      </c>
      <c r="AG75" s="60"/>
      <c r="AH75" s="60"/>
      <c r="AI75" s="60"/>
      <c r="AJ75" s="60"/>
      <c r="AK75" s="60"/>
      <c r="AL75" s="60"/>
      <c r="AM75" s="60"/>
      <c r="AN75" s="60"/>
      <c r="AO75" s="60"/>
      <c r="AP75" s="60"/>
      <c r="AQ75" s="60"/>
      <c r="AR75" s="60"/>
      <c r="AS75" s="60"/>
      <c r="AT75" s="60"/>
      <c r="AU75" s="60"/>
      <c r="AV75" s="324"/>
      <c r="AW75" s="325"/>
      <c r="AZ75" s="251" t="str">
        <f t="shared" si="32"/>
        <v>0</v>
      </c>
      <c r="BA75" s="251" t="str">
        <f t="shared" si="33"/>
        <v>0</v>
      </c>
    </row>
    <row r="76" spans="5:53">
      <c r="O76" s="8"/>
      <c r="P76" s="8"/>
      <c r="R76" s="347" t="str">
        <f>InputSheet!C154</f>
        <v>Sub 6</v>
      </c>
      <c r="S76" s="1161"/>
      <c r="T76" s="1161"/>
      <c r="U76" s="8"/>
      <c r="V76" s="8"/>
      <c r="W76" s="8"/>
      <c r="X76" s="8"/>
      <c r="Y76" s="8"/>
      <c r="Z76" s="348">
        <f t="shared" si="39"/>
        <v>0</v>
      </c>
      <c r="AA76" s="349">
        <f t="shared" si="39"/>
        <v>0</v>
      </c>
      <c r="AB76" s="348">
        <f t="shared" si="40"/>
        <v>0</v>
      </c>
      <c r="AC76" s="353">
        <f t="shared" si="40"/>
        <v>0</v>
      </c>
      <c r="AD76" s="351">
        <f t="shared" si="37"/>
        <v>0</v>
      </c>
      <c r="AE76" s="352">
        <f t="shared" si="37"/>
        <v>0</v>
      </c>
      <c r="AF76" s="6" t="str">
        <f t="shared" si="38"/>
        <v>Sub 6</v>
      </c>
      <c r="AG76" s="60"/>
      <c r="AH76" s="60"/>
      <c r="AI76" s="60"/>
      <c r="AJ76" s="60"/>
      <c r="AK76" s="60"/>
      <c r="AL76" s="60"/>
      <c r="AM76" s="60"/>
      <c r="AN76" s="60"/>
      <c r="AO76" s="60"/>
      <c r="AP76" s="60"/>
      <c r="AQ76" s="60"/>
      <c r="AR76" s="60"/>
      <c r="AS76" s="60"/>
      <c r="AT76" s="60"/>
      <c r="AU76" s="60"/>
      <c r="AV76" s="324"/>
      <c r="AW76" s="325"/>
      <c r="AZ76" s="251" t="str">
        <f t="shared" si="32"/>
        <v>0</v>
      </c>
      <c r="BA76" s="251" t="str">
        <f t="shared" si="33"/>
        <v>0</v>
      </c>
    </row>
    <row r="77" spans="5:53">
      <c r="O77" s="8"/>
      <c r="P77" s="8"/>
      <c r="R77" s="347" t="str">
        <f>InputSheet!C155</f>
        <v>Sub 7</v>
      </c>
      <c r="S77" s="1161"/>
      <c r="T77" s="1161"/>
      <c r="U77" s="8"/>
      <c r="V77" s="8"/>
      <c r="W77" s="8"/>
      <c r="X77" s="8"/>
      <c r="Y77" s="8"/>
      <c r="Z77" s="348">
        <f t="shared" si="39"/>
        <v>0</v>
      </c>
      <c r="AA77" s="349">
        <f t="shared" si="39"/>
        <v>0</v>
      </c>
      <c r="AB77" s="348">
        <f t="shared" si="40"/>
        <v>0</v>
      </c>
      <c r="AC77" s="353">
        <f t="shared" si="40"/>
        <v>0</v>
      </c>
      <c r="AD77" s="351">
        <f t="shared" si="37"/>
        <v>0</v>
      </c>
      <c r="AE77" s="352">
        <f t="shared" si="37"/>
        <v>0</v>
      </c>
      <c r="AF77" s="6" t="str">
        <f t="shared" si="38"/>
        <v>Sub 7</v>
      </c>
      <c r="AG77" s="60"/>
      <c r="AH77" s="60"/>
      <c r="AI77" s="60"/>
      <c r="AJ77" s="60"/>
      <c r="AK77" s="60"/>
      <c r="AL77" s="60"/>
      <c r="AM77" s="60"/>
      <c r="AN77" s="60"/>
      <c r="AO77" s="60"/>
      <c r="AP77" s="60"/>
      <c r="AQ77" s="60"/>
      <c r="AR77" s="60"/>
      <c r="AS77" s="60"/>
      <c r="AT77" s="60"/>
      <c r="AU77" s="60"/>
      <c r="AV77" s="324"/>
      <c r="AW77" s="325"/>
      <c r="AZ77" s="251" t="str">
        <f t="shared" si="32"/>
        <v>0</v>
      </c>
      <c r="BA77" s="251" t="str">
        <f t="shared" si="33"/>
        <v>0</v>
      </c>
    </row>
    <row r="78" spans="5:53">
      <c r="O78" s="8"/>
      <c r="P78" s="8"/>
      <c r="R78" s="347" t="str">
        <f>InputSheet!C156</f>
        <v>Sub 8</v>
      </c>
      <c r="S78" s="1161"/>
      <c r="T78" s="1161"/>
      <c r="U78" s="8"/>
      <c r="V78" s="8"/>
      <c r="W78" s="8"/>
      <c r="X78" s="8"/>
      <c r="Y78" s="8"/>
      <c r="Z78" s="348">
        <f t="shared" si="39"/>
        <v>0</v>
      </c>
      <c r="AA78" s="349">
        <f t="shared" si="39"/>
        <v>0</v>
      </c>
      <c r="AB78" s="348">
        <f t="shared" si="40"/>
        <v>0</v>
      </c>
      <c r="AC78" s="353">
        <f t="shared" si="40"/>
        <v>0</v>
      </c>
      <c r="AD78" s="351">
        <f t="shared" si="37"/>
        <v>0</v>
      </c>
      <c r="AE78" s="352">
        <f t="shared" si="37"/>
        <v>0</v>
      </c>
      <c r="AF78" s="6" t="str">
        <f t="shared" si="38"/>
        <v>Sub 8</v>
      </c>
      <c r="AG78" s="60"/>
      <c r="AH78" s="60"/>
      <c r="AI78" s="60"/>
      <c r="AJ78" s="60"/>
      <c r="AK78" s="60"/>
      <c r="AL78" s="60"/>
      <c r="AM78" s="60"/>
      <c r="AN78" s="60"/>
      <c r="AO78" s="60"/>
      <c r="AP78" s="60"/>
      <c r="AQ78" s="60"/>
      <c r="AR78" s="60"/>
      <c r="AS78" s="60"/>
      <c r="AT78" s="60"/>
      <c r="AU78" s="60"/>
      <c r="AV78" s="324"/>
      <c r="AW78" s="325"/>
      <c r="AZ78" s="251" t="str">
        <f t="shared" si="32"/>
        <v>0</v>
      </c>
      <c r="BA78" s="251" t="str">
        <f t="shared" si="33"/>
        <v>0</v>
      </c>
    </row>
    <row r="79" spans="5:53">
      <c r="O79" s="8"/>
      <c r="P79" s="8"/>
      <c r="R79" s="347" t="str">
        <f>InputSheet!C157</f>
        <v>Sub 9</v>
      </c>
      <c r="S79" s="1161"/>
      <c r="T79" s="1161"/>
      <c r="U79" s="8"/>
      <c r="V79" s="8"/>
      <c r="W79" s="8"/>
      <c r="X79" s="8"/>
      <c r="Y79" s="8"/>
      <c r="Z79" s="348">
        <f t="shared" si="39"/>
        <v>0</v>
      </c>
      <c r="AA79" s="349">
        <f t="shared" si="39"/>
        <v>0</v>
      </c>
      <c r="AB79" s="348">
        <f t="shared" si="40"/>
        <v>0</v>
      </c>
      <c r="AC79" s="353">
        <f t="shared" si="40"/>
        <v>0</v>
      </c>
      <c r="AD79" s="351">
        <f t="shared" si="37"/>
        <v>0</v>
      </c>
      <c r="AE79" s="352">
        <f t="shared" si="37"/>
        <v>0</v>
      </c>
      <c r="AF79" s="6" t="str">
        <f t="shared" si="38"/>
        <v>Sub 9</v>
      </c>
      <c r="AG79" s="60"/>
      <c r="AH79" s="60"/>
      <c r="AI79" s="60"/>
      <c r="AJ79" s="60"/>
      <c r="AK79" s="60"/>
      <c r="AL79" s="60"/>
      <c r="AM79" s="60"/>
      <c r="AN79" s="60"/>
      <c r="AO79" s="60"/>
      <c r="AP79" s="60"/>
      <c r="AQ79" s="60"/>
      <c r="AR79" s="60"/>
      <c r="AS79" s="60"/>
      <c r="AT79" s="60"/>
      <c r="AU79" s="60"/>
      <c r="AV79" s="324"/>
      <c r="AW79" s="325"/>
      <c r="AZ79" s="251" t="str">
        <f t="shared" si="32"/>
        <v>0</v>
      </c>
      <c r="BA79" s="251" t="str">
        <f t="shared" si="33"/>
        <v>0</v>
      </c>
    </row>
    <row r="80" spans="5:53">
      <c r="O80" s="8"/>
      <c r="P80" s="8"/>
      <c r="R80" s="347" t="str">
        <f>InputSheet!C158</f>
        <v>Sub 10</v>
      </c>
      <c r="S80" s="1161"/>
      <c r="T80" s="1161"/>
      <c r="U80" s="8"/>
      <c r="V80" s="8"/>
      <c r="W80" s="8"/>
      <c r="X80" s="8"/>
      <c r="Y80" s="8"/>
      <c r="Z80" s="348">
        <f t="shared" si="39"/>
        <v>0</v>
      </c>
      <c r="AA80" s="349">
        <f t="shared" si="39"/>
        <v>0</v>
      </c>
      <c r="AB80" s="348">
        <f t="shared" si="40"/>
        <v>0</v>
      </c>
      <c r="AC80" s="353">
        <f t="shared" si="40"/>
        <v>0</v>
      </c>
      <c r="AD80" s="351">
        <f t="shared" si="37"/>
        <v>0</v>
      </c>
      <c r="AE80" s="352">
        <f t="shared" si="37"/>
        <v>0</v>
      </c>
      <c r="AF80" s="6" t="str">
        <f t="shared" si="38"/>
        <v>Sub 10</v>
      </c>
      <c r="AG80" s="60"/>
      <c r="AH80" s="60"/>
      <c r="AI80" s="60"/>
      <c r="AJ80" s="60"/>
      <c r="AK80" s="60"/>
      <c r="AL80" s="60"/>
      <c r="AM80" s="60"/>
      <c r="AN80" s="60"/>
      <c r="AO80" s="60"/>
      <c r="AP80" s="60"/>
      <c r="AQ80" s="60"/>
      <c r="AR80" s="60"/>
      <c r="AS80" s="60"/>
      <c r="AT80" s="60"/>
      <c r="AU80" s="60"/>
      <c r="AV80" s="324"/>
      <c r="AW80" s="325"/>
      <c r="AZ80" s="251" t="str">
        <f t="shared" si="32"/>
        <v>0</v>
      </c>
      <c r="BA80" s="251" t="str">
        <f t="shared" si="33"/>
        <v>0</v>
      </c>
    </row>
    <row r="81" spans="15:53">
      <c r="O81" s="8"/>
      <c r="P81" s="8"/>
      <c r="R81" s="347" t="str">
        <f>InputSheet!C159</f>
        <v>Sub 11</v>
      </c>
      <c r="S81" s="1161"/>
      <c r="T81" s="1161"/>
      <c r="U81" s="8"/>
      <c r="V81" s="8"/>
      <c r="W81" s="8"/>
      <c r="X81" s="8"/>
      <c r="Y81" s="8"/>
      <c r="Z81" s="348">
        <f t="shared" si="39"/>
        <v>0</v>
      </c>
      <c r="AA81" s="349">
        <f t="shared" si="39"/>
        <v>0</v>
      </c>
      <c r="AB81" s="348">
        <f t="shared" si="40"/>
        <v>0</v>
      </c>
      <c r="AC81" s="353">
        <f t="shared" si="40"/>
        <v>0</v>
      </c>
      <c r="AD81" s="351">
        <f t="shared" si="37"/>
        <v>0</v>
      </c>
      <c r="AE81" s="352">
        <f t="shared" si="37"/>
        <v>0</v>
      </c>
      <c r="AF81" s="6" t="str">
        <f t="shared" si="38"/>
        <v>Sub 11</v>
      </c>
      <c r="AG81" s="60"/>
      <c r="AH81" s="60"/>
      <c r="AI81" s="60"/>
      <c r="AJ81" s="60"/>
      <c r="AK81" s="60"/>
      <c r="AL81" s="60"/>
      <c r="AM81" s="60"/>
      <c r="AN81" s="60"/>
      <c r="AO81" s="60"/>
      <c r="AP81" s="60"/>
      <c r="AQ81" s="60"/>
      <c r="AR81" s="60"/>
      <c r="AS81" s="60"/>
      <c r="AT81" s="60"/>
      <c r="AU81" s="60"/>
      <c r="AV81" s="324"/>
      <c r="AW81" s="325"/>
      <c r="AZ81" s="251" t="str">
        <f t="shared" si="32"/>
        <v>0</v>
      </c>
      <c r="BA81" s="251" t="str">
        <f t="shared" si="33"/>
        <v>0</v>
      </c>
    </row>
    <row r="82" spans="15:53">
      <c r="O82" s="8"/>
      <c r="P82" s="8"/>
      <c r="R82" s="347" t="str">
        <f>InputSheet!C160</f>
        <v>Sub 12</v>
      </c>
      <c r="S82" s="1161"/>
      <c r="T82" s="1161"/>
      <c r="U82" s="8"/>
      <c r="V82" s="8"/>
      <c r="W82" s="8"/>
      <c r="X82" s="8"/>
      <c r="Y82" s="8"/>
      <c r="Z82" s="348">
        <f t="shared" si="39"/>
        <v>0</v>
      </c>
      <c r="AA82" s="349">
        <f t="shared" si="39"/>
        <v>0</v>
      </c>
      <c r="AB82" s="348">
        <f t="shared" si="40"/>
        <v>0</v>
      </c>
      <c r="AC82" s="353">
        <f t="shared" si="40"/>
        <v>0</v>
      </c>
      <c r="AD82" s="351">
        <f t="shared" si="37"/>
        <v>0</v>
      </c>
      <c r="AE82" s="352">
        <f t="shared" si="37"/>
        <v>0</v>
      </c>
      <c r="AF82" s="6" t="str">
        <f t="shared" si="38"/>
        <v>Sub 12</v>
      </c>
      <c r="AG82" s="60"/>
      <c r="AH82" s="60"/>
      <c r="AI82" s="60"/>
      <c r="AJ82" s="60"/>
      <c r="AK82" s="60"/>
      <c r="AL82" s="60"/>
      <c r="AM82" s="60"/>
      <c r="AN82" s="60"/>
      <c r="AO82" s="60"/>
      <c r="AP82" s="60"/>
      <c r="AQ82" s="60"/>
      <c r="AR82" s="60"/>
      <c r="AS82" s="60"/>
      <c r="AT82" s="60"/>
      <c r="AU82" s="60"/>
      <c r="AV82" s="324"/>
      <c r="AW82" s="325"/>
      <c r="AZ82" s="251" t="str">
        <f t="shared" si="32"/>
        <v>0</v>
      </c>
      <c r="BA82" s="251" t="str">
        <f t="shared" si="33"/>
        <v>0</v>
      </c>
    </row>
    <row r="83" spans="15:53">
      <c r="O83" s="8"/>
      <c r="P83" s="8"/>
      <c r="R83" s="347" t="str">
        <f>InputSheet!C161</f>
        <v>Sub 13</v>
      </c>
      <c r="S83" s="1161"/>
      <c r="T83" s="1161"/>
      <c r="U83" s="8"/>
      <c r="V83" s="8"/>
      <c r="W83" s="8"/>
      <c r="X83" s="8"/>
      <c r="Y83" s="8"/>
      <c r="Z83" s="348">
        <f t="shared" si="39"/>
        <v>0</v>
      </c>
      <c r="AA83" s="349">
        <f t="shared" si="39"/>
        <v>0</v>
      </c>
      <c r="AB83" s="348">
        <f t="shared" si="40"/>
        <v>0</v>
      </c>
      <c r="AC83" s="353">
        <f t="shared" si="40"/>
        <v>0</v>
      </c>
      <c r="AD83" s="351">
        <f t="shared" si="37"/>
        <v>0</v>
      </c>
      <c r="AE83" s="352">
        <f t="shared" si="37"/>
        <v>0</v>
      </c>
      <c r="AF83" s="6" t="str">
        <f t="shared" si="38"/>
        <v>Sub 13</v>
      </c>
      <c r="AG83" s="60"/>
      <c r="AH83" s="60"/>
      <c r="AI83" s="60"/>
      <c r="AJ83" s="60"/>
      <c r="AK83" s="60"/>
      <c r="AL83" s="60"/>
      <c r="AM83" s="60"/>
      <c r="AN83" s="60"/>
      <c r="AO83" s="60"/>
      <c r="AP83" s="60"/>
      <c r="AQ83" s="60"/>
      <c r="AR83" s="60"/>
      <c r="AS83" s="60"/>
      <c r="AT83" s="60"/>
      <c r="AU83" s="60"/>
      <c r="AV83" s="324"/>
      <c r="AW83" s="325"/>
      <c r="AZ83" s="251" t="str">
        <f t="shared" si="32"/>
        <v>0</v>
      </c>
      <c r="BA83" s="251" t="str">
        <f t="shared" si="33"/>
        <v>0</v>
      </c>
    </row>
    <row r="84" spans="15:53">
      <c r="O84" s="8"/>
      <c r="P84" s="8"/>
      <c r="R84" s="347" t="str">
        <f>InputSheet!C162</f>
        <v>Sub 14</v>
      </c>
      <c r="S84" s="1161"/>
      <c r="T84" s="1161"/>
      <c r="U84" s="8"/>
      <c r="V84" s="8"/>
      <c r="W84" s="8"/>
      <c r="X84" s="8"/>
      <c r="Y84" s="8"/>
      <c r="Z84" s="348">
        <f t="shared" si="39"/>
        <v>0</v>
      </c>
      <c r="AA84" s="349">
        <f t="shared" si="39"/>
        <v>0</v>
      </c>
      <c r="AB84" s="348">
        <f t="shared" si="40"/>
        <v>0</v>
      </c>
      <c r="AC84" s="353">
        <f t="shared" si="40"/>
        <v>0</v>
      </c>
      <c r="AD84" s="351">
        <f t="shared" si="37"/>
        <v>0</v>
      </c>
      <c r="AE84" s="352">
        <f t="shared" si="37"/>
        <v>0</v>
      </c>
      <c r="AF84" s="6" t="str">
        <f t="shared" si="38"/>
        <v>Sub 14</v>
      </c>
      <c r="AG84" s="60"/>
      <c r="AH84" s="60"/>
      <c r="AI84" s="60"/>
      <c r="AJ84" s="60"/>
      <c r="AK84" s="60"/>
      <c r="AL84" s="60"/>
      <c r="AM84" s="60"/>
      <c r="AN84" s="60"/>
      <c r="AO84" s="60"/>
      <c r="AP84" s="60"/>
      <c r="AQ84" s="60"/>
      <c r="AR84" s="60"/>
      <c r="AS84" s="60"/>
      <c r="AT84" s="60"/>
      <c r="AU84" s="60"/>
      <c r="AV84" s="324"/>
      <c r="AW84" s="325"/>
      <c r="AZ84" s="251" t="str">
        <f t="shared" si="32"/>
        <v>0</v>
      </c>
      <c r="BA84" s="251" t="str">
        <f t="shared" si="33"/>
        <v>0</v>
      </c>
    </row>
    <row r="85" spans="15:53">
      <c r="O85" s="8"/>
      <c r="P85" s="8"/>
      <c r="R85" s="347" t="str">
        <f>InputSheet!C163</f>
        <v>Sub 15</v>
      </c>
      <c r="S85" s="1161"/>
      <c r="T85" s="1161"/>
      <c r="U85" s="8"/>
      <c r="V85" s="8"/>
      <c r="W85" s="8"/>
      <c r="X85" s="8"/>
      <c r="Y85" s="8"/>
      <c r="Z85" s="348">
        <f t="shared" si="39"/>
        <v>0</v>
      </c>
      <c r="AA85" s="349">
        <f t="shared" si="39"/>
        <v>0</v>
      </c>
      <c r="AB85" s="348">
        <f t="shared" si="40"/>
        <v>0</v>
      </c>
      <c r="AC85" s="353">
        <f t="shared" si="40"/>
        <v>0</v>
      </c>
      <c r="AD85" s="351">
        <f t="shared" si="37"/>
        <v>0</v>
      </c>
      <c r="AE85" s="352">
        <f t="shared" si="37"/>
        <v>0</v>
      </c>
      <c r="AF85" s="6" t="str">
        <f t="shared" si="38"/>
        <v>Sub 15</v>
      </c>
      <c r="AG85" s="60"/>
      <c r="AH85" s="60"/>
      <c r="AI85" s="60"/>
      <c r="AJ85" s="60"/>
      <c r="AK85" s="60"/>
      <c r="AL85" s="60"/>
      <c r="AM85" s="60"/>
      <c r="AN85" s="60"/>
      <c r="AO85" s="60"/>
      <c r="AP85" s="60"/>
      <c r="AQ85" s="60"/>
      <c r="AR85" s="60"/>
      <c r="AS85" s="60"/>
      <c r="AT85" s="60"/>
      <c r="AU85" s="60"/>
      <c r="AV85" s="324"/>
      <c r="AW85" s="325"/>
      <c r="AZ85" s="251" t="str">
        <f t="shared" si="32"/>
        <v>0</v>
      </c>
      <c r="BA85" s="251" t="str">
        <f t="shared" si="33"/>
        <v>0</v>
      </c>
    </row>
    <row r="86" spans="15:53">
      <c r="O86" s="8"/>
      <c r="P86" s="8"/>
      <c r="R86" s="347" t="str">
        <f>InputSheet!C164</f>
        <v>Sub 16</v>
      </c>
      <c r="S86" s="1161"/>
      <c r="T86" s="1161"/>
      <c r="U86" s="8"/>
      <c r="V86" s="8"/>
      <c r="W86" s="8"/>
      <c r="X86" s="8"/>
      <c r="Y86" s="8"/>
      <c r="Z86" s="348">
        <f t="shared" si="39"/>
        <v>0</v>
      </c>
      <c r="AA86" s="349">
        <f t="shared" si="39"/>
        <v>0</v>
      </c>
      <c r="AB86" s="348">
        <f t="shared" si="40"/>
        <v>0</v>
      </c>
      <c r="AC86" s="353">
        <f t="shared" si="40"/>
        <v>0</v>
      </c>
      <c r="AD86" s="351">
        <f t="shared" si="37"/>
        <v>0</v>
      </c>
      <c r="AE86" s="352">
        <f t="shared" si="37"/>
        <v>0</v>
      </c>
      <c r="AF86" s="6" t="str">
        <f t="shared" si="38"/>
        <v>Sub 16</v>
      </c>
      <c r="AG86" s="60"/>
      <c r="AH86" s="60"/>
      <c r="AI86" s="60"/>
      <c r="AJ86" s="60"/>
      <c r="AK86" s="60"/>
      <c r="AL86" s="60"/>
      <c r="AM86" s="60"/>
      <c r="AN86" s="60"/>
      <c r="AO86" s="60"/>
      <c r="AP86" s="60"/>
      <c r="AQ86" s="60"/>
      <c r="AR86" s="60"/>
      <c r="AS86" s="60"/>
      <c r="AT86" s="60"/>
      <c r="AU86" s="60"/>
      <c r="AV86" s="324"/>
      <c r="AW86" s="325"/>
      <c r="AZ86" s="251" t="str">
        <f t="shared" si="32"/>
        <v>0</v>
      </c>
      <c r="BA86" s="251" t="str">
        <f t="shared" si="33"/>
        <v>0</v>
      </c>
    </row>
    <row r="87" spans="15:53">
      <c r="O87" s="8"/>
      <c r="P87" s="8"/>
      <c r="R87" s="347" t="str">
        <f>InputSheet!C165</f>
        <v>Sub 17</v>
      </c>
      <c r="S87" s="1161"/>
      <c r="T87" s="1161"/>
      <c r="U87" s="8"/>
      <c r="V87" s="8"/>
      <c r="W87" s="8"/>
      <c r="X87" s="8"/>
      <c r="Y87" s="8"/>
      <c r="Z87" s="348">
        <f t="shared" si="39"/>
        <v>0</v>
      </c>
      <c r="AA87" s="349">
        <f t="shared" si="39"/>
        <v>0</v>
      </c>
      <c r="AB87" s="348">
        <f t="shared" si="40"/>
        <v>0</v>
      </c>
      <c r="AC87" s="353">
        <f t="shared" si="40"/>
        <v>0</v>
      </c>
      <c r="AD87" s="351">
        <f t="shared" si="37"/>
        <v>0</v>
      </c>
      <c r="AE87" s="352">
        <f t="shared" si="37"/>
        <v>0</v>
      </c>
      <c r="AF87" s="6" t="str">
        <f t="shared" si="38"/>
        <v>Sub 17</v>
      </c>
      <c r="AG87" s="60"/>
      <c r="AH87" s="60"/>
      <c r="AI87" s="60"/>
      <c r="AJ87" s="60"/>
      <c r="AK87" s="60"/>
      <c r="AL87" s="60"/>
      <c r="AM87" s="60"/>
      <c r="AN87" s="60"/>
      <c r="AO87" s="60"/>
      <c r="AP87" s="60"/>
      <c r="AQ87" s="60"/>
      <c r="AR87" s="60"/>
      <c r="AS87" s="60"/>
      <c r="AT87" s="60"/>
      <c r="AU87" s="60"/>
      <c r="AV87" s="324"/>
      <c r="AW87" s="325"/>
      <c r="AZ87" s="251" t="str">
        <f t="shared" si="32"/>
        <v>0</v>
      </c>
      <c r="BA87" s="251" t="str">
        <f t="shared" si="33"/>
        <v>0</v>
      </c>
    </row>
    <row r="88" spans="15:53">
      <c r="O88" s="8"/>
      <c r="P88" s="8"/>
      <c r="R88" s="347" t="str">
        <f>InputSheet!C166</f>
        <v>Sub 18</v>
      </c>
      <c r="S88" s="1161"/>
      <c r="T88" s="1161"/>
      <c r="U88" s="8"/>
      <c r="V88" s="8"/>
      <c r="W88" s="8"/>
      <c r="X88" s="8"/>
      <c r="Y88" s="8"/>
      <c r="Z88" s="348">
        <f t="shared" si="39"/>
        <v>0</v>
      </c>
      <c r="AA88" s="349">
        <f t="shared" si="39"/>
        <v>0</v>
      </c>
      <c r="AB88" s="348">
        <f t="shared" si="40"/>
        <v>0</v>
      </c>
      <c r="AC88" s="353">
        <f t="shared" si="40"/>
        <v>0</v>
      </c>
      <c r="AD88" s="351">
        <f t="shared" si="37"/>
        <v>0</v>
      </c>
      <c r="AE88" s="352">
        <f t="shared" si="37"/>
        <v>0</v>
      </c>
      <c r="AF88" s="6" t="str">
        <f t="shared" si="38"/>
        <v>Sub 18</v>
      </c>
      <c r="AG88" s="60"/>
      <c r="AH88" s="60"/>
      <c r="AI88" s="60"/>
      <c r="AJ88" s="60"/>
      <c r="AK88" s="60"/>
      <c r="AL88" s="60"/>
      <c r="AM88" s="60"/>
      <c r="AN88" s="60"/>
      <c r="AO88" s="60"/>
      <c r="AP88" s="60"/>
      <c r="AQ88" s="60"/>
      <c r="AR88" s="60"/>
      <c r="AS88" s="60"/>
      <c r="AT88" s="60"/>
      <c r="AU88" s="60"/>
      <c r="AV88" s="324"/>
      <c r="AW88" s="325"/>
      <c r="AZ88" s="251" t="str">
        <f t="shared" si="32"/>
        <v>0</v>
      </c>
      <c r="BA88" s="251" t="str">
        <f t="shared" si="33"/>
        <v>0</v>
      </c>
    </row>
    <row r="89" spans="15:53">
      <c r="O89" s="8"/>
      <c r="P89" s="8"/>
      <c r="R89" s="347" t="str">
        <f>InputSheet!C167</f>
        <v>Sub 19</v>
      </c>
      <c r="S89" s="1161"/>
      <c r="T89" s="1161"/>
      <c r="U89" s="8"/>
      <c r="V89" s="8"/>
      <c r="W89" s="8"/>
      <c r="X89" s="8"/>
      <c r="Y89" s="8"/>
      <c r="Z89" s="348">
        <f t="shared" si="39"/>
        <v>0</v>
      </c>
      <c r="AA89" s="349">
        <f t="shared" si="39"/>
        <v>0</v>
      </c>
      <c r="AB89" s="348">
        <f t="shared" si="40"/>
        <v>0</v>
      </c>
      <c r="AC89" s="353">
        <f t="shared" si="40"/>
        <v>0</v>
      </c>
      <c r="AD89" s="351">
        <f t="shared" si="37"/>
        <v>0</v>
      </c>
      <c r="AE89" s="352">
        <f t="shared" si="37"/>
        <v>0</v>
      </c>
      <c r="AF89" s="6" t="str">
        <f t="shared" si="38"/>
        <v>Sub 19</v>
      </c>
      <c r="AG89" s="60"/>
      <c r="AH89" s="60"/>
      <c r="AI89" s="60"/>
      <c r="AJ89" s="60"/>
      <c r="AK89" s="60"/>
      <c r="AL89" s="60"/>
      <c r="AM89" s="60"/>
      <c r="AN89" s="60"/>
      <c r="AO89" s="60"/>
      <c r="AP89" s="60"/>
      <c r="AQ89" s="60"/>
      <c r="AR89" s="60"/>
      <c r="AS89" s="60"/>
      <c r="AT89" s="60"/>
      <c r="AU89" s="60"/>
      <c r="AV89" s="324"/>
      <c r="AW89" s="325"/>
      <c r="AZ89" s="251" t="str">
        <f t="shared" si="32"/>
        <v>0</v>
      </c>
      <c r="BA89" s="251" t="str">
        <f t="shared" si="33"/>
        <v>0</v>
      </c>
    </row>
    <row r="90" spans="15:53">
      <c r="O90" s="8"/>
      <c r="P90" s="8"/>
      <c r="R90" s="347" t="str">
        <f>InputSheet!C168</f>
        <v>Sub 20</v>
      </c>
      <c r="S90" s="1161"/>
      <c r="T90" s="1161"/>
      <c r="U90" s="8"/>
      <c r="V90" s="8"/>
      <c r="W90" s="8"/>
      <c r="X90" s="8"/>
      <c r="Y90" s="8"/>
      <c r="Z90" s="348">
        <f t="shared" si="39"/>
        <v>0</v>
      </c>
      <c r="AA90" s="349">
        <f t="shared" si="39"/>
        <v>0</v>
      </c>
      <c r="AB90" s="348">
        <f t="shared" si="40"/>
        <v>0</v>
      </c>
      <c r="AC90" s="353">
        <f t="shared" si="40"/>
        <v>0</v>
      </c>
      <c r="AD90" s="351">
        <f t="shared" si="37"/>
        <v>0</v>
      </c>
      <c r="AE90" s="352">
        <f t="shared" si="37"/>
        <v>0</v>
      </c>
      <c r="AF90" s="6" t="str">
        <f t="shared" si="38"/>
        <v>Sub 20</v>
      </c>
      <c r="AG90" s="60"/>
      <c r="AH90" s="60"/>
      <c r="AI90" s="60"/>
      <c r="AJ90" s="60"/>
      <c r="AK90" s="60"/>
      <c r="AL90" s="60"/>
      <c r="AM90" s="60"/>
      <c r="AN90" s="60"/>
      <c r="AO90" s="60"/>
      <c r="AP90" s="60"/>
      <c r="AQ90" s="60"/>
      <c r="AR90" s="60"/>
      <c r="AS90" s="60"/>
      <c r="AT90" s="60"/>
      <c r="AU90" s="60"/>
      <c r="AV90" s="324"/>
      <c r="AW90" s="325"/>
      <c r="AZ90" s="251" t="str">
        <f t="shared" si="32"/>
        <v>0</v>
      </c>
      <c r="BA90" s="251" t="str">
        <f t="shared" si="33"/>
        <v>0</v>
      </c>
    </row>
    <row r="91" spans="15:53" ht="13.5" thickBot="1">
      <c r="O91" s="355"/>
      <c r="P91" s="355"/>
      <c r="R91" s="354" t="s">
        <v>650</v>
      </c>
      <c r="S91" s="355"/>
      <c r="T91" s="355"/>
      <c r="U91" s="355"/>
      <c r="V91" s="355"/>
      <c r="W91" s="355"/>
      <c r="X91" s="355"/>
      <c r="Y91" s="355"/>
      <c r="Z91" s="354"/>
      <c r="AA91" s="356"/>
      <c r="AB91" s="354"/>
      <c r="AC91" s="357"/>
      <c r="AD91" s="358">
        <f>SUM(AD70:AD90)</f>
        <v>30704</v>
      </c>
      <c r="AE91" s="359">
        <f ca="1">SUM(AE70:AE90)</f>
        <v>2646771.4400000004</v>
      </c>
      <c r="AG91" s="360"/>
      <c r="AH91" s="360"/>
      <c r="AI91" s="360"/>
      <c r="AJ91" s="360"/>
      <c r="AK91" s="360"/>
      <c r="AL91" s="360"/>
      <c r="AM91" s="360"/>
      <c r="AN91" s="360"/>
      <c r="AO91" s="360"/>
      <c r="AP91" s="360"/>
      <c r="AQ91" s="360"/>
      <c r="AR91" s="360"/>
      <c r="AS91" s="360"/>
      <c r="AT91" s="360"/>
      <c r="AU91" s="60"/>
      <c r="AV91" s="324"/>
      <c r="AW91" s="325"/>
      <c r="AZ91" s="251" t="str">
        <f t="shared" si="32"/>
        <v>1</v>
      </c>
      <c r="BA91" s="251" t="str">
        <f t="shared" ca="1" si="33"/>
        <v>1</v>
      </c>
    </row>
    <row r="92" spans="15:53" ht="13.5" thickTop="1">
      <c r="O92" s="327"/>
      <c r="P92" s="327"/>
      <c r="R92" s="361"/>
      <c r="S92" s="327"/>
      <c r="T92" s="327"/>
      <c r="U92" s="327"/>
      <c r="V92" s="327"/>
      <c r="W92" s="327"/>
      <c r="X92" s="327"/>
      <c r="Y92" s="327"/>
      <c r="Z92" s="327"/>
      <c r="AA92" s="327"/>
      <c r="AB92" s="327"/>
      <c r="AC92" s="327"/>
      <c r="AD92" s="327"/>
      <c r="AE92" s="362"/>
      <c r="AZ92" s="251" t="str">
        <f t="shared" si="32"/>
        <v>1</v>
      </c>
      <c r="BA92" s="251" t="str">
        <f t="shared" si="33"/>
        <v>1</v>
      </c>
    </row>
  </sheetData>
  <autoFilter ref="AZ29:BA29"/>
  <mergeCells count="1">
    <mergeCell ref="F2:L2"/>
  </mergeCells>
  <conditionalFormatting sqref="R24:U24">
    <cfRule type="cellIs" dxfId="5" priority="1" stopIfTrue="1" operator="greaterThan">
      <formula>0</formula>
    </cfRule>
  </conditionalFormatting>
  <dataValidations disablePrompts="1" count="2">
    <dataValidation type="list" allowBlank="1" showInputMessage="1" showErrorMessage="1" sqref="L32:L49">
      <formula1>$L$9:$L$25</formula1>
    </dataValidation>
    <dataValidation type="list" allowBlank="1" showInputMessage="1" showErrorMessage="1" sqref="G32:G49">
      <formula1>$R$70:$R$90</formula1>
    </dataValidation>
  </dataValidations>
  <printOptions horizontalCentered="1"/>
  <pageMargins left="1" right="1" top="0.5" bottom="0.5" header="0.5" footer="0.5"/>
  <pageSetup scale="31" fitToHeight="1000" orientation="landscape" r:id="rId1"/>
  <headerFooter alignWithMargins="0"/>
  <rowBreaks count="1" manualBreakCount="1">
    <brk id="67" min="3" max="25"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31</vt:i4>
      </vt:variant>
      <vt:variant>
        <vt:lpstr>Named Ranges</vt:lpstr>
      </vt:variant>
      <vt:variant>
        <vt:i4>68</vt:i4>
      </vt:variant>
    </vt:vector>
  </HeadingPairs>
  <LinksUpToDate>false</LinksUpToDate>
  <SharedDoc>false</SharedDoc>
  <HyperlinksChanged>false</HyperlinksChanged>
</Properties>
</file>